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9040" windowHeight="15840" tabRatio="918" activeTab="15"/>
  </bookViews>
  <sheets>
    <sheet name="Pricing TAM" sheetId="40" r:id="rId1"/>
    <sheet name="Mechanisms" sheetId="1" r:id="rId2"/>
    <sheet name="Input" sheetId="4" r:id="rId3"/>
    <sheet name="SA v A costs" sheetId="41" r:id="rId4"/>
    <sheet name="Trial tariffs" sheetId="42" r:id="rId5"/>
    <sheet name="Dist." sheetId="2" r:id="rId6"/>
    <sheet name="Side constraints" sheetId="9" r:id="rId7"/>
    <sheet name="Prop DUOS" sheetId="5" r:id="rId8"/>
    <sheet name="t-1 DUOS" sheetId="13" r:id="rId9"/>
    <sheet name="DPPC" sheetId="34" r:id="rId10"/>
    <sheet name="Prop TUOS" sheetId="15" r:id="rId11"/>
    <sheet name="t-1 TUOS" sheetId="14" r:id="rId12"/>
    <sheet name="JSA" sheetId="35" r:id="rId13"/>
    <sheet name="Prop JUOS" sheetId="17" r:id="rId14"/>
    <sheet name="t-1 JUOS" sheetId="18" r:id="rId15"/>
    <sheet name="Indicative t" sheetId="30" r:id="rId16"/>
    <sheet name="Indicative t+1..." sheetId="31" r:id="rId17"/>
    <sheet name="Output prices" sheetId="43" r:id="rId18"/>
  </sheets>
  <definedNames>
    <definedName name="_xlnm._FilterDatabase" localSheetId="6" hidden="1">'Side constraints'!$B$42:$DO$117</definedName>
    <definedName name="_ftn1" localSheetId="1">Mechanisms!#REF!</definedName>
    <definedName name="_ftn2" localSheetId="1">Mechanisms!$C$61</definedName>
    <definedName name="_ftn3" localSheetId="1">Mechanisms!$C$62</definedName>
    <definedName name="_ftn4" localSheetId="1">Mechanisms!$C$63</definedName>
    <definedName name="_ftn5" localSheetId="1">Mechanisms!$C$64</definedName>
    <definedName name="_ftn6" localSheetId="1">Mechanisms!$C$65</definedName>
    <definedName name="_ftn7" localSheetId="1">Mechanisms!$C$66</definedName>
    <definedName name="_ftn8" localSheetId="1">Mechanisms!$C$67</definedName>
    <definedName name="_ftnref1" localSheetId="1">Mechanisms!#REF!</definedName>
    <definedName name="_ftnref2" localSheetId="1">Mechanisms!$C$27</definedName>
    <definedName name="_ftnref3" localSheetId="1">Mechanisms!$C$30</definedName>
    <definedName name="_ftnref6" localSheetId="1">Mechanisms!$C$32</definedName>
    <definedName name="_ftnref8" localSheetId="1">Mechanisms!$C$51</definedName>
    <definedName name="_Ref432575057" localSheetId="1">Mechanisms!#REF!</definedName>
    <definedName name="_Ref432594810" localSheetId="1">Mechanisms!#REF!</definedName>
    <definedName name="_Ref433108207" localSheetId="1">Mechanisms!#REF!</definedName>
    <definedName name="_xlnm.Print_Area" localSheetId="15">'Indicative t'!$B$1:$AH$36</definedName>
    <definedName name="solver_adj" localSheetId="5" hidden="1">Dist.!#REF!</definedName>
    <definedName name="solver_adj" localSheetId="9" hidden="1">DPPC!#REF!</definedName>
    <definedName name="solver_adj" localSheetId="12" hidden="1">JSA!#REF!</definedName>
    <definedName name="solver_cvg" localSheetId="5" hidden="1">0.0001</definedName>
    <definedName name="solver_cvg" localSheetId="9" hidden="1">0.0001</definedName>
    <definedName name="solver_cvg" localSheetId="12" hidden="1">0.0001</definedName>
    <definedName name="solver_drv" localSheetId="5" hidden="1">1</definedName>
    <definedName name="solver_drv" localSheetId="9" hidden="1">1</definedName>
    <definedName name="solver_drv" localSheetId="12" hidden="1">1</definedName>
    <definedName name="solver_eng" localSheetId="5" hidden="1">3</definedName>
    <definedName name="solver_eng" localSheetId="9" hidden="1">3</definedName>
    <definedName name="solver_eng" localSheetId="12" hidden="1">3</definedName>
    <definedName name="solver_est" localSheetId="5" hidden="1">1</definedName>
    <definedName name="solver_est" localSheetId="9" hidden="1">1</definedName>
    <definedName name="solver_est" localSheetId="12" hidden="1">1</definedName>
    <definedName name="solver_itr" localSheetId="5" hidden="1">2147483647</definedName>
    <definedName name="solver_itr" localSheetId="9" hidden="1">2147483647</definedName>
    <definedName name="solver_itr" localSheetId="12" hidden="1">2147483647</definedName>
    <definedName name="solver_lhs1" localSheetId="5" hidden="1">Dist.!$C$11</definedName>
    <definedName name="solver_lhs1" localSheetId="9" hidden="1">DPPC!$C$13</definedName>
    <definedName name="solver_lhs1" localSheetId="12" hidden="1">JSA!$C$13</definedName>
    <definedName name="solver_lhs2" localSheetId="5" hidden="1">Dist.!#REF!</definedName>
    <definedName name="solver_lhs2" localSheetId="9" hidden="1">DPPC!#REF!</definedName>
    <definedName name="solver_lhs2" localSheetId="12" hidden="1">JSA!#REF!</definedName>
    <definedName name="solver_lhs3" localSheetId="5" hidden="1">Dist.!#REF!</definedName>
    <definedName name="solver_lhs3" localSheetId="9" hidden="1">DPPC!#REF!</definedName>
    <definedName name="solver_lhs3" localSheetId="12" hidden="1">JSA!#REF!</definedName>
    <definedName name="solver_mip" localSheetId="5" hidden="1">2147483647</definedName>
    <definedName name="solver_mip" localSheetId="9" hidden="1">2147483647</definedName>
    <definedName name="solver_mip" localSheetId="12" hidden="1">2147483647</definedName>
    <definedName name="solver_mni" localSheetId="5" hidden="1">30</definedName>
    <definedName name="solver_mni" localSheetId="9" hidden="1">30</definedName>
    <definedName name="solver_mni" localSheetId="12" hidden="1">30</definedName>
    <definedName name="solver_mrt" localSheetId="5" hidden="1">0.075</definedName>
    <definedName name="solver_mrt" localSheetId="9" hidden="1">0.075</definedName>
    <definedName name="solver_mrt" localSheetId="12" hidden="1">0.075</definedName>
    <definedName name="solver_msl" localSheetId="5" hidden="1">2</definedName>
    <definedName name="solver_msl" localSheetId="9" hidden="1">2</definedName>
    <definedName name="solver_msl" localSheetId="12" hidden="1">2</definedName>
    <definedName name="solver_neg" localSheetId="5" hidden="1">1</definedName>
    <definedName name="solver_neg" localSheetId="9" hidden="1">1</definedName>
    <definedName name="solver_neg" localSheetId="12" hidden="1">1</definedName>
    <definedName name="solver_nod" localSheetId="5" hidden="1">2147483647</definedName>
    <definedName name="solver_nod" localSheetId="9" hidden="1">2147483647</definedName>
    <definedName name="solver_nod" localSheetId="12" hidden="1">2147483647</definedName>
    <definedName name="solver_num" localSheetId="5" hidden="1">3</definedName>
    <definedName name="solver_num" localSheetId="9" hidden="1">3</definedName>
    <definedName name="solver_num" localSheetId="12" hidden="1">3</definedName>
    <definedName name="solver_nwt" localSheetId="5" hidden="1">1</definedName>
    <definedName name="solver_nwt" localSheetId="9" hidden="1">1</definedName>
    <definedName name="solver_nwt" localSheetId="12" hidden="1">1</definedName>
    <definedName name="solver_opt" localSheetId="5" hidden="1">Dist.!#REF!</definedName>
    <definedName name="solver_opt" localSheetId="9" hidden="1">DPPC!#REF!</definedName>
    <definedName name="solver_opt" localSheetId="12" hidden="1">JSA!#REF!</definedName>
    <definedName name="solver_pre" localSheetId="5" hidden="1">0.000001</definedName>
    <definedName name="solver_pre" localSheetId="9" hidden="1">0.000001</definedName>
    <definedName name="solver_pre" localSheetId="12" hidden="1">0.000001</definedName>
    <definedName name="solver_rbv" localSheetId="5" hidden="1">1</definedName>
    <definedName name="solver_rbv" localSheetId="9" hidden="1">1</definedName>
    <definedName name="solver_rbv" localSheetId="12" hidden="1">1</definedName>
    <definedName name="solver_rel1" localSheetId="5" hidden="1">1</definedName>
    <definedName name="solver_rel1" localSheetId="9" hidden="1">1</definedName>
    <definedName name="solver_rel1" localSheetId="12" hidden="1">1</definedName>
    <definedName name="solver_rel2" localSheetId="5" hidden="1">1</definedName>
    <definedName name="solver_rel2" localSheetId="9" hidden="1">1</definedName>
    <definedName name="solver_rel2" localSheetId="12" hidden="1">1</definedName>
    <definedName name="solver_rel3" localSheetId="5" hidden="1">3</definedName>
    <definedName name="solver_rel3" localSheetId="9" hidden="1">3</definedName>
    <definedName name="solver_rel3" localSheetId="12" hidden="1">3</definedName>
    <definedName name="solver_rhs1" localSheetId="5" hidden="1">Dist.!$C$12</definedName>
    <definedName name="solver_rhs1" localSheetId="9" hidden="1">DPPC!$C$14</definedName>
    <definedName name="solver_rhs1" localSheetId="12" hidden="1">JSA!$C$14</definedName>
    <definedName name="solver_rhs2" localSheetId="5" hidden="1">2</definedName>
    <definedName name="solver_rhs2" localSheetId="9" hidden="1">2</definedName>
    <definedName name="solver_rhs2" localSheetId="12" hidden="1">2</definedName>
    <definedName name="solver_rhs3" localSheetId="5" hidden="1">0</definedName>
    <definedName name="solver_rhs3" localSheetId="9" hidden="1">0</definedName>
    <definedName name="solver_rhs3" localSheetId="12" hidden="1">0</definedName>
    <definedName name="solver_rlx" localSheetId="5" hidden="1">2</definedName>
    <definedName name="solver_rlx" localSheetId="9" hidden="1">2</definedName>
    <definedName name="solver_rlx" localSheetId="12" hidden="1">2</definedName>
    <definedName name="solver_rsd" localSheetId="5" hidden="1">0</definedName>
    <definedName name="solver_rsd" localSheetId="9" hidden="1">0</definedName>
    <definedName name="solver_rsd" localSheetId="12" hidden="1">0</definedName>
    <definedName name="solver_scl" localSheetId="5" hidden="1">1</definedName>
    <definedName name="solver_scl" localSheetId="9" hidden="1">1</definedName>
    <definedName name="solver_scl" localSheetId="12" hidden="1">1</definedName>
    <definedName name="solver_sho" localSheetId="5" hidden="1">2</definedName>
    <definedName name="solver_sho" localSheetId="9" hidden="1">2</definedName>
    <definedName name="solver_sho" localSheetId="12" hidden="1">2</definedName>
    <definedName name="solver_ssz" localSheetId="5" hidden="1">100</definedName>
    <definedName name="solver_ssz" localSheetId="9" hidden="1">100</definedName>
    <definedName name="solver_ssz" localSheetId="12" hidden="1">100</definedName>
    <definedName name="solver_tim" localSheetId="5" hidden="1">2147483647</definedName>
    <definedName name="solver_tim" localSheetId="9" hidden="1">2147483647</definedName>
    <definedName name="solver_tim" localSheetId="12" hidden="1">2147483647</definedName>
    <definedName name="solver_tol" localSheetId="5" hidden="1">0.01</definedName>
    <definedName name="solver_tol" localSheetId="9" hidden="1">0.01</definedName>
    <definedName name="solver_tol" localSheetId="12" hidden="1">0.01</definedName>
    <definedName name="solver_typ" localSheetId="5" hidden="1">2</definedName>
    <definedName name="solver_typ" localSheetId="9" hidden="1">2</definedName>
    <definedName name="solver_typ" localSheetId="12" hidden="1">2</definedName>
    <definedName name="solver_val" localSheetId="5" hidden="1">0</definedName>
    <definedName name="solver_val" localSheetId="9" hidden="1">0</definedName>
    <definedName name="solver_val" localSheetId="12" hidden="1">0</definedName>
    <definedName name="solver_ver" localSheetId="5" hidden="1">3</definedName>
    <definedName name="solver_ver" localSheetId="9" hidden="1">3</definedName>
    <definedName name="solver_ver" localSheetId="12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30" l="1"/>
  <c r="AX28" i="13" l="1"/>
  <c r="AW28" i="13"/>
  <c r="AV28" i="13"/>
  <c r="AU28" i="13"/>
  <c r="AT28" i="13"/>
  <c r="AX27" i="13"/>
  <c r="AW27" i="13"/>
  <c r="AV27" i="13"/>
  <c r="AU27" i="13"/>
  <c r="AT27" i="13"/>
  <c r="AX26" i="13"/>
  <c r="AW26" i="13"/>
  <c r="AV26" i="13"/>
  <c r="AU26" i="13"/>
  <c r="AT26" i="13"/>
  <c r="AX25" i="13"/>
  <c r="AW25" i="13"/>
  <c r="AV25" i="13"/>
  <c r="AU25" i="13"/>
  <c r="AT25" i="13"/>
  <c r="AX24" i="13"/>
  <c r="AW24" i="13"/>
  <c r="AV24" i="13"/>
  <c r="AU24" i="13"/>
  <c r="AT24" i="13"/>
  <c r="AX23" i="13"/>
  <c r="AW23" i="13"/>
  <c r="AV23" i="13"/>
  <c r="AU23" i="13"/>
  <c r="AT23" i="13"/>
  <c r="AX22" i="13"/>
  <c r="AW22" i="13"/>
  <c r="AV22" i="13"/>
  <c r="AU22" i="13"/>
  <c r="AT22" i="13"/>
  <c r="AX21" i="13"/>
  <c r="AW21" i="13"/>
  <c r="AV21" i="13"/>
  <c r="AU21" i="13"/>
  <c r="AT21" i="13"/>
  <c r="AX20" i="13"/>
  <c r="AW20" i="13"/>
  <c r="AV20" i="13"/>
  <c r="AU20" i="13"/>
  <c r="AT20" i="13"/>
  <c r="AX19" i="13"/>
  <c r="AW19" i="13"/>
  <c r="AV19" i="13"/>
  <c r="AU19" i="13"/>
  <c r="AT19" i="13"/>
  <c r="AX18" i="13"/>
  <c r="AW18" i="13"/>
  <c r="AV18" i="13"/>
  <c r="AU18" i="13"/>
  <c r="AT18" i="13"/>
  <c r="AX17" i="13"/>
  <c r="AW17" i="13"/>
  <c r="AV17" i="13"/>
  <c r="AU17" i="13"/>
  <c r="AT17" i="13"/>
  <c r="AX16" i="13"/>
  <c r="AW16" i="13"/>
  <c r="AV16" i="13"/>
  <c r="AU16" i="13"/>
  <c r="AT16" i="13"/>
  <c r="AX15" i="13"/>
  <c r="AW15" i="13"/>
  <c r="AV15" i="13"/>
  <c r="AU15" i="13"/>
  <c r="AT15" i="13"/>
  <c r="AX14" i="13"/>
  <c r="AW14" i="13"/>
  <c r="AV14" i="13"/>
  <c r="AU14" i="13"/>
  <c r="AT14" i="13"/>
  <c r="AX13" i="13"/>
  <c r="AW13" i="13"/>
  <c r="AV13" i="13"/>
  <c r="AU13" i="13"/>
  <c r="AT13" i="13"/>
  <c r="AX12" i="13"/>
  <c r="AW12" i="13"/>
  <c r="AV12" i="13"/>
  <c r="AU12" i="13"/>
  <c r="AT12" i="13"/>
  <c r="AX11" i="13"/>
  <c r="AW11" i="13"/>
  <c r="AV11" i="13"/>
  <c r="AU11" i="13"/>
  <c r="AT11" i="13"/>
  <c r="AX10" i="13"/>
  <c r="AW10" i="13"/>
  <c r="AV10" i="13"/>
  <c r="AU10" i="13"/>
  <c r="AT10" i="13"/>
  <c r="AX9" i="13"/>
  <c r="AW9" i="13"/>
  <c r="AV9" i="13"/>
  <c r="AU9" i="13"/>
  <c r="AT9" i="13"/>
  <c r="AX8" i="13"/>
  <c r="AW8" i="13"/>
  <c r="AV8" i="13"/>
  <c r="AU8" i="13"/>
  <c r="AT8" i="13"/>
  <c r="AX7" i="13"/>
  <c r="AW7" i="13"/>
  <c r="AV7" i="13"/>
  <c r="AU7" i="13"/>
  <c r="AT7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J7" i="13"/>
  <c r="T7" i="17" l="1"/>
  <c r="T8" i="17"/>
  <c r="T9" i="17"/>
  <c r="T10" i="17"/>
  <c r="T11" i="17"/>
  <c r="T12" i="17"/>
  <c r="T13" i="17"/>
  <c r="T14" i="17"/>
  <c r="T15" i="17"/>
  <c r="T16" i="17"/>
  <c r="T17" i="17"/>
  <c r="B29" i="18" l="1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8" i="14"/>
  <c r="B8" i="18" s="1"/>
  <c r="B9" i="14"/>
  <c r="B9" i="18" s="1"/>
  <c r="B10" i="14"/>
  <c r="B10" i="18" s="1"/>
  <c r="B11" i="14"/>
  <c r="B11" i="18" s="1"/>
  <c r="B12" i="14"/>
  <c r="B12" i="18" s="1"/>
  <c r="B13" i="14"/>
  <c r="B13" i="18" s="1"/>
  <c r="B14" i="14"/>
  <c r="B14" i="18" s="1"/>
  <c r="B15" i="14"/>
  <c r="B15" i="18" s="1"/>
  <c r="B16" i="14"/>
  <c r="B16" i="18" s="1"/>
  <c r="B17" i="14"/>
  <c r="B17" i="18" s="1"/>
  <c r="B18" i="14"/>
  <c r="B18" i="18" s="1"/>
  <c r="B19" i="14"/>
  <c r="B19" i="18" s="1"/>
  <c r="B20" i="14"/>
  <c r="B20" i="18" s="1"/>
  <c r="B21" i="14"/>
  <c r="B21" i="18" s="1"/>
  <c r="B22" i="14"/>
  <c r="B22" i="18" s="1"/>
  <c r="B23" i="14"/>
  <c r="B23" i="18" s="1"/>
  <c r="B24" i="14"/>
  <c r="B24" i="18" s="1"/>
  <c r="B25" i="14"/>
  <c r="B25" i="18" s="1"/>
  <c r="B26" i="14"/>
  <c r="B26" i="18" s="1"/>
  <c r="B27" i="14"/>
  <c r="B27" i="18" s="1"/>
  <c r="B28" i="14"/>
  <c r="B28" i="18" s="1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7" i="14"/>
  <c r="B7" i="18" s="1"/>
  <c r="L6" i="43" l="1"/>
  <c r="BE6" i="43" s="1"/>
  <c r="L7" i="43"/>
  <c r="AA7" i="43" s="1"/>
  <c r="L6" i="31"/>
  <c r="AB6" i="30"/>
  <c r="AS6" i="30" s="1"/>
  <c r="L6" i="30"/>
  <c r="L7" i="30"/>
  <c r="AS7" i="30" s="1"/>
  <c r="L8" i="30"/>
  <c r="AS8" i="30" s="1"/>
  <c r="L9" i="30"/>
  <c r="AS9" i="30" s="1"/>
  <c r="L10" i="30"/>
  <c r="AS10" i="30" s="1"/>
  <c r="L11" i="30"/>
  <c r="AS11" i="30" s="1"/>
  <c r="L12" i="30"/>
  <c r="AS12" i="30" s="1"/>
  <c r="L13" i="30"/>
  <c r="AS13" i="30" s="1"/>
  <c r="L14" i="30"/>
  <c r="AS14" i="30" s="1"/>
  <c r="L15" i="30"/>
  <c r="AS15" i="30" s="1"/>
  <c r="L16" i="30"/>
  <c r="AS16" i="30" s="1"/>
  <c r="L17" i="30"/>
  <c r="AS17" i="30" s="1"/>
  <c r="L18" i="30"/>
  <c r="AS18" i="30" s="1"/>
  <c r="L19" i="30"/>
  <c r="AS19" i="30" s="1"/>
  <c r="L20" i="30"/>
  <c r="AS20" i="30" s="1"/>
  <c r="L21" i="30"/>
  <c r="AS21" i="30" s="1"/>
  <c r="L22" i="30"/>
  <c r="AS22" i="30" s="1"/>
  <c r="L23" i="30"/>
  <c r="AS23" i="30" s="1"/>
  <c r="L24" i="30"/>
  <c r="AS24" i="30" s="1"/>
  <c r="L25" i="30"/>
  <c r="AS25" i="30" s="1"/>
  <c r="L26" i="30"/>
  <c r="AS26" i="30" s="1"/>
  <c r="L27" i="30"/>
  <c r="AS27" i="30" s="1"/>
  <c r="L28" i="30"/>
  <c r="AS28" i="30" s="1"/>
  <c r="L29" i="30"/>
  <c r="AS29" i="30" s="1"/>
  <c r="L30" i="30"/>
  <c r="AS30" i="30" s="1"/>
  <c r="L31" i="30"/>
  <c r="AS31" i="30" s="1"/>
  <c r="L32" i="30"/>
  <c r="AS32" i="30" s="1"/>
  <c r="L33" i="30"/>
  <c r="AS33" i="30" s="1"/>
  <c r="L34" i="30"/>
  <c r="AS34" i="30" s="1"/>
  <c r="L35" i="30"/>
  <c r="AS35" i="30" s="1"/>
  <c r="L36" i="30"/>
  <c r="AS36" i="30" s="1"/>
  <c r="L37" i="30"/>
  <c r="AS37" i="30" s="1"/>
  <c r="L38" i="30"/>
  <c r="AS38" i="30" s="1"/>
  <c r="L39" i="30"/>
  <c r="AS39" i="30" s="1"/>
  <c r="L40" i="30"/>
  <c r="AS40" i="30" s="1"/>
  <c r="L41" i="30"/>
  <c r="AS41" i="30" s="1"/>
  <c r="L42" i="30"/>
  <c r="AS42" i="30" s="1"/>
  <c r="L43" i="30"/>
  <c r="AS43" i="30" s="1"/>
  <c r="L44" i="30"/>
  <c r="AS44" i="30" s="1"/>
  <c r="L45" i="30"/>
  <c r="AS45" i="30" s="1"/>
  <c r="L46" i="30"/>
  <c r="AS46" i="30" s="1"/>
  <c r="L47" i="30"/>
  <c r="AS47" i="30" s="1"/>
  <c r="L48" i="30"/>
  <c r="AS48" i="30" s="1"/>
  <c r="L49" i="30"/>
  <c r="AS49" i="30" s="1"/>
  <c r="L50" i="30"/>
  <c r="AS50" i="30" s="1"/>
  <c r="L51" i="30"/>
  <c r="AS51" i="30" s="1"/>
  <c r="L52" i="30"/>
  <c r="AS52" i="30" s="1"/>
  <c r="L53" i="30"/>
  <c r="AS53" i="30" s="1"/>
  <c r="L54" i="30"/>
  <c r="AS54" i="30" s="1"/>
  <c r="L55" i="30"/>
  <c r="AS55" i="30" s="1"/>
  <c r="L56" i="30"/>
  <c r="AS56" i="30" s="1"/>
  <c r="L57" i="30"/>
  <c r="AS57" i="30" s="1"/>
  <c r="L58" i="30"/>
  <c r="AS58" i="30" s="1"/>
  <c r="L59" i="30"/>
  <c r="AS59" i="30" s="1"/>
  <c r="L60" i="30"/>
  <c r="AS60" i="30" s="1"/>
  <c r="L61" i="30"/>
  <c r="AS61" i="30" s="1"/>
  <c r="L62" i="30"/>
  <c r="AS62" i="30" s="1"/>
  <c r="L63" i="30"/>
  <c r="AS63" i="30" s="1"/>
  <c r="L64" i="30"/>
  <c r="AS64" i="30" s="1"/>
  <c r="L65" i="30"/>
  <c r="AS65" i="30" s="1"/>
  <c r="L66" i="30"/>
  <c r="AS66" i="30" s="1"/>
  <c r="AR6" i="18"/>
  <c r="AB6" i="18"/>
  <c r="AB7" i="18"/>
  <c r="AR7" i="18" s="1"/>
  <c r="AB8" i="18"/>
  <c r="AR8" i="18" s="1"/>
  <c r="AB9" i="18"/>
  <c r="AR9" i="18" s="1"/>
  <c r="AB10" i="18"/>
  <c r="AR10" i="18" s="1"/>
  <c r="AB11" i="18"/>
  <c r="AR11" i="18" s="1"/>
  <c r="AB12" i="18"/>
  <c r="AR12" i="18" s="1"/>
  <c r="AB13" i="18"/>
  <c r="AR13" i="18" s="1"/>
  <c r="AB14" i="18"/>
  <c r="AR14" i="18" s="1"/>
  <c r="AB15" i="18"/>
  <c r="AR15" i="18" s="1"/>
  <c r="AB16" i="18"/>
  <c r="AR16" i="18" s="1"/>
  <c r="AB17" i="18"/>
  <c r="AR17" i="18" s="1"/>
  <c r="AB18" i="18"/>
  <c r="AR18" i="18" s="1"/>
  <c r="AB19" i="18"/>
  <c r="AR19" i="18" s="1"/>
  <c r="AB20" i="18"/>
  <c r="AR20" i="18" s="1"/>
  <c r="AB21" i="18"/>
  <c r="AR21" i="18" s="1"/>
  <c r="AB22" i="18"/>
  <c r="AR22" i="18" s="1"/>
  <c r="AB23" i="18"/>
  <c r="AR23" i="18" s="1"/>
  <c r="AB24" i="18"/>
  <c r="AR24" i="18" s="1"/>
  <c r="AB25" i="18"/>
  <c r="AR25" i="18" s="1"/>
  <c r="AB26" i="18"/>
  <c r="AR26" i="18" s="1"/>
  <c r="AB27" i="18"/>
  <c r="AR27" i="18" s="1"/>
  <c r="AB28" i="18"/>
  <c r="AR28" i="18" s="1"/>
  <c r="AB29" i="18"/>
  <c r="AR29" i="18" s="1"/>
  <c r="AB30" i="18"/>
  <c r="AR30" i="18" s="1"/>
  <c r="AB31" i="18"/>
  <c r="AR31" i="18" s="1"/>
  <c r="AB32" i="18"/>
  <c r="AR32" i="18" s="1"/>
  <c r="AB33" i="18"/>
  <c r="AR33" i="18" s="1"/>
  <c r="AB34" i="18"/>
  <c r="AR34" i="18" s="1"/>
  <c r="AB35" i="18"/>
  <c r="AR35" i="18" s="1"/>
  <c r="AB36" i="18"/>
  <c r="AR36" i="18" s="1"/>
  <c r="AB37" i="18"/>
  <c r="AR37" i="18" s="1"/>
  <c r="AB38" i="18"/>
  <c r="AR38" i="18" s="1"/>
  <c r="AB39" i="18"/>
  <c r="AR39" i="18" s="1"/>
  <c r="AB40" i="18"/>
  <c r="AR40" i="18" s="1"/>
  <c r="AB41" i="18"/>
  <c r="AR41" i="18" s="1"/>
  <c r="AB42" i="18"/>
  <c r="AR42" i="18" s="1"/>
  <c r="AB43" i="18"/>
  <c r="AR43" i="18" s="1"/>
  <c r="AB44" i="18"/>
  <c r="AR44" i="18" s="1"/>
  <c r="AB45" i="18"/>
  <c r="AR45" i="18" s="1"/>
  <c r="AB46" i="18"/>
  <c r="AR46" i="18" s="1"/>
  <c r="AB47" i="18"/>
  <c r="AR47" i="18" s="1"/>
  <c r="AB48" i="18"/>
  <c r="AR48" i="18" s="1"/>
  <c r="AB49" i="18"/>
  <c r="AR49" i="18" s="1"/>
  <c r="AB50" i="18"/>
  <c r="AR50" i="18" s="1"/>
  <c r="AB51" i="18"/>
  <c r="AR51" i="18" s="1"/>
  <c r="AB52" i="18"/>
  <c r="AR52" i="18" s="1"/>
  <c r="AB53" i="18"/>
  <c r="AR53" i="18" s="1"/>
  <c r="AB54" i="18"/>
  <c r="AR54" i="18" s="1"/>
  <c r="AB55" i="18"/>
  <c r="AR55" i="18" s="1"/>
  <c r="AB56" i="18"/>
  <c r="AR56" i="18" s="1"/>
  <c r="AB57" i="18"/>
  <c r="AR57" i="18" s="1"/>
  <c r="AB58" i="18"/>
  <c r="AR58" i="18" s="1"/>
  <c r="AB59" i="18"/>
  <c r="AR59" i="18" s="1"/>
  <c r="AB60" i="18"/>
  <c r="AR60" i="18" s="1"/>
  <c r="AB61" i="18"/>
  <c r="AR61" i="18" s="1"/>
  <c r="AB62" i="18"/>
  <c r="AR62" i="18" s="1"/>
  <c r="AB63" i="18"/>
  <c r="AR63" i="18" s="1"/>
  <c r="AB64" i="18"/>
  <c r="AR64" i="18" s="1"/>
  <c r="AB65" i="18"/>
  <c r="AR65" i="18" s="1"/>
  <c r="AB66" i="18"/>
  <c r="AR66" i="18" s="1"/>
  <c r="L6" i="18"/>
  <c r="AR6" i="17"/>
  <c r="AR55" i="17"/>
  <c r="AR63" i="17"/>
  <c r="AB7" i="17"/>
  <c r="AR7" i="17" s="1"/>
  <c r="AB8" i="17"/>
  <c r="AR8" i="17" s="1"/>
  <c r="AB9" i="17"/>
  <c r="AR9" i="17" s="1"/>
  <c r="AB10" i="17"/>
  <c r="AR10" i="17" s="1"/>
  <c r="AB11" i="17"/>
  <c r="AR11" i="17" s="1"/>
  <c r="AB12" i="17"/>
  <c r="AR12" i="17" s="1"/>
  <c r="AB13" i="17"/>
  <c r="AR13" i="17" s="1"/>
  <c r="AB14" i="17"/>
  <c r="AR14" i="17" s="1"/>
  <c r="AB15" i="17"/>
  <c r="AR15" i="17" s="1"/>
  <c r="AB16" i="17"/>
  <c r="AR16" i="17" s="1"/>
  <c r="AB17" i="17"/>
  <c r="AR17" i="17" s="1"/>
  <c r="AB18" i="17"/>
  <c r="AR18" i="17" s="1"/>
  <c r="AB19" i="17"/>
  <c r="AR19" i="17" s="1"/>
  <c r="AB20" i="17"/>
  <c r="AR20" i="17" s="1"/>
  <c r="AB21" i="17"/>
  <c r="AR21" i="17" s="1"/>
  <c r="AB22" i="17"/>
  <c r="AR22" i="17" s="1"/>
  <c r="AB23" i="17"/>
  <c r="AR23" i="17" s="1"/>
  <c r="AB24" i="17"/>
  <c r="AR24" i="17" s="1"/>
  <c r="AB25" i="17"/>
  <c r="AR25" i="17" s="1"/>
  <c r="AB26" i="17"/>
  <c r="AR26" i="17" s="1"/>
  <c r="AB27" i="17"/>
  <c r="AR27" i="17" s="1"/>
  <c r="AB28" i="17"/>
  <c r="AR28" i="17" s="1"/>
  <c r="AB29" i="17"/>
  <c r="AR29" i="17" s="1"/>
  <c r="AB30" i="17"/>
  <c r="AR30" i="17" s="1"/>
  <c r="AB31" i="17"/>
  <c r="AR31" i="17" s="1"/>
  <c r="AB32" i="17"/>
  <c r="AR32" i="17" s="1"/>
  <c r="AB33" i="17"/>
  <c r="AR33" i="17" s="1"/>
  <c r="AB34" i="17"/>
  <c r="AR34" i="17" s="1"/>
  <c r="AB35" i="17"/>
  <c r="AR35" i="17" s="1"/>
  <c r="AB36" i="17"/>
  <c r="AR36" i="17" s="1"/>
  <c r="AB37" i="17"/>
  <c r="AR37" i="17" s="1"/>
  <c r="AB38" i="17"/>
  <c r="AR38" i="17" s="1"/>
  <c r="AB39" i="17"/>
  <c r="AR39" i="17" s="1"/>
  <c r="AB40" i="17"/>
  <c r="AR40" i="17" s="1"/>
  <c r="AB41" i="17"/>
  <c r="AR41" i="17" s="1"/>
  <c r="AB42" i="17"/>
  <c r="AR42" i="17" s="1"/>
  <c r="AB43" i="17"/>
  <c r="AR43" i="17" s="1"/>
  <c r="AB44" i="17"/>
  <c r="AR44" i="17" s="1"/>
  <c r="AB45" i="17"/>
  <c r="AR45" i="17" s="1"/>
  <c r="AB46" i="17"/>
  <c r="AR46" i="17" s="1"/>
  <c r="AB47" i="17"/>
  <c r="AR47" i="17" s="1"/>
  <c r="AB48" i="17"/>
  <c r="AR48" i="17" s="1"/>
  <c r="AB49" i="17"/>
  <c r="AR49" i="17" s="1"/>
  <c r="AB50" i="17"/>
  <c r="AR50" i="17" s="1"/>
  <c r="AB51" i="17"/>
  <c r="AR51" i="17" s="1"/>
  <c r="AB52" i="17"/>
  <c r="AR52" i="17" s="1"/>
  <c r="AB53" i="17"/>
  <c r="AR53" i="17" s="1"/>
  <c r="AB54" i="17"/>
  <c r="AR54" i="17" s="1"/>
  <c r="AB55" i="17"/>
  <c r="AB56" i="17"/>
  <c r="AR56" i="17" s="1"/>
  <c r="AB57" i="17"/>
  <c r="AR57" i="17" s="1"/>
  <c r="AB58" i="17"/>
  <c r="AR58" i="17" s="1"/>
  <c r="AB59" i="17"/>
  <c r="AR59" i="17" s="1"/>
  <c r="AB60" i="17"/>
  <c r="AR60" i="17" s="1"/>
  <c r="AB61" i="17"/>
  <c r="AR61" i="17" s="1"/>
  <c r="AB62" i="17"/>
  <c r="AR62" i="17" s="1"/>
  <c r="AB63" i="17"/>
  <c r="AB64" i="17"/>
  <c r="AR64" i="17" s="1"/>
  <c r="AB65" i="17"/>
  <c r="AR65" i="17" s="1"/>
  <c r="AB66" i="17"/>
  <c r="AR66" i="17" s="1"/>
  <c r="L6" i="17"/>
  <c r="AR6" i="14"/>
  <c r="AB6" i="14"/>
  <c r="AB7" i="14"/>
  <c r="AR7" i="14" s="1"/>
  <c r="AB8" i="14"/>
  <c r="AR8" i="14" s="1"/>
  <c r="AB9" i="14"/>
  <c r="AR9" i="14" s="1"/>
  <c r="AB10" i="14"/>
  <c r="AR10" i="14" s="1"/>
  <c r="AB11" i="14"/>
  <c r="AR11" i="14" s="1"/>
  <c r="AB12" i="14"/>
  <c r="AR12" i="14" s="1"/>
  <c r="AB13" i="14"/>
  <c r="AR13" i="14" s="1"/>
  <c r="AB14" i="14"/>
  <c r="AR14" i="14" s="1"/>
  <c r="AB15" i="14"/>
  <c r="AR15" i="14" s="1"/>
  <c r="AB16" i="14"/>
  <c r="AR16" i="14" s="1"/>
  <c r="AB17" i="14"/>
  <c r="AR17" i="14" s="1"/>
  <c r="AB18" i="14"/>
  <c r="AR18" i="14" s="1"/>
  <c r="AB19" i="14"/>
  <c r="AR19" i="14" s="1"/>
  <c r="AB20" i="14"/>
  <c r="AR20" i="14" s="1"/>
  <c r="AB21" i="14"/>
  <c r="AR21" i="14" s="1"/>
  <c r="AB22" i="14"/>
  <c r="AR22" i="14" s="1"/>
  <c r="AB23" i="14"/>
  <c r="AR23" i="14" s="1"/>
  <c r="AB24" i="14"/>
  <c r="AR24" i="14" s="1"/>
  <c r="AB25" i="14"/>
  <c r="AR25" i="14" s="1"/>
  <c r="AB26" i="14"/>
  <c r="AR26" i="14" s="1"/>
  <c r="AB27" i="14"/>
  <c r="AR27" i="14" s="1"/>
  <c r="AB28" i="14"/>
  <c r="AR28" i="14" s="1"/>
  <c r="AB29" i="14"/>
  <c r="AR29" i="14" s="1"/>
  <c r="AB30" i="14"/>
  <c r="AR30" i="14" s="1"/>
  <c r="AB31" i="14"/>
  <c r="AR31" i="14" s="1"/>
  <c r="AB32" i="14"/>
  <c r="AR32" i="14" s="1"/>
  <c r="AB33" i="14"/>
  <c r="AR33" i="14" s="1"/>
  <c r="AB34" i="14"/>
  <c r="AR34" i="14" s="1"/>
  <c r="AB35" i="14"/>
  <c r="AR35" i="14" s="1"/>
  <c r="AB36" i="14"/>
  <c r="AR36" i="14" s="1"/>
  <c r="AB37" i="14"/>
  <c r="AR37" i="14" s="1"/>
  <c r="AB38" i="14"/>
  <c r="AR38" i="14" s="1"/>
  <c r="AB39" i="14"/>
  <c r="AR39" i="14" s="1"/>
  <c r="AB40" i="14"/>
  <c r="AR40" i="14" s="1"/>
  <c r="AB41" i="14"/>
  <c r="AR41" i="14" s="1"/>
  <c r="AB42" i="14"/>
  <c r="AR42" i="14" s="1"/>
  <c r="AB43" i="14"/>
  <c r="AR43" i="14" s="1"/>
  <c r="AB44" i="14"/>
  <c r="AR44" i="14" s="1"/>
  <c r="AB45" i="14"/>
  <c r="AR45" i="14" s="1"/>
  <c r="AB46" i="14"/>
  <c r="AR46" i="14" s="1"/>
  <c r="AB47" i="14"/>
  <c r="AR47" i="14" s="1"/>
  <c r="AB48" i="14"/>
  <c r="AR48" i="14" s="1"/>
  <c r="AB49" i="14"/>
  <c r="AR49" i="14" s="1"/>
  <c r="AB50" i="14"/>
  <c r="AR50" i="14" s="1"/>
  <c r="AB51" i="14"/>
  <c r="AR51" i="14" s="1"/>
  <c r="AB52" i="14"/>
  <c r="AR52" i="14" s="1"/>
  <c r="AB53" i="14"/>
  <c r="AR53" i="14" s="1"/>
  <c r="AB54" i="14"/>
  <c r="AR54" i="14" s="1"/>
  <c r="AB55" i="14"/>
  <c r="AR55" i="14" s="1"/>
  <c r="AB56" i="14"/>
  <c r="AR56" i="14" s="1"/>
  <c r="AB57" i="14"/>
  <c r="AR57" i="14" s="1"/>
  <c r="AB58" i="14"/>
  <c r="AR58" i="14" s="1"/>
  <c r="AB59" i="14"/>
  <c r="AR59" i="14" s="1"/>
  <c r="AB60" i="14"/>
  <c r="AR60" i="14" s="1"/>
  <c r="AB61" i="14"/>
  <c r="AR61" i="14" s="1"/>
  <c r="AB62" i="14"/>
  <c r="AR62" i="14" s="1"/>
  <c r="AB63" i="14"/>
  <c r="AR63" i="14" s="1"/>
  <c r="AB64" i="14"/>
  <c r="AR64" i="14" s="1"/>
  <c r="AB65" i="14"/>
  <c r="AR65" i="14" s="1"/>
  <c r="AB66" i="14"/>
  <c r="AR66" i="14" s="1"/>
  <c r="L6" i="14"/>
  <c r="AR6" i="15"/>
  <c r="AB7" i="15"/>
  <c r="AR7" i="15" s="1"/>
  <c r="AB8" i="15"/>
  <c r="AR8" i="15" s="1"/>
  <c r="AB9" i="15"/>
  <c r="AR9" i="15" s="1"/>
  <c r="AB10" i="15"/>
  <c r="AR10" i="15" s="1"/>
  <c r="AB11" i="15"/>
  <c r="AR11" i="15" s="1"/>
  <c r="AB12" i="15"/>
  <c r="AR12" i="15" s="1"/>
  <c r="AB13" i="15"/>
  <c r="AR13" i="15" s="1"/>
  <c r="AB14" i="15"/>
  <c r="AR14" i="15" s="1"/>
  <c r="AB15" i="15"/>
  <c r="AR15" i="15" s="1"/>
  <c r="AB16" i="15"/>
  <c r="AR16" i="15" s="1"/>
  <c r="AB17" i="15"/>
  <c r="AR17" i="15" s="1"/>
  <c r="AB18" i="15"/>
  <c r="AR18" i="15" s="1"/>
  <c r="AB19" i="15"/>
  <c r="AR19" i="15" s="1"/>
  <c r="AB20" i="15"/>
  <c r="AR20" i="15" s="1"/>
  <c r="AB21" i="15"/>
  <c r="AR21" i="15" s="1"/>
  <c r="AB22" i="15"/>
  <c r="AR22" i="15" s="1"/>
  <c r="AB23" i="15"/>
  <c r="AR23" i="15" s="1"/>
  <c r="AB24" i="15"/>
  <c r="AR24" i="15" s="1"/>
  <c r="AB25" i="15"/>
  <c r="AR25" i="15" s="1"/>
  <c r="AB26" i="15"/>
  <c r="AR26" i="15" s="1"/>
  <c r="AB27" i="15"/>
  <c r="AR27" i="15" s="1"/>
  <c r="AB28" i="15"/>
  <c r="AR28" i="15" s="1"/>
  <c r="AB29" i="15"/>
  <c r="AR29" i="15" s="1"/>
  <c r="AB30" i="15"/>
  <c r="AR30" i="15" s="1"/>
  <c r="AB31" i="15"/>
  <c r="AR31" i="15" s="1"/>
  <c r="AB32" i="15"/>
  <c r="AR32" i="15" s="1"/>
  <c r="AB33" i="15"/>
  <c r="AR33" i="15" s="1"/>
  <c r="AB34" i="15"/>
  <c r="AR34" i="15" s="1"/>
  <c r="AB35" i="15"/>
  <c r="AR35" i="15" s="1"/>
  <c r="AB36" i="15"/>
  <c r="AR36" i="15" s="1"/>
  <c r="AB37" i="15"/>
  <c r="AR37" i="15" s="1"/>
  <c r="AB38" i="15"/>
  <c r="AR38" i="15" s="1"/>
  <c r="AB39" i="15"/>
  <c r="AR39" i="15" s="1"/>
  <c r="AB40" i="15"/>
  <c r="AR40" i="15" s="1"/>
  <c r="AB41" i="15"/>
  <c r="AR41" i="15" s="1"/>
  <c r="AB42" i="15"/>
  <c r="AR42" i="15" s="1"/>
  <c r="AB43" i="15"/>
  <c r="AR43" i="15" s="1"/>
  <c r="AB44" i="15"/>
  <c r="AR44" i="15" s="1"/>
  <c r="AB45" i="15"/>
  <c r="AR45" i="15" s="1"/>
  <c r="AB46" i="15"/>
  <c r="AR46" i="15" s="1"/>
  <c r="AB47" i="15"/>
  <c r="AR47" i="15" s="1"/>
  <c r="AB48" i="15"/>
  <c r="AR48" i="15" s="1"/>
  <c r="AB49" i="15"/>
  <c r="AR49" i="15" s="1"/>
  <c r="AB50" i="15"/>
  <c r="AR50" i="15" s="1"/>
  <c r="AB51" i="15"/>
  <c r="AR51" i="15" s="1"/>
  <c r="AB52" i="15"/>
  <c r="AR52" i="15" s="1"/>
  <c r="AB53" i="15"/>
  <c r="AR53" i="15" s="1"/>
  <c r="AB54" i="15"/>
  <c r="AR54" i="15" s="1"/>
  <c r="AB55" i="15"/>
  <c r="AR55" i="15" s="1"/>
  <c r="AB56" i="15"/>
  <c r="AR56" i="15" s="1"/>
  <c r="AB57" i="15"/>
  <c r="AR57" i="15" s="1"/>
  <c r="AB58" i="15"/>
  <c r="AR58" i="15" s="1"/>
  <c r="AB59" i="15"/>
  <c r="AR59" i="15" s="1"/>
  <c r="AB60" i="15"/>
  <c r="AR60" i="15" s="1"/>
  <c r="AB61" i="15"/>
  <c r="AR61" i="15" s="1"/>
  <c r="AB62" i="15"/>
  <c r="AR62" i="15" s="1"/>
  <c r="AB63" i="15"/>
  <c r="AR63" i="15" s="1"/>
  <c r="AB64" i="15"/>
  <c r="AR64" i="15" s="1"/>
  <c r="AB65" i="15"/>
  <c r="AR65" i="15" s="1"/>
  <c r="AB66" i="15"/>
  <c r="AR66" i="15" s="1"/>
  <c r="L6" i="15"/>
  <c r="AS6" i="5"/>
  <c r="AR6" i="31" s="1"/>
  <c r="AS7" i="5"/>
  <c r="CA7" i="5" s="1"/>
  <c r="AS8" i="5"/>
  <c r="CA8" i="5" s="1"/>
  <c r="AS9" i="5"/>
  <c r="CA9" i="5" s="1"/>
  <c r="AS10" i="5"/>
  <c r="CA10" i="5" s="1"/>
  <c r="AS11" i="5"/>
  <c r="CA11" i="5" s="1"/>
  <c r="AS12" i="5"/>
  <c r="CA12" i="5" s="1"/>
  <c r="AS13" i="5"/>
  <c r="CA13" i="5" s="1"/>
  <c r="AS14" i="5"/>
  <c r="CA14" i="5" s="1"/>
  <c r="AS15" i="5"/>
  <c r="CA15" i="5" s="1"/>
  <c r="AS16" i="5"/>
  <c r="CA16" i="5" s="1"/>
  <c r="AS17" i="5"/>
  <c r="CA17" i="5" s="1"/>
  <c r="AS18" i="5"/>
  <c r="CA18" i="5" s="1"/>
  <c r="AS19" i="5"/>
  <c r="CA19" i="5" s="1"/>
  <c r="AS20" i="5"/>
  <c r="CA20" i="5" s="1"/>
  <c r="AS21" i="5"/>
  <c r="CA21" i="5" s="1"/>
  <c r="AS22" i="5"/>
  <c r="CA22" i="5" s="1"/>
  <c r="AS23" i="5"/>
  <c r="CA23" i="5" s="1"/>
  <c r="AS24" i="5"/>
  <c r="CA24" i="5" s="1"/>
  <c r="AS25" i="5"/>
  <c r="AS26" i="5"/>
  <c r="CA26" i="5" s="1"/>
  <c r="AS27" i="5"/>
  <c r="CA27" i="5" s="1"/>
  <c r="AS28" i="5"/>
  <c r="CA28" i="5" s="1"/>
  <c r="AS29" i="5"/>
  <c r="CA29" i="5" s="1"/>
  <c r="AS30" i="5"/>
  <c r="CA30" i="5" s="1"/>
  <c r="AS31" i="5"/>
  <c r="CA31" i="5" s="1"/>
  <c r="AS32" i="5"/>
  <c r="CA32" i="5" s="1"/>
  <c r="AS33" i="5"/>
  <c r="CA33" i="5" s="1"/>
  <c r="AS34" i="5"/>
  <c r="CA34" i="5" s="1"/>
  <c r="AS35" i="5"/>
  <c r="CA35" i="5" s="1"/>
  <c r="AS36" i="5"/>
  <c r="CA36" i="5" s="1"/>
  <c r="AS37" i="5"/>
  <c r="CA37" i="5" s="1"/>
  <c r="AS38" i="5"/>
  <c r="CA38" i="5" s="1"/>
  <c r="AS39" i="5"/>
  <c r="CA39" i="5" s="1"/>
  <c r="AS40" i="5"/>
  <c r="CA40" i="5" s="1"/>
  <c r="AS41" i="5"/>
  <c r="CA41" i="5" s="1"/>
  <c r="AS42" i="5"/>
  <c r="CA42" i="5" s="1"/>
  <c r="AS43" i="5"/>
  <c r="CA43" i="5" s="1"/>
  <c r="AS44" i="5"/>
  <c r="CA44" i="5" s="1"/>
  <c r="AS45" i="5"/>
  <c r="CA45" i="5" s="1"/>
  <c r="AS46" i="5"/>
  <c r="CA46" i="5" s="1"/>
  <c r="AS47" i="5"/>
  <c r="CA47" i="5" s="1"/>
  <c r="AS48" i="5"/>
  <c r="CA48" i="5" s="1"/>
  <c r="AS49" i="5"/>
  <c r="CA49" i="5" s="1"/>
  <c r="AS50" i="5"/>
  <c r="CA50" i="5" s="1"/>
  <c r="AS51" i="5"/>
  <c r="CA51" i="5" s="1"/>
  <c r="AS52" i="5"/>
  <c r="CA52" i="5" s="1"/>
  <c r="AS53" i="5"/>
  <c r="CA53" i="5" s="1"/>
  <c r="AS54" i="5"/>
  <c r="CA54" i="5" s="1"/>
  <c r="AS55" i="5"/>
  <c r="CA55" i="5" s="1"/>
  <c r="AR6" i="13"/>
  <c r="AR7" i="13"/>
  <c r="AR8" i="13"/>
  <c r="AR9" i="13"/>
  <c r="AR10" i="13"/>
  <c r="AR11" i="13"/>
  <c r="AR12" i="13"/>
  <c r="AR13" i="13"/>
  <c r="AR14" i="13"/>
  <c r="AR15" i="13"/>
  <c r="AR16" i="13"/>
  <c r="AR17" i="13"/>
  <c r="AR18" i="13"/>
  <c r="AR19" i="13"/>
  <c r="AR20" i="13"/>
  <c r="AR21" i="13"/>
  <c r="AR22" i="13"/>
  <c r="AR23" i="13"/>
  <c r="AR24" i="13"/>
  <c r="AR25" i="13"/>
  <c r="AR26" i="13"/>
  <c r="AR27" i="13"/>
  <c r="AR28" i="13"/>
  <c r="AR29" i="13"/>
  <c r="AR30" i="13"/>
  <c r="AR31" i="13"/>
  <c r="AR32" i="13"/>
  <c r="AR33" i="13"/>
  <c r="AR34" i="13"/>
  <c r="AR35" i="13"/>
  <c r="AR36" i="13"/>
  <c r="AR37" i="13"/>
  <c r="AR38" i="13"/>
  <c r="AR39" i="13"/>
  <c r="AR40" i="13"/>
  <c r="AR41" i="13"/>
  <c r="AR42" i="13"/>
  <c r="AR43" i="13"/>
  <c r="AR44" i="13"/>
  <c r="AR45" i="13"/>
  <c r="AR46" i="13"/>
  <c r="AR47" i="13"/>
  <c r="AR48" i="13"/>
  <c r="AR49" i="13"/>
  <c r="AR50" i="13"/>
  <c r="AR51" i="13"/>
  <c r="AR52" i="13"/>
  <c r="AR53" i="13"/>
  <c r="AR54" i="13"/>
  <c r="AR55" i="13"/>
  <c r="AR56" i="13"/>
  <c r="AR57" i="13"/>
  <c r="AR58" i="13"/>
  <c r="AR59" i="13"/>
  <c r="AR60" i="13"/>
  <c r="AR61" i="13"/>
  <c r="AR62" i="13"/>
  <c r="AR63" i="13"/>
  <c r="AR64" i="13"/>
  <c r="AR65" i="13"/>
  <c r="AR66" i="13"/>
  <c r="AB6" i="13"/>
  <c r="L6" i="13"/>
  <c r="M6" i="13"/>
  <c r="CA6" i="5"/>
  <c r="CA56" i="5"/>
  <c r="CA57" i="5"/>
  <c r="CA58" i="5"/>
  <c r="CA59" i="5"/>
  <c r="CA60" i="5"/>
  <c r="CA61" i="5"/>
  <c r="CA62" i="5"/>
  <c r="CA63" i="5"/>
  <c r="CA64" i="5"/>
  <c r="CA65" i="5"/>
  <c r="CA66" i="5"/>
  <c r="BI6" i="5"/>
  <c r="BH6" i="31" s="1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CA25" i="5"/>
  <c r="AC6" i="5"/>
  <c r="AB6" i="17" s="1"/>
  <c r="AC67" i="5"/>
  <c r="AB6" i="31" l="1"/>
  <c r="AA6" i="43"/>
  <c r="BE7" i="43"/>
  <c r="AB6" i="15"/>
  <c r="AR67" i="15"/>
  <c r="AR67" i="17"/>
  <c r="AR67" i="14"/>
  <c r="AR67" i="18"/>
  <c r="AR67" i="13"/>
  <c r="AP7" i="43"/>
  <c r="AP6" i="43"/>
  <c r="AB67" i="18"/>
  <c r="AB67" i="17"/>
  <c r="AB67" i="14"/>
  <c r="AB67" i="15"/>
  <c r="CA67" i="5"/>
  <c r="BI67" i="5"/>
  <c r="W12" i="42"/>
  <c r="W13" i="42"/>
  <c r="W14" i="42"/>
  <c r="W15" i="42"/>
  <c r="W16" i="42"/>
  <c r="W17" i="42"/>
  <c r="W18" i="42"/>
  <c r="W19" i="42"/>
  <c r="W20" i="42"/>
  <c r="W21" i="42"/>
  <c r="W22" i="42"/>
  <c r="W23" i="42"/>
  <c r="W24" i="42"/>
  <c r="W25" i="42"/>
  <c r="E20" i="4" l="1"/>
  <c r="E21" i="4" s="1"/>
  <c r="E22" i="4" s="1"/>
  <c r="E23" i="4" s="1"/>
  <c r="E7" i="43"/>
  <c r="AX7" i="43" s="1"/>
  <c r="F7" i="43"/>
  <c r="AY7" i="43" s="1"/>
  <c r="G7" i="43"/>
  <c r="AK7" i="43" s="1"/>
  <c r="H7" i="43"/>
  <c r="AL7" i="43" s="1"/>
  <c r="I7" i="43"/>
  <c r="X7" i="43" s="1"/>
  <c r="J7" i="43"/>
  <c r="AN7" i="43" s="1"/>
  <c r="K7" i="43"/>
  <c r="Z7" i="43" s="1"/>
  <c r="M7" i="43"/>
  <c r="AB7" i="43" s="1"/>
  <c r="N7" i="43"/>
  <c r="AC7" i="43" s="1"/>
  <c r="O7" i="43"/>
  <c r="AD7" i="43" s="1"/>
  <c r="P7" i="43"/>
  <c r="AE7" i="43" s="1"/>
  <c r="Q7" i="43"/>
  <c r="AU7" i="43" s="1"/>
  <c r="R7" i="43"/>
  <c r="AG7" i="43" s="1"/>
  <c r="D7" i="43"/>
  <c r="AH7" i="43" s="1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31" i="43"/>
  <c r="B32" i="43"/>
  <c r="B33" i="43"/>
  <c r="B34" i="43"/>
  <c r="B35" i="43"/>
  <c r="B36" i="43"/>
  <c r="B37" i="43"/>
  <c r="B38" i="43"/>
  <c r="B39" i="43"/>
  <c r="B40" i="43"/>
  <c r="B41" i="43"/>
  <c r="B42" i="43"/>
  <c r="B43" i="43"/>
  <c r="B44" i="43"/>
  <c r="B45" i="43"/>
  <c r="B46" i="43"/>
  <c r="B47" i="43"/>
  <c r="B48" i="43"/>
  <c r="B49" i="43"/>
  <c r="B50" i="43"/>
  <c r="B51" i="43"/>
  <c r="B52" i="43"/>
  <c r="B53" i="43"/>
  <c r="B54" i="43"/>
  <c r="B55" i="43"/>
  <c r="B56" i="43"/>
  <c r="B57" i="43"/>
  <c r="B58" i="43"/>
  <c r="B59" i="43"/>
  <c r="B60" i="43"/>
  <c r="B61" i="43"/>
  <c r="B62" i="43"/>
  <c r="B63" i="43"/>
  <c r="B64" i="43"/>
  <c r="B65" i="43"/>
  <c r="B66" i="43"/>
  <c r="B67" i="43"/>
  <c r="B8" i="43"/>
  <c r="E6" i="43"/>
  <c r="AI6" i="43" s="1"/>
  <c r="F6" i="43"/>
  <c r="AY6" i="43" s="1"/>
  <c r="G6" i="43"/>
  <c r="V6" i="43" s="1"/>
  <c r="H6" i="43"/>
  <c r="W6" i="43" s="1"/>
  <c r="I6" i="43"/>
  <c r="AM6" i="43" s="1"/>
  <c r="J6" i="43"/>
  <c r="K6" i="43"/>
  <c r="AO6" i="43" s="1"/>
  <c r="M6" i="43"/>
  <c r="AQ6" i="43" s="1"/>
  <c r="N6" i="43"/>
  <c r="AC6" i="43" s="1"/>
  <c r="O6" i="43"/>
  <c r="AD6" i="43" s="1"/>
  <c r="P6" i="43"/>
  <c r="AE6" i="43" s="1"/>
  <c r="Q6" i="43"/>
  <c r="AF6" i="43" s="1"/>
  <c r="R6" i="43"/>
  <c r="BK6" i="43" s="1"/>
  <c r="D6" i="43"/>
  <c r="S6" i="43" s="1"/>
  <c r="AP62" i="43" l="1"/>
  <c r="AZ62" i="43"/>
  <c r="BH62" i="43"/>
  <c r="BA62" i="43"/>
  <c r="BI62" i="43"/>
  <c r="BG62" i="43"/>
  <c r="BB62" i="43"/>
  <c r="BJ62" i="43"/>
  <c r="BC62" i="43"/>
  <c r="BK62" i="43"/>
  <c r="AY62" i="43"/>
  <c r="BD62" i="43"/>
  <c r="AW62" i="43"/>
  <c r="BE62" i="43"/>
  <c r="AX62" i="43"/>
  <c r="BF62" i="43"/>
  <c r="L62" i="43"/>
  <c r="AP54" i="43"/>
  <c r="AZ54" i="43"/>
  <c r="BH54" i="43"/>
  <c r="AY54" i="43"/>
  <c r="BA54" i="43"/>
  <c r="BI54" i="43"/>
  <c r="BG54" i="43"/>
  <c r="BB54" i="43"/>
  <c r="BJ54" i="43"/>
  <c r="BC54" i="43"/>
  <c r="BK54" i="43"/>
  <c r="BD54" i="43"/>
  <c r="AW54" i="43"/>
  <c r="BE54" i="43"/>
  <c r="AX54" i="43"/>
  <c r="BF54" i="43"/>
  <c r="L54" i="43"/>
  <c r="AP46" i="43"/>
  <c r="AZ46" i="43"/>
  <c r="BH46" i="43"/>
  <c r="BA46" i="43"/>
  <c r="BI46" i="43"/>
  <c r="BB46" i="43"/>
  <c r="BJ46" i="43"/>
  <c r="BG46" i="43"/>
  <c r="BC46" i="43"/>
  <c r="BK46" i="43"/>
  <c r="AY46" i="43"/>
  <c r="BD46" i="43"/>
  <c r="AW46" i="43"/>
  <c r="BE46" i="43"/>
  <c r="AX46" i="43"/>
  <c r="BF46" i="43"/>
  <c r="L46" i="43"/>
  <c r="AP38" i="43"/>
  <c r="AZ38" i="43"/>
  <c r="BH38" i="43"/>
  <c r="BA38" i="43"/>
  <c r="BI38" i="43"/>
  <c r="BG38" i="43"/>
  <c r="BB38" i="43"/>
  <c r="BJ38" i="43"/>
  <c r="BC38" i="43"/>
  <c r="BK38" i="43"/>
  <c r="BD38" i="43"/>
  <c r="AY38" i="43"/>
  <c r="AW38" i="43"/>
  <c r="BE38" i="43"/>
  <c r="AX38" i="43"/>
  <c r="BF38" i="43"/>
  <c r="L38" i="43"/>
  <c r="AP30" i="43"/>
  <c r="AZ30" i="43"/>
  <c r="BH30" i="43"/>
  <c r="BA30" i="43"/>
  <c r="BI30" i="43"/>
  <c r="BB30" i="43"/>
  <c r="BJ30" i="43"/>
  <c r="BC30" i="43"/>
  <c r="BK30" i="43"/>
  <c r="BD30" i="43"/>
  <c r="AY30" i="43"/>
  <c r="AW30" i="43"/>
  <c r="BE30" i="43"/>
  <c r="AX30" i="43"/>
  <c r="BF30" i="43"/>
  <c r="BG30" i="43"/>
  <c r="L30" i="43"/>
  <c r="AP45" i="43"/>
  <c r="AY45" i="43"/>
  <c r="BG45" i="43"/>
  <c r="BF45" i="43"/>
  <c r="AZ45" i="43"/>
  <c r="BH45" i="43"/>
  <c r="BA45" i="43"/>
  <c r="BI45" i="43"/>
  <c r="BB45" i="43"/>
  <c r="BJ45" i="43"/>
  <c r="BC45" i="43"/>
  <c r="BK45" i="43"/>
  <c r="BD45" i="43"/>
  <c r="AX45" i="43"/>
  <c r="AW45" i="43"/>
  <c r="BE45" i="43"/>
  <c r="L45" i="43"/>
  <c r="AP44" i="43"/>
  <c r="AX44" i="43"/>
  <c r="BF44" i="43"/>
  <c r="AY44" i="43"/>
  <c r="BG44" i="43"/>
  <c r="AZ44" i="43"/>
  <c r="BH44" i="43"/>
  <c r="BA44" i="43"/>
  <c r="BI44" i="43"/>
  <c r="BB44" i="43"/>
  <c r="BJ44" i="43"/>
  <c r="BE44" i="43"/>
  <c r="BC44" i="43"/>
  <c r="BK44" i="43"/>
  <c r="BD44" i="43"/>
  <c r="AW44" i="43"/>
  <c r="L44" i="43"/>
  <c r="AP59" i="43"/>
  <c r="AW59" i="43"/>
  <c r="BE59" i="43"/>
  <c r="AX59" i="43"/>
  <c r="BF59" i="43"/>
  <c r="AY59" i="43"/>
  <c r="BG59" i="43"/>
  <c r="AZ59" i="43"/>
  <c r="BH59" i="43"/>
  <c r="BA59" i="43"/>
  <c r="BI59" i="43"/>
  <c r="BB59" i="43"/>
  <c r="BJ59" i="43"/>
  <c r="BC59" i="43"/>
  <c r="BK59" i="43"/>
  <c r="BD59" i="43"/>
  <c r="L59" i="43"/>
  <c r="AP51" i="43"/>
  <c r="AW51" i="43"/>
  <c r="BE51" i="43"/>
  <c r="AX51" i="43"/>
  <c r="BF51" i="43"/>
  <c r="AY51" i="43"/>
  <c r="BG51" i="43"/>
  <c r="AZ51" i="43"/>
  <c r="BH51" i="43"/>
  <c r="BA51" i="43"/>
  <c r="BI51" i="43"/>
  <c r="BB51" i="43"/>
  <c r="BJ51" i="43"/>
  <c r="BC51" i="43"/>
  <c r="BK51" i="43"/>
  <c r="BD51" i="43"/>
  <c r="L51" i="43"/>
  <c r="AP43" i="43"/>
  <c r="AW43" i="43"/>
  <c r="BE43" i="43"/>
  <c r="AX43" i="43"/>
  <c r="BF43" i="43"/>
  <c r="AY43" i="43"/>
  <c r="BG43" i="43"/>
  <c r="BD43" i="43"/>
  <c r="AZ43" i="43"/>
  <c r="BH43" i="43"/>
  <c r="BA43" i="43"/>
  <c r="BI43" i="43"/>
  <c r="BB43" i="43"/>
  <c r="BJ43" i="43"/>
  <c r="BC43" i="43"/>
  <c r="BK43" i="43"/>
  <c r="L43" i="43"/>
  <c r="AP35" i="43"/>
  <c r="AW35" i="43"/>
  <c r="BE35" i="43"/>
  <c r="AX35" i="43"/>
  <c r="BF35" i="43"/>
  <c r="AY35" i="43"/>
  <c r="BG35" i="43"/>
  <c r="AZ35" i="43"/>
  <c r="BH35" i="43"/>
  <c r="BA35" i="43"/>
  <c r="BI35" i="43"/>
  <c r="BB35" i="43"/>
  <c r="BJ35" i="43"/>
  <c r="BC35" i="43"/>
  <c r="BK35" i="43"/>
  <c r="BD35" i="43"/>
  <c r="L35" i="43"/>
  <c r="AP60" i="43"/>
  <c r="AX60" i="43"/>
  <c r="BF60" i="43"/>
  <c r="AY60" i="43"/>
  <c r="BG60" i="43"/>
  <c r="AZ60" i="43"/>
  <c r="BH60" i="43"/>
  <c r="BA60" i="43"/>
  <c r="BI60" i="43"/>
  <c r="BB60" i="43"/>
  <c r="BJ60" i="43"/>
  <c r="AW60" i="43"/>
  <c r="BC60" i="43"/>
  <c r="BK60" i="43"/>
  <c r="BE60" i="43"/>
  <c r="BD60" i="43"/>
  <c r="L60" i="43"/>
  <c r="AP67" i="43"/>
  <c r="AW67" i="43"/>
  <c r="BE67" i="43"/>
  <c r="AX67" i="43"/>
  <c r="BF67" i="43"/>
  <c r="AY67" i="43"/>
  <c r="BG67" i="43"/>
  <c r="BD67" i="43"/>
  <c r="AZ67" i="43"/>
  <c r="BH67" i="43"/>
  <c r="BA67" i="43"/>
  <c r="BI67" i="43"/>
  <c r="BB67" i="43"/>
  <c r="BJ67" i="43"/>
  <c r="BC67" i="43"/>
  <c r="BK67" i="43"/>
  <c r="L67" i="43"/>
  <c r="AP66" i="43"/>
  <c r="BD66" i="43"/>
  <c r="AW66" i="43"/>
  <c r="BE66" i="43"/>
  <c r="BK66" i="43"/>
  <c r="AX66" i="43"/>
  <c r="BF66" i="43"/>
  <c r="AY66" i="43"/>
  <c r="BG66" i="43"/>
  <c r="AZ66" i="43"/>
  <c r="BH66" i="43"/>
  <c r="BC66" i="43"/>
  <c r="BA66" i="43"/>
  <c r="BI66" i="43"/>
  <c r="BB66" i="43"/>
  <c r="BJ66" i="43"/>
  <c r="L66" i="43"/>
  <c r="AP58" i="43"/>
  <c r="BD58" i="43"/>
  <c r="AW58" i="43"/>
  <c r="BE58" i="43"/>
  <c r="BC58" i="43"/>
  <c r="AX58" i="43"/>
  <c r="BF58" i="43"/>
  <c r="AY58" i="43"/>
  <c r="BG58" i="43"/>
  <c r="BK58" i="43"/>
  <c r="AZ58" i="43"/>
  <c r="BH58" i="43"/>
  <c r="BA58" i="43"/>
  <c r="BI58" i="43"/>
  <c r="BB58" i="43"/>
  <c r="BJ58" i="43"/>
  <c r="L58" i="43"/>
  <c r="AP50" i="43"/>
  <c r="BD50" i="43"/>
  <c r="BC50" i="43"/>
  <c r="AW50" i="43"/>
  <c r="BE50" i="43"/>
  <c r="BK50" i="43"/>
  <c r="AX50" i="43"/>
  <c r="BF50" i="43"/>
  <c r="AY50" i="43"/>
  <c r="BG50" i="43"/>
  <c r="AZ50" i="43"/>
  <c r="BH50" i="43"/>
  <c r="BA50" i="43"/>
  <c r="BI50" i="43"/>
  <c r="BB50" i="43"/>
  <c r="BJ50" i="43"/>
  <c r="L50" i="43"/>
  <c r="AP42" i="43"/>
  <c r="BD42" i="43"/>
  <c r="AW42" i="43"/>
  <c r="BE42" i="43"/>
  <c r="BK42" i="43"/>
  <c r="AX42" i="43"/>
  <c r="BF42" i="43"/>
  <c r="AY42" i="43"/>
  <c r="BG42" i="43"/>
  <c r="AZ42" i="43"/>
  <c r="BH42" i="43"/>
  <c r="BA42" i="43"/>
  <c r="BI42" i="43"/>
  <c r="BC42" i="43"/>
  <c r="BB42" i="43"/>
  <c r="BJ42" i="43"/>
  <c r="L42" i="43"/>
  <c r="AP34" i="43"/>
  <c r="BD34" i="43"/>
  <c r="AW34" i="43"/>
  <c r="BE34" i="43"/>
  <c r="BC34" i="43"/>
  <c r="AX34" i="43"/>
  <c r="BF34" i="43"/>
  <c r="AY34" i="43"/>
  <c r="BG34" i="43"/>
  <c r="AZ34" i="43"/>
  <c r="BH34" i="43"/>
  <c r="BK34" i="43"/>
  <c r="BA34" i="43"/>
  <c r="BI34" i="43"/>
  <c r="BB34" i="43"/>
  <c r="BJ34" i="43"/>
  <c r="L34" i="43"/>
  <c r="AP53" i="43"/>
  <c r="AY53" i="43"/>
  <c r="BG53" i="43"/>
  <c r="AZ53" i="43"/>
  <c r="BH53" i="43"/>
  <c r="BA53" i="43"/>
  <c r="BI53" i="43"/>
  <c r="BF53" i="43"/>
  <c r="BB53" i="43"/>
  <c r="BJ53" i="43"/>
  <c r="BC53" i="43"/>
  <c r="BK53" i="43"/>
  <c r="BD53" i="43"/>
  <c r="AX53" i="43"/>
  <c r="AW53" i="43"/>
  <c r="BE53" i="43"/>
  <c r="L53" i="43"/>
  <c r="AP65" i="43"/>
  <c r="BC65" i="43"/>
  <c r="BK65" i="43"/>
  <c r="BJ65" i="43"/>
  <c r="BD65" i="43"/>
  <c r="AW65" i="43"/>
  <c r="BE65" i="43"/>
  <c r="AX65" i="43"/>
  <c r="BF65" i="43"/>
  <c r="BB65" i="43"/>
  <c r="AY65" i="43"/>
  <c r="BG65" i="43"/>
  <c r="AZ65" i="43"/>
  <c r="BH65" i="43"/>
  <c r="BA65" i="43"/>
  <c r="BI65" i="43"/>
  <c r="L65" i="43"/>
  <c r="AP57" i="43"/>
  <c r="BC57" i="43"/>
  <c r="BK57" i="43"/>
  <c r="BJ57" i="43"/>
  <c r="BD57" i="43"/>
  <c r="AW57" i="43"/>
  <c r="BE57" i="43"/>
  <c r="BB57" i="43"/>
  <c r="AX57" i="43"/>
  <c r="BF57" i="43"/>
  <c r="AY57" i="43"/>
  <c r="BG57" i="43"/>
  <c r="AZ57" i="43"/>
  <c r="BH57" i="43"/>
  <c r="BA57" i="43"/>
  <c r="BI57" i="43"/>
  <c r="L57" i="43"/>
  <c r="AP49" i="43"/>
  <c r="BC49" i="43"/>
  <c r="BK49" i="43"/>
  <c r="BD49" i="43"/>
  <c r="AW49" i="43"/>
  <c r="BE49" i="43"/>
  <c r="BB49" i="43"/>
  <c r="AX49" i="43"/>
  <c r="BF49" i="43"/>
  <c r="BJ49" i="43"/>
  <c r="AY49" i="43"/>
  <c r="BG49" i="43"/>
  <c r="AZ49" i="43"/>
  <c r="BH49" i="43"/>
  <c r="BA49" i="43"/>
  <c r="BI49" i="43"/>
  <c r="L49" i="43"/>
  <c r="AP41" i="43"/>
  <c r="BC41" i="43"/>
  <c r="BK41" i="43"/>
  <c r="BD41" i="43"/>
  <c r="AW41" i="43"/>
  <c r="BE41" i="43"/>
  <c r="AX41" i="43"/>
  <c r="BF41" i="43"/>
  <c r="BB41" i="43"/>
  <c r="AY41" i="43"/>
  <c r="BG41" i="43"/>
  <c r="BJ41" i="43"/>
  <c r="AZ41" i="43"/>
  <c r="BH41" i="43"/>
  <c r="BA41" i="43"/>
  <c r="BI41" i="43"/>
  <c r="L41" i="43"/>
  <c r="AP33" i="43"/>
  <c r="BC33" i="43"/>
  <c r="BK33" i="43"/>
  <c r="BJ33" i="43"/>
  <c r="BD33" i="43"/>
  <c r="AW33" i="43"/>
  <c r="BE33" i="43"/>
  <c r="BB33" i="43"/>
  <c r="AX33" i="43"/>
  <c r="BF33" i="43"/>
  <c r="AY33" i="43"/>
  <c r="BG33" i="43"/>
  <c r="AZ33" i="43"/>
  <c r="BH33" i="43"/>
  <c r="BA33" i="43"/>
  <c r="BI33" i="43"/>
  <c r="L33" i="43"/>
  <c r="AP36" i="43"/>
  <c r="AX36" i="43"/>
  <c r="BF36" i="43"/>
  <c r="AY36" i="43"/>
  <c r="BG36" i="43"/>
  <c r="AZ36" i="43"/>
  <c r="BH36" i="43"/>
  <c r="BE36" i="43"/>
  <c r="BA36" i="43"/>
  <c r="BI36" i="43"/>
  <c r="BB36" i="43"/>
  <c r="BJ36" i="43"/>
  <c r="BC36" i="43"/>
  <c r="BK36" i="43"/>
  <c r="AW36" i="43"/>
  <c r="BD36" i="43"/>
  <c r="L36" i="43"/>
  <c r="AP64" i="43"/>
  <c r="BB64" i="43"/>
  <c r="BJ64" i="43"/>
  <c r="BC64" i="43"/>
  <c r="BK64" i="43"/>
  <c r="BD64" i="43"/>
  <c r="BA64" i="43"/>
  <c r="AW64" i="43"/>
  <c r="BE64" i="43"/>
  <c r="AX64" i="43"/>
  <c r="BF64" i="43"/>
  <c r="AY64" i="43"/>
  <c r="BG64" i="43"/>
  <c r="BI64" i="43"/>
  <c r="AZ64" i="43"/>
  <c r="BH64" i="43"/>
  <c r="L64" i="43"/>
  <c r="AP56" i="43"/>
  <c r="BB56" i="43"/>
  <c r="BJ56" i="43"/>
  <c r="BC56" i="43"/>
  <c r="BK56" i="43"/>
  <c r="BD56" i="43"/>
  <c r="AW56" i="43"/>
  <c r="BE56" i="43"/>
  <c r="AX56" i="43"/>
  <c r="BF56" i="43"/>
  <c r="BA56" i="43"/>
  <c r="AY56" i="43"/>
  <c r="BG56" i="43"/>
  <c r="BI56" i="43"/>
  <c r="AZ56" i="43"/>
  <c r="BH56" i="43"/>
  <c r="L56" i="43"/>
  <c r="AP48" i="43"/>
  <c r="BB48" i="43"/>
  <c r="BJ48" i="43"/>
  <c r="BC48" i="43"/>
  <c r="BK48" i="43"/>
  <c r="BD48" i="43"/>
  <c r="AW48" i="43"/>
  <c r="BE48" i="43"/>
  <c r="AX48" i="43"/>
  <c r="BF48" i="43"/>
  <c r="BA48" i="43"/>
  <c r="AY48" i="43"/>
  <c r="BG48" i="43"/>
  <c r="BI48" i="43"/>
  <c r="AZ48" i="43"/>
  <c r="BH48" i="43"/>
  <c r="L48" i="43"/>
  <c r="AP40" i="43"/>
  <c r="BB40" i="43"/>
  <c r="BJ40" i="43"/>
  <c r="BI40" i="43"/>
  <c r="BC40" i="43"/>
  <c r="BK40" i="43"/>
  <c r="BD40" i="43"/>
  <c r="AW40" i="43"/>
  <c r="BE40" i="43"/>
  <c r="AX40" i="43"/>
  <c r="BF40" i="43"/>
  <c r="AY40" i="43"/>
  <c r="BG40" i="43"/>
  <c r="AZ40" i="43"/>
  <c r="BH40" i="43"/>
  <c r="BA40" i="43"/>
  <c r="L40" i="43"/>
  <c r="AP32" i="43"/>
  <c r="BB32" i="43"/>
  <c r="BJ32" i="43"/>
  <c r="BI32" i="43"/>
  <c r="BC32" i="43"/>
  <c r="BK32" i="43"/>
  <c r="BA32" i="43"/>
  <c r="BD32" i="43"/>
  <c r="AW32" i="43"/>
  <c r="BE32" i="43"/>
  <c r="AX32" i="43"/>
  <c r="BF32" i="43"/>
  <c r="AY32" i="43"/>
  <c r="BG32" i="43"/>
  <c r="AZ32" i="43"/>
  <c r="BH32" i="43"/>
  <c r="L32" i="43"/>
  <c r="AP61" i="43"/>
  <c r="AY61" i="43"/>
  <c r="BG61" i="43"/>
  <c r="BF61" i="43"/>
  <c r="AZ61" i="43"/>
  <c r="BH61" i="43"/>
  <c r="BA61" i="43"/>
  <c r="BI61" i="43"/>
  <c r="AX61" i="43"/>
  <c r="BB61" i="43"/>
  <c r="BJ61" i="43"/>
  <c r="BC61" i="43"/>
  <c r="BK61" i="43"/>
  <c r="BD61" i="43"/>
  <c r="AW61" i="43"/>
  <c r="BE61" i="43"/>
  <c r="L61" i="43"/>
  <c r="AP37" i="43"/>
  <c r="AY37" i="43"/>
  <c r="BG37" i="43"/>
  <c r="BF37" i="43"/>
  <c r="AZ37" i="43"/>
  <c r="BH37" i="43"/>
  <c r="BA37" i="43"/>
  <c r="BI37" i="43"/>
  <c r="BB37" i="43"/>
  <c r="BJ37" i="43"/>
  <c r="AX37" i="43"/>
  <c r="BC37" i="43"/>
  <c r="BK37" i="43"/>
  <c r="BD37" i="43"/>
  <c r="AW37" i="43"/>
  <c r="BE37" i="43"/>
  <c r="L37" i="43"/>
  <c r="AP52" i="43"/>
  <c r="AX52" i="43"/>
  <c r="BF52" i="43"/>
  <c r="AY52" i="43"/>
  <c r="BG52" i="43"/>
  <c r="AZ52" i="43"/>
  <c r="BH52" i="43"/>
  <c r="BA52" i="43"/>
  <c r="BI52" i="43"/>
  <c r="BE52" i="43"/>
  <c r="BB52" i="43"/>
  <c r="BJ52" i="43"/>
  <c r="AW52" i="43"/>
  <c r="BC52" i="43"/>
  <c r="BK52" i="43"/>
  <c r="BD52" i="43"/>
  <c r="L52" i="43"/>
  <c r="C67" i="43"/>
  <c r="AP63" i="43"/>
  <c r="BA63" i="43"/>
  <c r="BI63" i="43"/>
  <c r="BB63" i="43"/>
  <c r="BJ63" i="43"/>
  <c r="BC63" i="43"/>
  <c r="BK63" i="43"/>
  <c r="BD63" i="43"/>
  <c r="AW63" i="43"/>
  <c r="BE63" i="43"/>
  <c r="BH63" i="43"/>
  <c r="AX63" i="43"/>
  <c r="BF63" i="43"/>
  <c r="AY63" i="43"/>
  <c r="BG63" i="43"/>
  <c r="AZ63" i="43"/>
  <c r="L63" i="43"/>
  <c r="AP55" i="43"/>
  <c r="BA55" i="43"/>
  <c r="BI55" i="43"/>
  <c r="BB55" i="43"/>
  <c r="BJ55" i="43"/>
  <c r="BC55" i="43"/>
  <c r="BK55" i="43"/>
  <c r="BD55" i="43"/>
  <c r="BH55" i="43"/>
  <c r="AW55" i="43"/>
  <c r="BE55" i="43"/>
  <c r="AX55" i="43"/>
  <c r="BF55" i="43"/>
  <c r="AY55" i="43"/>
  <c r="BG55" i="43"/>
  <c r="AZ55" i="43"/>
  <c r="L55" i="43"/>
  <c r="AP47" i="43"/>
  <c r="BA47" i="43"/>
  <c r="BI47" i="43"/>
  <c r="BB47" i="43"/>
  <c r="BJ47" i="43"/>
  <c r="AZ47" i="43"/>
  <c r="BC47" i="43"/>
  <c r="BK47" i="43"/>
  <c r="BD47" i="43"/>
  <c r="AW47" i="43"/>
  <c r="BE47" i="43"/>
  <c r="AX47" i="43"/>
  <c r="BF47" i="43"/>
  <c r="AY47" i="43"/>
  <c r="BG47" i="43"/>
  <c r="BH47" i="43"/>
  <c r="L47" i="43"/>
  <c r="AP39" i="43"/>
  <c r="BA39" i="43"/>
  <c r="BI39" i="43"/>
  <c r="BB39" i="43"/>
  <c r="BJ39" i="43"/>
  <c r="BC39" i="43"/>
  <c r="BK39" i="43"/>
  <c r="BH39" i="43"/>
  <c r="BD39" i="43"/>
  <c r="AW39" i="43"/>
  <c r="BE39" i="43"/>
  <c r="AX39" i="43"/>
  <c r="BF39" i="43"/>
  <c r="AZ39" i="43"/>
  <c r="AY39" i="43"/>
  <c r="BG39" i="43"/>
  <c r="L39" i="43"/>
  <c r="AP31" i="43"/>
  <c r="BA31" i="43"/>
  <c r="BI31" i="43"/>
  <c r="BB31" i="43"/>
  <c r="BJ31" i="43"/>
  <c r="BC31" i="43"/>
  <c r="BK31" i="43"/>
  <c r="BD31" i="43"/>
  <c r="BH31" i="43"/>
  <c r="AW31" i="43"/>
  <c r="BE31" i="43"/>
  <c r="AX31" i="43"/>
  <c r="BF31" i="43"/>
  <c r="AZ31" i="43"/>
  <c r="AY31" i="43"/>
  <c r="BG31" i="43"/>
  <c r="L31" i="43"/>
  <c r="AP15" i="43"/>
  <c r="BC15" i="43"/>
  <c r="BK15" i="43"/>
  <c r="AY15" i="43"/>
  <c r="AZ15" i="43"/>
  <c r="BI15" i="43"/>
  <c r="BD15" i="43"/>
  <c r="BH15" i="43"/>
  <c r="BA15" i="43"/>
  <c r="AW15" i="43"/>
  <c r="BE15" i="43"/>
  <c r="AX15" i="43"/>
  <c r="BF15" i="43"/>
  <c r="BG15" i="43"/>
  <c r="BB15" i="43"/>
  <c r="BJ15" i="43"/>
  <c r="AP22" i="43"/>
  <c r="BB22" i="43"/>
  <c r="BJ22" i="43"/>
  <c r="BF22" i="43"/>
  <c r="AY22" i="43"/>
  <c r="BH22" i="43"/>
  <c r="BC22" i="43"/>
  <c r="BK22" i="43"/>
  <c r="BD22" i="43"/>
  <c r="AW22" i="43"/>
  <c r="BE22" i="43"/>
  <c r="AX22" i="43"/>
  <c r="BG22" i="43"/>
  <c r="AZ22" i="43"/>
  <c r="BA22" i="43"/>
  <c r="BI22" i="43"/>
  <c r="AP29" i="43"/>
  <c r="BA29" i="43"/>
  <c r="BI29" i="43"/>
  <c r="BB29" i="43"/>
  <c r="BJ29" i="43"/>
  <c r="BE29" i="43"/>
  <c r="BF29" i="43"/>
  <c r="BC29" i="43"/>
  <c r="BK29" i="43"/>
  <c r="BD29" i="43"/>
  <c r="AW29" i="43"/>
  <c r="AX29" i="43"/>
  <c r="AZ29" i="43"/>
  <c r="BG29" i="43"/>
  <c r="BH29" i="43"/>
  <c r="AY29" i="43"/>
  <c r="AP13" i="43"/>
  <c r="BA13" i="43"/>
  <c r="BI13" i="43"/>
  <c r="AW13" i="43"/>
  <c r="BF13" i="43"/>
  <c r="BB13" i="43"/>
  <c r="BJ13" i="43"/>
  <c r="BE13" i="43"/>
  <c r="BG13" i="43"/>
  <c r="BC13" i="43"/>
  <c r="BK13" i="43"/>
  <c r="BD13" i="43"/>
  <c r="AX13" i="43"/>
  <c r="AY13" i="43"/>
  <c r="AZ13" i="43"/>
  <c r="BH13" i="43"/>
  <c r="AP28" i="43"/>
  <c r="AZ28" i="43"/>
  <c r="BH28" i="43"/>
  <c r="BD28" i="43"/>
  <c r="BE28" i="43"/>
  <c r="BA28" i="43"/>
  <c r="BI28" i="43"/>
  <c r="AX28" i="43"/>
  <c r="BB28" i="43"/>
  <c r="BJ28" i="43"/>
  <c r="BC28" i="43"/>
  <c r="BK28" i="43"/>
  <c r="AW28" i="43"/>
  <c r="AY28" i="43"/>
  <c r="BG28" i="43"/>
  <c r="BF28" i="43"/>
  <c r="AP19" i="43"/>
  <c r="AY19" i="43"/>
  <c r="BG19" i="43"/>
  <c r="BC19" i="43"/>
  <c r="AW19" i="43"/>
  <c r="AZ19" i="43"/>
  <c r="BH19" i="43"/>
  <c r="BE19" i="43"/>
  <c r="BA19" i="43"/>
  <c r="BI19" i="43"/>
  <c r="BB19" i="43"/>
  <c r="BJ19" i="43"/>
  <c r="BK19" i="43"/>
  <c r="BD19" i="43"/>
  <c r="AX19" i="43"/>
  <c r="BF19" i="43"/>
  <c r="AP26" i="43"/>
  <c r="AX26" i="43"/>
  <c r="BF26" i="43"/>
  <c r="BB26" i="43"/>
  <c r="BC26" i="43"/>
  <c r="BK26" i="43"/>
  <c r="BD26" i="43"/>
  <c r="AY26" i="43"/>
  <c r="BG26" i="43"/>
  <c r="BJ26" i="43"/>
  <c r="AZ26" i="43"/>
  <c r="BH26" i="43"/>
  <c r="BA26" i="43"/>
  <c r="BI26" i="43"/>
  <c r="AW26" i="43"/>
  <c r="BE26" i="43"/>
  <c r="AP18" i="43"/>
  <c r="AX18" i="43"/>
  <c r="BF18" i="43"/>
  <c r="BB18" i="43"/>
  <c r="BC18" i="43"/>
  <c r="AY18" i="43"/>
  <c r="BG18" i="43"/>
  <c r="BJ18" i="43"/>
  <c r="BK18" i="43"/>
  <c r="AZ18" i="43"/>
  <c r="BH18" i="43"/>
  <c r="BA18" i="43"/>
  <c r="BI18" i="43"/>
  <c r="BD18" i="43"/>
  <c r="AW18" i="43"/>
  <c r="BE18" i="43"/>
  <c r="AP25" i="43"/>
  <c r="AW25" i="43"/>
  <c r="BE25" i="43"/>
  <c r="AX25" i="43"/>
  <c r="BF25" i="43"/>
  <c r="BB25" i="43"/>
  <c r="BK25" i="43"/>
  <c r="AY25" i="43"/>
  <c r="BG25" i="43"/>
  <c r="AZ25" i="43"/>
  <c r="BH25" i="43"/>
  <c r="BA25" i="43"/>
  <c r="BI25" i="43"/>
  <c r="BJ25" i="43"/>
  <c r="BC25" i="43"/>
  <c r="BD25" i="43"/>
  <c r="AP17" i="43"/>
  <c r="AW17" i="43"/>
  <c r="BE17" i="43"/>
  <c r="BK17" i="43"/>
  <c r="AX17" i="43"/>
  <c r="BF17" i="43"/>
  <c r="BI17" i="43"/>
  <c r="BB17" i="43"/>
  <c r="AY17" i="43"/>
  <c r="BG17" i="43"/>
  <c r="AZ17" i="43"/>
  <c r="BH17" i="43"/>
  <c r="BA17" i="43"/>
  <c r="BJ17" i="43"/>
  <c r="BC17" i="43"/>
  <c r="BD17" i="43"/>
  <c r="AP9" i="43"/>
  <c r="AW9" i="43"/>
  <c r="BE9" i="43"/>
  <c r="BI9" i="43"/>
  <c r="BK9" i="43"/>
  <c r="AX9" i="43"/>
  <c r="BF9" i="43"/>
  <c r="BB9" i="43"/>
  <c r="AY9" i="43"/>
  <c r="BG9" i="43"/>
  <c r="AZ9" i="43"/>
  <c r="BH9" i="43"/>
  <c r="BJ9" i="43"/>
  <c r="BC9" i="43"/>
  <c r="BA9" i="43"/>
  <c r="BD9" i="43"/>
  <c r="AP23" i="43"/>
  <c r="BC23" i="43"/>
  <c r="BK23" i="43"/>
  <c r="BH23" i="43"/>
  <c r="BI23" i="43"/>
  <c r="BD23" i="43"/>
  <c r="AY23" i="43"/>
  <c r="F23" i="43" s="1"/>
  <c r="AZ23" i="43"/>
  <c r="BA23" i="43"/>
  <c r="AW23" i="43"/>
  <c r="BE23" i="43"/>
  <c r="AX23" i="43"/>
  <c r="BF23" i="43"/>
  <c r="BG23" i="43"/>
  <c r="BJ23" i="43"/>
  <c r="BB23" i="43"/>
  <c r="AP14" i="43"/>
  <c r="BB14" i="43"/>
  <c r="BJ14" i="43"/>
  <c r="BF14" i="43"/>
  <c r="BH14" i="43"/>
  <c r="BC14" i="43"/>
  <c r="BK14" i="43"/>
  <c r="AY14" i="43"/>
  <c r="BD14" i="43"/>
  <c r="AW14" i="43"/>
  <c r="BE14" i="43"/>
  <c r="AX14" i="43"/>
  <c r="BG14" i="43"/>
  <c r="AZ14" i="43"/>
  <c r="BA14" i="43"/>
  <c r="BI14" i="43"/>
  <c r="AP21" i="43"/>
  <c r="BA21" i="43"/>
  <c r="BI21" i="43"/>
  <c r="AW21" i="43"/>
  <c r="AX21" i="43"/>
  <c r="BG21" i="43"/>
  <c r="BB21" i="43"/>
  <c r="BJ21" i="43"/>
  <c r="BE21" i="43"/>
  <c r="BF21" i="43"/>
  <c r="AY21" i="43"/>
  <c r="BC21" i="43"/>
  <c r="BK21" i="43"/>
  <c r="BD21" i="43"/>
  <c r="BH21" i="43"/>
  <c r="AZ21" i="43"/>
  <c r="AP8" i="43"/>
  <c r="BA8" i="43"/>
  <c r="BI8" i="43"/>
  <c r="AX8" i="43"/>
  <c r="BB8" i="43"/>
  <c r="BJ8" i="43"/>
  <c r="BF8" i="43"/>
  <c r="BC8" i="43"/>
  <c r="BK8" i="43"/>
  <c r="BD8" i="43"/>
  <c r="AW8" i="43"/>
  <c r="BE8" i="43"/>
  <c r="BH8" i="43"/>
  <c r="BG8" i="43"/>
  <c r="AY8" i="43"/>
  <c r="AZ8" i="43"/>
  <c r="AP20" i="43"/>
  <c r="AZ20" i="43"/>
  <c r="BH20" i="43"/>
  <c r="AW20" i="43"/>
  <c r="BF20" i="43"/>
  <c r="BA20" i="43"/>
  <c r="BI20" i="43"/>
  <c r="BD20" i="43"/>
  <c r="BE20" i="43"/>
  <c r="BB20" i="43"/>
  <c r="BJ20" i="43"/>
  <c r="BC20" i="43"/>
  <c r="BK20" i="43"/>
  <c r="AX20" i="43"/>
  <c r="BG20" i="43"/>
  <c r="AY20" i="43"/>
  <c r="AP12" i="43"/>
  <c r="AZ12" i="43"/>
  <c r="BH12" i="43"/>
  <c r="BE12" i="43"/>
  <c r="BF12" i="43"/>
  <c r="BA12" i="43"/>
  <c r="BI12" i="43"/>
  <c r="AW12" i="43"/>
  <c r="BB12" i="43"/>
  <c r="BJ12" i="43"/>
  <c r="BC12" i="43"/>
  <c r="BK12" i="43"/>
  <c r="BD12" i="43"/>
  <c r="AX12" i="43"/>
  <c r="BG12" i="43"/>
  <c r="AY12" i="43"/>
  <c r="AP27" i="43"/>
  <c r="AY27" i="43"/>
  <c r="BG27" i="43"/>
  <c r="AZ27" i="43"/>
  <c r="BH27" i="43"/>
  <c r="BK27" i="43"/>
  <c r="BD27" i="43"/>
  <c r="BA27" i="43"/>
  <c r="BI27" i="43"/>
  <c r="BB27" i="43"/>
  <c r="BJ27" i="43"/>
  <c r="BC27" i="43"/>
  <c r="AW27" i="43"/>
  <c r="BE27" i="43"/>
  <c r="AX27" i="43"/>
  <c r="BF27" i="43"/>
  <c r="AP11" i="43"/>
  <c r="AY11" i="43"/>
  <c r="BG11" i="43"/>
  <c r="BC11" i="43"/>
  <c r="BK11" i="43"/>
  <c r="AW11" i="43"/>
  <c r="AZ11" i="43"/>
  <c r="BH11" i="43"/>
  <c r="BE11" i="43"/>
  <c r="BA11" i="43"/>
  <c r="BI11" i="43"/>
  <c r="BB11" i="43"/>
  <c r="BJ11" i="43"/>
  <c r="BD11" i="43"/>
  <c r="AX11" i="43"/>
  <c r="BF11" i="43"/>
  <c r="AP10" i="43"/>
  <c r="AX10" i="43"/>
  <c r="BF10" i="43"/>
  <c r="BC10" i="43"/>
  <c r="BK10" i="43"/>
  <c r="AY10" i="43"/>
  <c r="BG10" i="43"/>
  <c r="BB10" i="43"/>
  <c r="BD10" i="43"/>
  <c r="AZ10" i="43"/>
  <c r="BH10" i="43"/>
  <c r="BA10" i="43"/>
  <c r="BI10" i="43"/>
  <c r="BJ10" i="43"/>
  <c r="AW10" i="43"/>
  <c r="BE10" i="43"/>
  <c r="AP24" i="43"/>
  <c r="BD24" i="43"/>
  <c r="BH24" i="43"/>
  <c r="BI24" i="43"/>
  <c r="BJ24" i="43"/>
  <c r="AW24" i="43"/>
  <c r="BE24" i="43"/>
  <c r="AZ24" i="43"/>
  <c r="AX24" i="43"/>
  <c r="BF24" i="43"/>
  <c r="AY24" i="43"/>
  <c r="BG24" i="43"/>
  <c r="BA24" i="43"/>
  <c r="BB24" i="43"/>
  <c r="BC24" i="43"/>
  <c r="BK24" i="43"/>
  <c r="AP16" i="43"/>
  <c r="BD16" i="43"/>
  <c r="BH16" i="43"/>
  <c r="BI16" i="43"/>
  <c r="AW16" i="43"/>
  <c r="BE16" i="43"/>
  <c r="AZ16" i="43"/>
  <c r="BJ16" i="43"/>
  <c r="AX16" i="43"/>
  <c r="BF16" i="43"/>
  <c r="AY16" i="43"/>
  <c r="BG16" i="43"/>
  <c r="BA16" i="43"/>
  <c r="BB16" i="43"/>
  <c r="BC16" i="43"/>
  <c r="BK16" i="43"/>
  <c r="AA45" i="43"/>
  <c r="AA21" i="43"/>
  <c r="AA8" i="43"/>
  <c r="AA60" i="43"/>
  <c r="AG52" i="43"/>
  <c r="AA52" i="43"/>
  <c r="AG44" i="43"/>
  <c r="AA44" i="43"/>
  <c r="T36" i="43"/>
  <c r="AA36" i="43"/>
  <c r="AQ28" i="43"/>
  <c r="AA28" i="43"/>
  <c r="AE20" i="43"/>
  <c r="AA20" i="43"/>
  <c r="T12" i="43"/>
  <c r="AA12" i="43"/>
  <c r="S46" i="43"/>
  <c r="AA46" i="43"/>
  <c r="U30" i="43"/>
  <c r="AA30" i="43"/>
  <c r="AF53" i="43"/>
  <c r="AA53" i="43"/>
  <c r="AI37" i="43"/>
  <c r="AA37" i="43"/>
  <c r="AA51" i="43"/>
  <c r="AA66" i="43"/>
  <c r="AA58" i="43"/>
  <c r="AI50" i="43"/>
  <c r="AA50" i="43"/>
  <c r="X42" i="43"/>
  <c r="AA42" i="43"/>
  <c r="AA34" i="43"/>
  <c r="AL26" i="43"/>
  <c r="AA26" i="43"/>
  <c r="AA18" i="43"/>
  <c r="AD10" i="43"/>
  <c r="AA10" i="43"/>
  <c r="AA62" i="43"/>
  <c r="AB38" i="43"/>
  <c r="AA38" i="43"/>
  <c r="U22" i="43"/>
  <c r="AA22" i="43"/>
  <c r="L22" i="43" s="1"/>
  <c r="AI59" i="43"/>
  <c r="AA59" i="43"/>
  <c r="T27" i="43"/>
  <c r="AA27" i="43"/>
  <c r="T19" i="43"/>
  <c r="AA19" i="43"/>
  <c r="AA65" i="43"/>
  <c r="AA57" i="43"/>
  <c r="AC49" i="43"/>
  <c r="AA49" i="43"/>
  <c r="AC41" i="43"/>
  <c r="AA41" i="43"/>
  <c r="AE33" i="43"/>
  <c r="AA33" i="43"/>
  <c r="AE25" i="43"/>
  <c r="AA25" i="43"/>
  <c r="L25" i="43" s="1"/>
  <c r="AQ17" i="43"/>
  <c r="AA17" i="43"/>
  <c r="AA9" i="43"/>
  <c r="AA61" i="43"/>
  <c r="AF13" i="43"/>
  <c r="AA13" i="43"/>
  <c r="AI67" i="43"/>
  <c r="AA67" i="43"/>
  <c r="AV35" i="43"/>
  <c r="AA35" i="43"/>
  <c r="Y64" i="43"/>
  <c r="AA64" i="43"/>
  <c r="AA56" i="43"/>
  <c r="AA48" i="43"/>
  <c r="AA40" i="43"/>
  <c r="AA32" i="43"/>
  <c r="AA24" i="43"/>
  <c r="AA16" i="43"/>
  <c r="AI54" i="43"/>
  <c r="AA54" i="43"/>
  <c r="U14" i="43"/>
  <c r="AA14" i="43"/>
  <c r="AF29" i="43"/>
  <c r="AA29" i="43"/>
  <c r="L29" i="43" s="1"/>
  <c r="AA43" i="43"/>
  <c r="W11" i="43"/>
  <c r="AA11" i="43"/>
  <c r="AA63" i="43"/>
  <c r="AA55" i="43"/>
  <c r="AE47" i="43"/>
  <c r="AA47" i="43"/>
  <c r="AA39" i="43"/>
  <c r="W31" i="43"/>
  <c r="AA31" i="43"/>
  <c r="W23" i="43"/>
  <c r="AA23" i="43"/>
  <c r="L23" i="43" s="1"/>
  <c r="Z15" i="43"/>
  <c r="AA15" i="43"/>
  <c r="Y62" i="43"/>
  <c r="BG6" i="43"/>
  <c r="BA6" i="43"/>
  <c r="H57" i="43"/>
  <c r="AB62" i="43"/>
  <c r="W7" i="43"/>
  <c r="AF59" i="43"/>
  <c r="Y7" i="43"/>
  <c r="H65" i="43"/>
  <c r="AN64" i="43"/>
  <c r="Q64" i="43"/>
  <c r="AL64" i="43"/>
  <c r="O61" i="43"/>
  <c r="AH61" i="43"/>
  <c r="J61" i="43"/>
  <c r="C59" i="43"/>
  <c r="BJ6" i="43"/>
  <c r="S7" i="43"/>
  <c r="F67" i="43"/>
  <c r="Q61" i="43"/>
  <c r="F59" i="43"/>
  <c r="AD63" i="43"/>
  <c r="U60" i="43"/>
  <c r="AQ65" i="43"/>
  <c r="AS61" i="43"/>
  <c r="C60" i="43"/>
  <c r="U59" i="43"/>
  <c r="AW7" i="43"/>
  <c r="AX6" i="43"/>
  <c r="U7" i="43"/>
  <c r="F64" i="43"/>
  <c r="O60" i="43"/>
  <c r="U67" i="43"/>
  <c r="U62" i="43"/>
  <c r="S59" i="43"/>
  <c r="AH64" i="43"/>
  <c r="AQ60" i="43"/>
  <c r="BJ7" i="43"/>
  <c r="AT7" i="43"/>
  <c r="Z6" i="43"/>
  <c r="D64" i="43"/>
  <c r="M60" i="43"/>
  <c r="S67" i="43"/>
  <c r="Y61" i="43"/>
  <c r="AL63" i="43"/>
  <c r="AU59" i="43"/>
  <c r="BD7" i="43"/>
  <c r="AS7" i="43"/>
  <c r="T6" i="43"/>
  <c r="D63" i="43"/>
  <c r="H60" i="43"/>
  <c r="AF64" i="43"/>
  <c r="W61" i="43"/>
  <c r="AU67" i="43"/>
  <c r="AU62" i="43"/>
  <c r="AS59" i="43"/>
  <c r="AF67" i="43"/>
  <c r="AU60" i="43"/>
  <c r="BC7" i="43"/>
  <c r="AJ7" i="43"/>
  <c r="J67" i="43"/>
  <c r="Q62" i="43"/>
  <c r="M59" i="43"/>
  <c r="AD64" i="43"/>
  <c r="S61" i="43"/>
  <c r="AS67" i="43"/>
  <c r="AJ62" i="43"/>
  <c r="AN59" i="43"/>
  <c r="BA7" i="43"/>
  <c r="AL6" i="43"/>
  <c r="I67" i="43"/>
  <c r="M62" i="43"/>
  <c r="J59" i="43"/>
  <c r="W60" i="43"/>
  <c r="AN67" i="43"/>
  <c r="AH62" i="43"/>
  <c r="AQ57" i="43"/>
  <c r="C66" i="43"/>
  <c r="AI66" i="43"/>
  <c r="AR66" i="43"/>
  <c r="Z66" i="43"/>
  <c r="I66" i="43"/>
  <c r="R66" i="43"/>
  <c r="AK66" i="43"/>
  <c r="AT66" i="43"/>
  <c r="T66" i="43"/>
  <c r="AC66" i="43"/>
  <c r="K66" i="43"/>
  <c r="AM66" i="43"/>
  <c r="AV66" i="43"/>
  <c r="V66" i="43"/>
  <c r="AE66" i="43"/>
  <c r="E66" i="43"/>
  <c r="N66" i="43"/>
  <c r="AN66" i="43"/>
  <c r="W66" i="43"/>
  <c r="AF66" i="43"/>
  <c r="F66" i="43"/>
  <c r="O66" i="43"/>
  <c r="X18" i="43"/>
  <c r="AG18" i="43"/>
  <c r="J66" i="43"/>
  <c r="S66" i="43"/>
  <c r="AS66" i="43"/>
  <c r="BI6" i="43"/>
  <c r="AZ6" i="43"/>
  <c r="AV6" i="43"/>
  <c r="AK6" i="43"/>
  <c r="X6" i="43"/>
  <c r="H66" i="43"/>
  <c r="F65" i="43"/>
  <c r="H58" i="43"/>
  <c r="F57" i="43"/>
  <c r="AF65" i="43"/>
  <c r="AB63" i="43"/>
  <c r="AF57" i="43"/>
  <c r="AE50" i="43"/>
  <c r="AQ66" i="43"/>
  <c r="AN65" i="43"/>
  <c r="AJ63" i="43"/>
  <c r="AQ58" i="43"/>
  <c r="AN57" i="43"/>
  <c r="C64" i="43"/>
  <c r="AM64" i="43"/>
  <c r="AV64" i="43"/>
  <c r="V64" i="43"/>
  <c r="AE64" i="43"/>
  <c r="E64" i="43"/>
  <c r="N64" i="43"/>
  <c r="AO64" i="43"/>
  <c r="X64" i="43"/>
  <c r="AG64" i="43"/>
  <c r="G64" i="43"/>
  <c r="P64" i="43"/>
  <c r="AI64" i="43"/>
  <c r="AR64" i="43"/>
  <c r="Z64" i="43"/>
  <c r="I64" i="43"/>
  <c r="R64" i="43"/>
  <c r="AJ64" i="43"/>
  <c r="AS64" i="43"/>
  <c r="S64" i="43"/>
  <c r="AB64" i="43"/>
  <c r="J64" i="43"/>
  <c r="BK7" i="43"/>
  <c r="BB7" i="43"/>
  <c r="BH6" i="43"/>
  <c r="AR7" i="43"/>
  <c r="AU6" i="43"/>
  <c r="V7" i="43"/>
  <c r="H67" i="43"/>
  <c r="G66" i="43"/>
  <c r="E65" i="43"/>
  <c r="R63" i="43"/>
  <c r="P62" i="43"/>
  <c r="N61" i="43"/>
  <c r="K60" i="43"/>
  <c r="I59" i="43"/>
  <c r="G58" i="43"/>
  <c r="E57" i="43"/>
  <c r="AG66" i="43"/>
  <c r="AE65" i="43"/>
  <c r="AC64" i="43"/>
  <c r="Z63" i="43"/>
  <c r="X62" i="43"/>
  <c r="V61" i="43"/>
  <c r="T60" i="43"/>
  <c r="AG58" i="43"/>
  <c r="AE57" i="43"/>
  <c r="AF47" i="43"/>
  <c r="AR67" i="43"/>
  <c r="AO66" i="43"/>
  <c r="AM65" i="43"/>
  <c r="AK64" i="43"/>
  <c r="AI63" i="43"/>
  <c r="AV61" i="43"/>
  <c r="AT60" i="43"/>
  <c r="AR59" i="43"/>
  <c r="AO58" i="43"/>
  <c r="AM57" i="43"/>
  <c r="AW6" i="43"/>
  <c r="AS58" i="43"/>
  <c r="AG55" i="43"/>
  <c r="AF55" i="43"/>
  <c r="AE39" i="43"/>
  <c r="AF39" i="43"/>
  <c r="O63" i="43"/>
  <c r="AD66" i="43"/>
  <c r="AD58" i="43"/>
  <c r="AE42" i="43"/>
  <c r="AL66" i="43"/>
  <c r="U6" i="43"/>
  <c r="AJ6" i="43"/>
  <c r="C62" i="43"/>
  <c r="AI62" i="43"/>
  <c r="AR62" i="43"/>
  <c r="Z62" i="43"/>
  <c r="I62" i="43"/>
  <c r="R62" i="43"/>
  <c r="AK62" i="43"/>
  <c r="AT62" i="43"/>
  <c r="T62" i="43"/>
  <c r="AC62" i="43"/>
  <c r="K62" i="43"/>
  <c r="AM62" i="43"/>
  <c r="AV62" i="43"/>
  <c r="V62" i="43"/>
  <c r="AE62" i="43"/>
  <c r="E62" i="43"/>
  <c r="N62" i="43"/>
  <c r="AN62" i="43"/>
  <c r="W62" i="43"/>
  <c r="AF62" i="43"/>
  <c r="F62" i="43"/>
  <c r="O62" i="43"/>
  <c r="BI7" i="43"/>
  <c r="AZ7" i="43"/>
  <c r="BF6" i="43"/>
  <c r="AH6" i="43"/>
  <c r="AO7" i="43"/>
  <c r="AS6" i="43"/>
  <c r="AF7" i="43"/>
  <c r="AG6" i="43"/>
  <c r="R67" i="43"/>
  <c r="D67" i="43"/>
  <c r="Q65" i="43"/>
  <c r="O64" i="43"/>
  <c r="M63" i="43"/>
  <c r="J62" i="43"/>
  <c r="H61" i="43"/>
  <c r="F60" i="43"/>
  <c r="D59" i="43"/>
  <c r="Q57" i="43"/>
  <c r="AD67" i="43"/>
  <c r="AB66" i="43"/>
  <c r="Y65" i="43"/>
  <c r="W64" i="43"/>
  <c r="U63" i="43"/>
  <c r="S62" i="43"/>
  <c r="AF60" i="43"/>
  <c r="AD59" i="43"/>
  <c r="AB58" i="43"/>
  <c r="Y57" i="43"/>
  <c r="AB37" i="43"/>
  <c r="AL67" i="43"/>
  <c r="AJ66" i="43"/>
  <c r="AH65" i="43"/>
  <c r="AU63" i="43"/>
  <c r="AS62" i="43"/>
  <c r="AQ61" i="43"/>
  <c r="AN60" i="43"/>
  <c r="AL59" i="43"/>
  <c r="AJ58" i="43"/>
  <c r="AH57" i="43"/>
  <c r="AN6" i="43"/>
  <c r="Y6" i="43"/>
  <c r="AG34" i="43"/>
  <c r="AD34" i="43"/>
  <c r="S58" i="43"/>
  <c r="C57" i="43"/>
  <c r="AO57" i="43"/>
  <c r="X57" i="43"/>
  <c r="AG57" i="43"/>
  <c r="G57" i="43"/>
  <c r="P57" i="43"/>
  <c r="AI57" i="43"/>
  <c r="AR57" i="43"/>
  <c r="Z57" i="43"/>
  <c r="I57" i="43"/>
  <c r="R57" i="43"/>
  <c r="AK57" i="43"/>
  <c r="AT57" i="43"/>
  <c r="T57" i="43"/>
  <c r="AC57" i="43"/>
  <c r="K57" i="43"/>
  <c r="AL57" i="43"/>
  <c r="AU57" i="43"/>
  <c r="U57" i="43"/>
  <c r="AD57" i="43"/>
  <c r="D57" i="43"/>
  <c r="M57" i="43"/>
  <c r="AT6" i="43"/>
  <c r="D58" i="43"/>
  <c r="W63" i="43"/>
  <c r="AB57" i="43"/>
  <c r="AJ65" i="43"/>
  <c r="C61" i="43"/>
  <c r="AO61" i="43"/>
  <c r="X61" i="43"/>
  <c r="AG61" i="43"/>
  <c r="G61" i="43"/>
  <c r="P61" i="43"/>
  <c r="AI61" i="43"/>
  <c r="AR61" i="43"/>
  <c r="Z61" i="43"/>
  <c r="I61" i="43"/>
  <c r="R61" i="43"/>
  <c r="AK61" i="43"/>
  <c r="AT61" i="43"/>
  <c r="T61" i="43"/>
  <c r="AC61" i="43"/>
  <c r="K61" i="43"/>
  <c r="AL61" i="43"/>
  <c r="AU61" i="43"/>
  <c r="U61" i="43"/>
  <c r="AD61" i="43"/>
  <c r="D61" i="43"/>
  <c r="M61" i="43"/>
  <c r="Y53" i="43"/>
  <c r="AL53" i="43"/>
  <c r="AJ45" i="43"/>
  <c r="AF45" i="43"/>
  <c r="AF21" i="43"/>
  <c r="AG21" i="43"/>
  <c r="BH7" i="43"/>
  <c r="BD6" i="43"/>
  <c r="AR6" i="43"/>
  <c r="Q67" i="43"/>
  <c r="Q66" i="43"/>
  <c r="O65" i="43"/>
  <c r="M64" i="43"/>
  <c r="J63" i="43"/>
  <c r="H62" i="43"/>
  <c r="F61" i="43"/>
  <c r="D60" i="43"/>
  <c r="Q58" i="43"/>
  <c r="O57" i="43"/>
  <c r="AB67" i="43"/>
  <c r="Y66" i="43"/>
  <c r="W65" i="43"/>
  <c r="U64" i="43"/>
  <c r="S63" i="43"/>
  <c r="AF61" i="43"/>
  <c r="AD60" i="43"/>
  <c r="AB59" i="43"/>
  <c r="Y58" i="43"/>
  <c r="W57" i="43"/>
  <c r="AB29" i="43"/>
  <c r="AJ67" i="43"/>
  <c r="AH66" i="43"/>
  <c r="AU64" i="43"/>
  <c r="AS63" i="43"/>
  <c r="AQ62" i="43"/>
  <c r="AN61" i="43"/>
  <c r="AL60" i="43"/>
  <c r="AJ59" i="43"/>
  <c r="AH58" i="43"/>
  <c r="AU42" i="43"/>
  <c r="C58" i="43"/>
  <c r="AI58" i="43"/>
  <c r="AR58" i="43"/>
  <c r="Z58" i="43"/>
  <c r="I58" i="43"/>
  <c r="R58" i="43"/>
  <c r="AK58" i="43"/>
  <c r="AT58" i="43"/>
  <c r="T58" i="43"/>
  <c r="AC58" i="43"/>
  <c r="K58" i="43"/>
  <c r="AM58" i="43"/>
  <c r="AV58" i="43"/>
  <c r="V58" i="43"/>
  <c r="AE58" i="43"/>
  <c r="E58" i="43"/>
  <c r="N58" i="43"/>
  <c r="AN58" i="43"/>
  <c r="W58" i="43"/>
  <c r="AF58" i="43"/>
  <c r="F58" i="43"/>
  <c r="O58" i="43"/>
  <c r="J58" i="43"/>
  <c r="AQ7" i="43"/>
  <c r="D66" i="43"/>
  <c r="AB65" i="43"/>
  <c r="AL58" i="43"/>
  <c r="AJ57" i="43"/>
  <c r="AM60" i="43"/>
  <c r="AV60" i="43"/>
  <c r="V60" i="43"/>
  <c r="AE60" i="43"/>
  <c r="E60" i="43"/>
  <c r="N60" i="43"/>
  <c r="AO60" i="43"/>
  <c r="X60" i="43"/>
  <c r="AG60" i="43"/>
  <c r="G60" i="43"/>
  <c r="P60" i="43"/>
  <c r="AI60" i="43"/>
  <c r="AR60" i="43"/>
  <c r="Z60" i="43"/>
  <c r="I60" i="43"/>
  <c r="R60" i="43"/>
  <c r="AJ60" i="43"/>
  <c r="AS60" i="43"/>
  <c r="S60" i="43"/>
  <c r="AB60" i="43"/>
  <c r="J60" i="43"/>
  <c r="BG7" i="43"/>
  <c r="BC6" i="43"/>
  <c r="AV7" i="43"/>
  <c r="AM7" i="43"/>
  <c r="O67" i="43"/>
  <c r="P66" i="43"/>
  <c r="N65" i="43"/>
  <c r="K64" i="43"/>
  <c r="I63" i="43"/>
  <c r="G62" i="43"/>
  <c r="E61" i="43"/>
  <c r="R59" i="43"/>
  <c r="P58" i="43"/>
  <c r="N57" i="43"/>
  <c r="Z67" i="43"/>
  <c r="X66" i="43"/>
  <c r="V65" i="43"/>
  <c r="T64" i="43"/>
  <c r="AG62" i="43"/>
  <c r="AE61" i="43"/>
  <c r="AC60" i="43"/>
  <c r="Z59" i="43"/>
  <c r="X58" i="43"/>
  <c r="V57" i="43"/>
  <c r="AD26" i="43"/>
  <c r="AV65" i="43"/>
  <c r="AT64" i="43"/>
  <c r="AR63" i="43"/>
  <c r="AO62" i="43"/>
  <c r="AM61" i="43"/>
  <c r="AK60" i="43"/>
  <c r="AV57" i="43"/>
  <c r="AT26" i="43"/>
  <c r="C65" i="43"/>
  <c r="AO65" i="43"/>
  <c r="X65" i="43"/>
  <c r="AG65" i="43"/>
  <c r="G65" i="43"/>
  <c r="P65" i="43"/>
  <c r="AI65" i="43"/>
  <c r="AR65" i="43"/>
  <c r="Z65" i="43"/>
  <c r="I65" i="43"/>
  <c r="R65" i="43"/>
  <c r="AK65" i="43"/>
  <c r="AT65" i="43"/>
  <c r="T65" i="43"/>
  <c r="AC65" i="43"/>
  <c r="K65" i="43"/>
  <c r="AL65" i="43"/>
  <c r="AU65" i="43"/>
  <c r="U65" i="43"/>
  <c r="AD65" i="43"/>
  <c r="D65" i="43"/>
  <c r="M65" i="43"/>
  <c r="C63" i="43"/>
  <c r="AK63" i="43"/>
  <c r="AT63" i="43"/>
  <c r="T63" i="43"/>
  <c r="AC63" i="43"/>
  <c r="K63" i="43"/>
  <c r="AM63" i="43"/>
  <c r="AV63" i="43"/>
  <c r="V63" i="43"/>
  <c r="AE63" i="43"/>
  <c r="E63" i="43"/>
  <c r="N63" i="43"/>
  <c r="AO63" i="43"/>
  <c r="X63" i="43"/>
  <c r="AG63" i="43"/>
  <c r="G63" i="43"/>
  <c r="P63" i="43"/>
  <c r="AH63" i="43"/>
  <c r="AQ63" i="43"/>
  <c r="Y63" i="43"/>
  <c r="H63" i="43"/>
  <c r="Q63" i="43"/>
  <c r="AK67" i="43"/>
  <c r="AT67" i="43"/>
  <c r="T67" i="43"/>
  <c r="AC67" i="43"/>
  <c r="K67" i="43"/>
  <c r="AM67" i="43"/>
  <c r="AV67" i="43"/>
  <c r="V67" i="43"/>
  <c r="AE67" i="43"/>
  <c r="E67" i="43"/>
  <c r="N67" i="43"/>
  <c r="AO67" i="43"/>
  <c r="X67" i="43"/>
  <c r="AG67" i="43"/>
  <c r="G67" i="43"/>
  <c r="P67" i="43"/>
  <c r="AH67" i="43"/>
  <c r="AQ67" i="43"/>
  <c r="Y67" i="43"/>
  <c r="AK59" i="43"/>
  <c r="AT59" i="43"/>
  <c r="T59" i="43"/>
  <c r="AC59" i="43"/>
  <c r="K59" i="43"/>
  <c r="AM59" i="43"/>
  <c r="AV59" i="43"/>
  <c r="V59" i="43"/>
  <c r="AE59" i="43"/>
  <c r="E59" i="43"/>
  <c r="N59" i="43"/>
  <c r="AO59" i="43"/>
  <c r="X59" i="43"/>
  <c r="AG59" i="43"/>
  <c r="G59" i="43"/>
  <c r="P59" i="43"/>
  <c r="AH59" i="43"/>
  <c r="AQ59" i="43"/>
  <c r="Y59" i="43"/>
  <c r="H59" i="43"/>
  <c r="Q59" i="43"/>
  <c r="AO51" i="43"/>
  <c r="AG51" i="43"/>
  <c r="T43" i="43"/>
  <c r="AG43" i="43"/>
  <c r="AI7" i="43"/>
  <c r="T7" i="43"/>
  <c r="BF7" i="43"/>
  <c r="BB6" i="43"/>
  <c r="AB6" i="43"/>
  <c r="M67" i="43"/>
  <c r="M66" i="43"/>
  <c r="J65" i="43"/>
  <c r="H64" i="43"/>
  <c r="F63" i="43"/>
  <c r="D62" i="43"/>
  <c r="Q60" i="43"/>
  <c r="O59" i="43"/>
  <c r="M58" i="43"/>
  <c r="J57" i="43"/>
  <c r="W67" i="43"/>
  <c r="U66" i="43"/>
  <c r="S65" i="43"/>
  <c r="AF63" i="43"/>
  <c r="AD62" i="43"/>
  <c r="AB61" i="43"/>
  <c r="Y60" i="43"/>
  <c r="W59" i="43"/>
  <c r="U58" i="43"/>
  <c r="S57" i="43"/>
  <c r="Z10" i="43"/>
  <c r="AU66" i="43"/>
  <c r="AS65" i="43"/>
  <c r="AQ64" i="43"/>
  <c r="AN63" i="43"/>
  <c r="AL62" i="43"/>
  <c r="AJ61" i="43"/>
  <c r="AH60" i="43"/>
  <c r="AU58" i="43"/>
  <c r="AS57" i="43"/>
  <c r="AE54" i="43"/>
  <c r="AC53" i="43"/>
  <c r="AF51" i="43"/>
  <c r="AD50" i="43"/>
  <c r="AE46" i="43"/>
  <c r="AC45" i="43"/>
  <c r="AF43" i="43"/>
  <c r="AD42" i="43"/>
  <c r="AE38" i="43"/>
  <c r="V37" i="43"/>
  <c r="Z34" i="43"/>
  <c r="V29" i="43"/>
  <c r="Z26" i="43"/>
  <c r="AB21" i="43"/>
  <c r="AD18" i="43"/>
  <c r="AB13" i="43"/>
  <c r="U10" i="43"/>
  <c r="AK53" i="43"/>
  <c r="AT42" i="43"/>
  <c r="AS18" i="43"/>
  <c r="AD54" i="43"/>
  <c r="AB53" i="43"/>
  <c r="AE51" i="43"/>
  <c r="AC50" i="43"/>
  <c r="AD46" i="43"/>
  <c r="AB45" i="43"/>
  <c r="AE43" i="43"/>
  <c r="AC42" i="43"/>
  <c r="AD38" i="43"/>
  <c r="S37" i="43"/>
  <c r="U34" i="43"/>
  <c r="S29" i="43"/>
  <c r="U26" i="43"/>
  <c r="V21" i="43"/>
  <c r="Z18" i="43"/>
  <c r="V13" i="43"/>
  <c r="AJ53" i="43"/>
  <c r="AL42" i="43"/>
  <c r="AR18" i="43"/>
  <c r="AC54" i="43"/>
  <c r="Z53" i="43"/>
  <c r="AB51" i="43"/>
  <c r="Y50" i="43"/>
  <c r="AC46" i="43"/>
  <c r="Z45" i="43"/>
  <c r="AB43" i="43"/>
  <c r="Y42" i="43"/>
  <c r="AC38" i="43"/>
  <c r="T28" i="43"/>
  <c r="S21" i="43"/>
  <c r="U18" i="43"/>
  <c r="S13" i="43"/>
  <c r="AV50" i="43"/>
  <c r="AK38" i="43"/>
  <c r="S8" i="43"/>
  <c r="Y54" i="43"/>
  <c r="W53" i="43"/>
  <c r="X51" i="43"/>
  <c r="V50" i="43"/>
  <c r="Y46" i="43"/>
  <c r="W45" i="43"/>
  <c r="X43" i="43"/>
  <c r="V42" i="43"/>
  <c r="Y38" i="43"/>
  <c r="AF35" i="43"/>
  <c r="T31" i="43"/>
  <c r="AF27" i="43"/>
  <c r="T23" i="43"/>
  <c r="W15" i="43"/>
  <c r="AF11" i="43"/>
  <c r="AN54" i="43"/>
  <c r="AU50" i="43"/>
  <c r="AS37" i="43"/>
  <c r="AG13" i="43"/>
  <c r="Y8" i="43"/>
  <c r="V54" i="43"/>
  <c r="T53" i="43"/>
  <c r="W51" i="43"/>
  <c r="U50" i="43"/>
  <c r="V46" i="43"/>
  <c r="T45" i="43"/>
  <c r="W43" i="43"/>
  <c r="U42" i="43"/>
  <c r="U38" i="43"/>
  <c r="AC35" i="43"/>
  <c r="X30" i="43"/>
  <c r="AC27" i="43"/>
  <c r="AD22" i="43"/>
  <c r="AF19" i="43"/>
  <c r="AD14" i="43"/>
  <c r="AC11" i="43"/>
  <c r="AM54" i="43"/>
  <c r="AK50" i="43"/>
  <c r="AJ29" i="43"/>
  <c r="U54" i="43"/>
  <c r="S53" i="43"/>
  <c r="V51" i="43"/>
  <c r="T50" i="43"/>
  <c r="U46" i="43"/>
  <c r="S45" i="43"/>
  <c r="V43" i="43"/>
  <c r="T42" i="43"/>
  <c r="S38" i="43"/>
  <c r="W35" i="43"/>
  <c r="W27" i="43"/>
  <c r="X22" i="43"/>
  <c r="AC19" i="43"/>
  <c r="X14" i="43"/>
  <c r="AG10" i="43"/>
  <c r="AL54" i="43"/>
  <c r="AI46" i="43"/>
  <c r="AI29" i="43"/>
  <c r="T54" i="43"/>
  <c r="Y52" i="43"/>
  <c r="S51" i="43"/>
  <c r="Z49" i="43"/>
  <c r="T46" i="43"/>
  <c r="Y44" i="43"/>
  <c r="S43" i="43"/>
  <c r="Z41" i="43"/>
  <c r="AG37" i="43"/>
  <c r="AG29" i="43"/>
  <c r="AG26" i="43"/>
  <c r="W19" i="43"/>
  <c r="AT53" i="43"/>
  <c r="AS45" i="43"/>
  <c r="O50" i="43"/>
  <c r="O42" i="43"/>
  <c r="J52" i="43"/>
  <c r="O56" i="43"/>
  <c r="Y40" i="43"/>
  <c r="J40" i="43" s="1"/>
  <c r="V32" i="43"/>
  <c r="V24" i="43"/>
  <c r="Y16" i="43"/>
  <c r="AN8" i="43"/>
  <c r="AO55" i="43"/>
  <c r="AJ33" i="43"/>
  <c r="N56" i="43"/>
  <c r="P41" i="43"/>
  <c r="N40" i="43"/>
  <c r="AB8" i="43"/>
  <c r="X56" i="43"/>
  <c r="X52" i="43"/>
  <c r="X48" i="43"/>
  <c r="X44" i="43"/>
  <c r="X40" i="43"/>
  <c r="I40" i="43" s="1"/>
  <c r="Z31" i="43"/>
  <c r="K31" i="43" s="1"/>
  <c r="Z23" i="43"/>
  <c r="V16" i="43"/>
  <c r="AK8" i="43"/>
  <c r="AN55" i="43"/>
  <c r="AI52" i="43"/>
  <c r="O32" i="43"/>
  <c r="Y56" i="43"/>
  <c r="J56" i="43" s="1"/>
  <c r="Y48" i="43"/>
  <c r="AK49" i="43"/>
  <c r="AT49" i="43"/>
  <c r="AL49" i="43"/>
  <c r="H49" i="43" s="1"/>
  <c r="AU49" i="43"/>
  <c r="AM49" i="43"/>
  <c r="AV49" i="43"/>
  <c r="AH49" i="43"/>
  <c r="AQ49" i="43"/>
  <c r="M49" i="43" s="1"/>
  <c r="AN49" i="43"/>
  <c r="AO49" i="43"/>
  <c r="K49" i="43" s="1"/>
  <c r="AS49" i="43"/>
  <c r="O49" i="43" s="1"/>
  <c r="AJ49" i="43"/>
  <c r="AR49" i="43"/>
  <c r="N49" i="43" s="1"/>
  <c r="U49" i="43"/>
  <c r="F49" i="43" s="1"/>
  <c r="AD49" i="43"/>
  <c r="W49" i="43"/>
  <c r="V49" i="43"/>
  <c r="AE49" i="43"/>
  <c r="P49" i="43" s="1"/>
  <c r="AF49" i="43"/>
  <c r="Q49" i="43" s="1"/>
  <c r="X49" i="43"/>
  <c r="I49" i="43" s="1"/>
  <c r="AG49" i="43"/>
  <c r="Y49" i="43"/>
  <c r="J49" i="43" s="1"/>
  <c r="O41" i="43"/>
  <c r="AK41" i="43"/>
  <c r="AT41" i="43"/>
  <c r="AL41" i="43"/>
  <c r="H41" i="43" s="1"/>
  <c r="AU41" i="43"/>
  <c r="AM41" i="43"/>
  <c r="AV41" i="43"/>
  <c r="R41" i="43" s="1"/>
  <c r="AN41" i="43"/>
  <c r="AO41" i="43"/>
  <c r="AH41" i="43"/>
  <c r="AQ41" i="43"/>
  <c r="AI41" i="43"/>
  <c r="E41" i="43" s="1"/>
  <c r="AJ41" i="43"/>
  <c r="AS41" i="43"/>
  <c r="U41" i="43"/>
  <c r="F41" i="43" s="1"/>
  <c r="AD41" i="43"/>
  <c r="V41" i="43"/>
  <c r="G41" i="43" s="1"/>
  <c r="AE41" i="43"/>
  <c r="K41" i="43"/>
  <c r="AF41" i="43"/>
  <c r="Q41" i="43" s="1"/>
  <c r="W41" i="43"/>
  <c r="X41" i="43"/>
  <c r="AG41" i="43"/>
  <c r="AR41" i="43"/>
  <c r="N41" i="43" s="1"/>
  <c r="Y41" i="43"/>
  <c r="J41" i="43" s="1"/>
  <c r="AK33" i="43"/>
  <c r="AT33" i="43"/>
  <c r="P33" i="43" s="1"/>
  <c r="AL33" i="43"/>
  <c r="H33" i="43" s="1"/>
  <c r="AU33" i="43"/>
  <c r="AM33" i="43"/>
  <c r="AV33" i="43"/>
  <c r="AN33" i="43"/>
  <c r="AO33" i="43"/>
  <c r="AH33" i="43"/>
  <c r="AQ33" i="43"/>
  <c r="Y33" i="43"/>
  <c r="Z33" i="43"/>
  <c r="T33" i="43"/>
  <c r="E33" i="43" s="1"/>
  <c r="AC33" i="43"/>
  <c r="AI33" i="43"/>
  <c r="U33" i="43"/>
  <c r="F33" i="43" s="1"/>
  <c r="AD33" i="43"/>
  <c r="AS33" i="43"/>
  <c r="O33" i="43" s="1"/>
  <c r="AF33" i="43"/>
  <c r="J33" i="43"/>
  <c r="AG33" i="43"/>
  <c r="K33" i="43"/>
  <c r="S33" i="43"/>
  <c r="D33" i="43" s="1"/>
  <c r="V33" i="43"/>
  <c r="W33" i="43"/>
  <c r="AK25" i="43"/>
  <c r="AT25" i="43"/>
  <c r="AL25" i="43"/>
  <c r="AU25" i="43"/>
  <c r="AM25" i="43"/>
  <c r="AV25" i="43"/>
  <c r="AN25" i="43"/>
  <c r="AO25" i="43"/>
  <c r="AH25" i="43"/>
  <c r="AQ25" i="43"/>
  <c r="AI25" i="43"/>
  <c r="Y25" i="43"/>
  <c r="AJ25" i="43"/>
  <c r="Z25" i="43"/>
  <c r="AS25" i="43"/>
  <c r="T25" i="43"/>
  <c r="E25" i="43" s="1"/>
  <c r="AC25" i="43"/>
  <c r="U25" i="43"/>
  <c r="AD25" i="43"/>
  <c r="AR25" i="43"/>
  <c r="AF25" i="43"/>
  <c r="AG25" i="43"/>
  <c r="S25" i="43"/>
  <c r="V25" i="43"/>
  <c r="W25" i="43"/>
  <c r="H25" i="43" s="1"/>
  <c r="AI17" i="43"/>
  <c r="AR17" i="43"/>
  <c r="AJ17" i="43"/>
  <c r="AS17" i="43"/>
  <c r="AK17" i="43"/>
  <c r="AT17" i="43"/>
  <c r="AM17" i="43"/>
  <c r="AV17" i="43"/>
  <c r="AU17" i="43"/>
  <c r="AH17" i="43"/>
  <c r="AL17" i="43"/>
  <c r="AN17" i="43"/>
  <c r="Y17" i="43"/>
  <c r="Z17" i="43"/>
  <c r="T17" i="43"/>
  <c r="AC17" i="43"/>
  <c r="AO17" i="43"/>
  <c r="U17" i="43"/>
  <c r="AD17" i="43"/>
  <c r="AF17" i="43"/>
  <c r="AG17" i="43"/>
  <c r="S17" i="43"/>
  <c r="V17" i="43"/>
  <c r="W17" i="43"/>
  <c r="AI9" i="43"/>
  <c r="AR9" i="43"/>
  <c r="AJ9" i="43"/>
  <c r="AS9" i="43"/>
  <c r="AK9" i="43"/>
  <c r="AT9" i="43"/>
  <c r="AM9" i="43"/>
  <c r="AV9" i="43"/>
  <c r="AU9" i="43"/>
  <c r="AH9" i="43"/>
  <c r="AL9" i="43"/>
  <c r="AN9" i="43"/>
  <c r="Y9" i="43"/>
  <c r="Z9" i="43"/>
  <c r="T9" i="43"/>
  <c r="AC9" i="43"/>
  <c r="U9" i="43"/>
  <c r="AD9" i="43"/>
  <c r="AQ9" i="43"/>
  <c r="AF9" i="43"/>
  <c r="AG9" i="43"/>
  <c r="S9" i="43"/>
  <c r="V9" i="43"/>
  <c r="W9" i="43"/>
  <c r="AO9" i="43"/>
  <c r="J48" i="43"/>
  <c r="M41" i="43"/>
  <c r="Z8" i="43"/>
  <c r="AB49" i="43"/>
  <c r="AG47" i="43"/>
  <c r="AB41" i="43"/>
  <c r="AG39" i="43"/>
  <c r="AE36" i="43"/>
  <c r="AE28" i="43"/>
  <c r="AH52" i="43"/>
  <c r="G40" i="43"/>
  <c r="AI40" i="43"/>
  <c r="AR40" i="43"/>
  <c r="AJ40" i="43"/>
  <c r="AS40" i="43"/>
  <c r="AK40" i="43"/>
  <c r="AT40" i="43"/>
  <c r="AL40" i="43"/>
  <c r="AU40" i="43"/>
  <c r="Q40" i="43" s="1"/>
  <c r="AM40" i="43"/>
  <c r="AV40" i="43"/>
  <c r="AN40" i="43"/>
  <c r="S40" i="43"/>
  <c r="AB40" i="43"/>
  <c r="AH40" i="43"/>
  <c r="D40" i="43" s="1"/>
  <c r="T40" i="43"/>
  <c r="AC40" i="43"/>
  <c r="AO40" i="43"/>
  <c r="U40" i="43"/>
  <c r="AD40" i="43"/>
  <c r="O40" i="43" s="1"/>
  <c r="AQ40" i="43"/>
  <c r="M40" i="43" s="1"/>
  <c r="V40" i="43"/>
  <c r="AE40" i="43"/>
  <c r="W40" i="43"/>
  <c r="H40" i="43" s="1"/>
  <c r="AF40" i="43"/>
  <c r="AK56" i="43"/>
  <c r="G56" i="43" s="1"/>
  <c r="AT56" i="43"/>
  <c r="P56" i="43" s="1"/>
  <c r="AL56" i="43"/>
  <c r="AU56" i="43"/>
  <c r="AN56" i="43"/>
  <c r="AO56" i="43"/>
  <c r="AV56" i="43"/>
  <c r="S56" i="43"/>
  <c r="D56" i="43" s="1"/>
  <c r="AB56" i="43"/>
  <c r="M56" i="43" s="1"/>
  <c r="H56" i="43"/>
  <c r="AH56" i="43"/>
  <c r="T56" i="43"/>
  <c r="AC56" i="43"/>
  <c r="I56" i="43"/>
  <c r="U56" i="43"/>
  <c r="F56" i="43" s="1"/>
  <c r="AI56" i="43"/>
  <c r="E56" i="43" s="1"/>
  <c r="AD56" i="43"/>
  <c r="AJ56" i="43"/>
  <c r="V56" i="43"/>
  <c r="AE56" i="43"/>
  <c r="K56" i="43"/>
  <c r="AM56" i="43"/>
  <c r="W56" i="43"/>
  <c r="AF56" i="43"/>
  <c r="Q56" i="43" s="1"/>
  <c r="AI24" i="43"/>
  <c r="AR24" i="43"/>
  <c r="AJ24" i="43"/>
  <c r="F24" i="43" s="1"/>
  <c r="AS24" i="43"/>
  <c r="AK24" i="43"/>
  <c r="AT24" i="43"/>
  <c r="AL24" i="43"/>
  <c r="AU24" i="43"/>
  <c r="AM24" i="43"/>
  <c r="AV24" i="43"/>
  <c r="AN24" i="43"/>
  <c r="W24" i="43"/>
  <c r="AF24" i="43"/>
  <c r="X24" i="43"/>
  <c r="AG24" i="43"/>
  <c r="Z24" i="43"/>
  <c r="S24" i="43"/>
  <c r="AB24" i="43"/>
  <c r="AQ24" i="43"/>
  <c r="AD24" i="43"/>
  <c r="AE24" i="43"/>
  <c r="T24" i="43"/>
  <c r="U24" i="43"/>
  <c r="J55" i="43"/>
  <c r="O55" i="43"/>
  <c r="AI55" i="43"/>
  <c r="AR55" i="43"/>
  <c r="N55" i="43" s="1"/>
  <c r="AJ55" i="43"/>
  <c r="AS55" i="43"/>
  <c r="AL55" i="43"/>
  <c r="AU55" i="43"/>
  <c r="Q55" i="43" s="1"/>
  <c r="AM55" i="43"/>
  <c r="I55" i="43" s="1"/>
  <c r="AV55" i="43"/>
  <c r="AT55" i="43"/>
  <c r="Y55" i="43"/>
  <c r="AB55" i="43"/>
  <c r="M55" i="43" s="1"/>
  <c r="Z55" i="43"/>
  <c r="K55" i="43" s="1"/>
  <c r="P55" i="43"/>
  <c r="S55" i="43"/>
  <c r="AH55" i="43"/>
  <c r="T55" i="43"/>
  <c r="E55" i="43" s="1"/>
  <c r="AC55" i="43"/>
  <c r="R55" i="43"/>
  <c r="AK55" i="43"/>
  <c r="U55" i="43"/>
  <c r="F55" i="43" s="1"/>
  <c r="AD55" i="43"/>
  <c r="AO31" i="43"/>
  <c r="AH31" i="43"/>
  <c r="AQ31" i="43"/>
  <c r="AI31" i="43"/>
  <c r="AR31" i="43"/>
  <c r="AJ31" i="43"/>
  <c r="AS31" i="43"/>
  <c r="AK31" i="43"/>
  <c r="AT31" i="43"/>
  <c r="AL31" i="43"/>
  <c r="H31" i="43" s="1"/>
  <c r="AU31" i="43"/>
  <c r="AV31" i="43"/>
  <c r="U31" i="43"/>
  <c r="AD31" i="43"/>
  <c r="O31" i="43" s="1"/>
  <c r="V31" i="43"/>
  <c r="G31" i="43" s="1"/>
  <c r="AE31" i="43"/>
  <c r="X31" i="43"/>
  <c r="AG31" i="43"/>
  <c r="R31" i="43" s="1"/>
  <c r="Y31" i="43"/>
  <c r="J31" i="43" s="1"/>
  <c r="AB31" i="43"/>
  <c r="F31" i="43"/>
  <c r="AC31" i="43"/>
  <c r="P31" i="43"/>
  <c r="AF31" i="43"/>
  <c r="AM31" i="43"/>
  <c r="AN31" i="43"/>
  <c r="I31" i="43"/>
  <c r="S31" i="43"/>
  <c r="D31" i="43" s="1"/>
  <c r="AM15" i="43"/>
  <c r="AV15" i="43"/>
  <c r="AN15" i="43"/>
  <c r="AO15" i="43"/>
  <c r="AI15" i="43"/>
  <c r="AR15" i="43"/>
  <c r="AQ15" i="43"/>
  <c r="AS15" i="43"/>
  <c r="AT15" i="43"/>
  <c r="AU15" i="43"/>
  <c r="AH15" i="43"/>
  <c r="AJ15" i="43"/>
  <c r="AK15" i="43"/>
  <c r="U15" i="43"/>
  <c r="AD15" i="43"/>
  <c r="AL15" i="43"/>
  <c r="V15" i="43"/>
  <c r="AE15" i="43"/>
  <c r="X15" i="43"/>
  <c r="AG15" i="43"/>
  <c r="Y15" i="43"/>
  <c r="AB15" i="43"/>
  <c r="AC15" i="43"/>
  <c r="AF15" i="43"/>
  <c r="S15" i="43"/>
  <c r="D55" i="43"/>
  <c r="F40" i="43"/>
  <c r="AE55" i="43"/>
  <c r="T49" i="43"/>
  <c r="E49" i="43" s="1"/>
  <c r="T41" i="43"/>
  <c r="AB33" i="43"/>
  <c r="M33" i="43" s="1"/>
  <c r="AB25" i="43"/>
  <c r="T20" i="43"/>
  <c r="AE17" i="43"/>
  <c r="T15" i="43"/>
  <c r="AE12" i="43"/>
  <c r="AE9" i="43"/>
  <c r="AS56" i="43"/>
  <c r="G48" i="43"/>
  <c r="E48" i="43"/>
  <c r="AI48" i="43"/>
  <c r="AR48" i="43"/>
  <c r="AJ48" i="43"/>
  <c r="AS48" i="43"/>
  <c r="Q48" i="43"/>
  <c r="AK48" i="43"/>
  <c r="AT48" i="43"/>
  <c r="AL48" i="43"/>
  <c r="AU48" i="43"/>
  <c r="AN48" i="43"/>
  <c r="AH48" i="43"/>
  <c r="D48" i="43" s="1"/>
  <c r="AO48" i="43"/>
  <c r="AQ48" i="43"/>
  <c r="S48" i="43"/>
  <c r="AB48" i="43"/>
  <c r="T48" i="43"/>
  <c r="AC48" i="43"/>
  <c r="N48" i="43" s="1"/>
  <c r="I48" i="43"/>
  <c r="U48" i="43"/>
  <c r="F48" i="43" s="1"/>
  <c r="AD48" i="43"/>
  <c r="O48" i="43" s="1"/>
  <c r="V48" i="43"/>
  <c r="AE48" i="43"/>
  <c r="P48" i="43" s="1"/>
  <c r="AM48" i="43"/>
  <c r="W48" i="43"/>
  <c r="H48" i="43" s="1"/>
  <c r="AF48" i="43"/>
  <c r="M48" i="43"/>
  <c r="AI32" i="43"/>
  <c r="AR32" i="43"/>
  <c r="AJ32" i="43"/>
  <c r="AS32" i="43"/>
  <c r="I32" i="43"/>
  <c r="AK32" i="43"/>
  <c r="AT32" i="43"/>
  <c r="AL32" i="43"/>
  <c r="AU32" i="43"/>
  <c r="AM32" i="43"/>
  <c r="AV32" i="43"/>
  <c r="AN32" i="43"/>
  <c r="J32" i="43" s="1"/>
  <c r="W32" i="43"/>
  <c r="AF32" i="43"/>
  <c r="Q32" i="43" s="1"/>
  <c r="AH32" i="43"/>
  <c r="X32" i="43"/>
  <c r="AG32" i="43"/>
  <c r="R32" i="43" s="1"/>
  <c r="AQ32" i="43"/>
  <c r="Z32" i="43"/>
  <c r="K32" i="43" s="1"/>
  <c r="S32" i="43"/>
  <c r="D32" i="43" s="1"/>
  <c r="AB32" i="43"/>
  <c r="AD32" i="43"/>
  <c r="H32" i="43"/>
  <c r="AE32" i="43"/>
  <c r="P32" i="43" s="1"/>
  <c r="T32" i="43"/>
  <c r="E32" i="43" s="1"/>
  <c r="AO32" i="43"/>
  <c r="U32" i="43"/>
  <c r="F32" i="43" s="1"/>
  <c r="M32" i="43"/>
  <c r="N47" i="43"/>
  <c r="AO47" i="43"/>
  <c r="K47" i="43" s="1"/>
  <c r="AH47" i="43"/>
  <c r="AQ47" i="43"/>
  <c r="AI47" i="43"/>
  <c r="AR47" i="43"/>
  <c r="AJ47" i="43"/>
  <c r="AS47" i="43"/>
  <c r="J47" i="43"/>
  <c r="AL47" i="43"/>
  <c r="AU47" i="43"/>
  <c r="Q47" i="43" s="1"/>
  <c r="AV47" i="43"/>
  <c r="AK47" i="43"/>
  <c r="Y47" i="43"/>
  <c r="F47" i="43"/>
  <c r="O47" i="43"/>
  <c r="AB47" i="43"/>
  <c r="AM47" i="43"/>
  <c r="Z47" i="43"/>
  <c r="AN47" i="43"/>
  <c r="S47" i="43"/>
  <c r="D47" i="43" s="1"/>
  <c r="AT47" i="43"/>
  <c r="P47" i="43" s="1"/>
  <c r="T47" i="43"/>
  <c r="AC47" i="43"/>
  <c r="R47" i="43"/>
  <c r="U47" i="43"/>
  <c r="AD47" i="43"/>
  <c r="AO39" i="43"/>
  <c r="AH39" i="43"/>
  <c r="AQ39" i="43"/>
  <c r="AI39" i="43"/>
  <c r="AR39" i="43"/>
  <c r="N39" i="43" s="1"/>
  <c r="AJ39" i="43"/>
  <c r="F39" i="43" s="1"/>
  <c r="AS39" i="43"/>
  <c r="AK39" i="43"/>
  <c r="AT39" i="43"/>
  <c r="P39" i="43" s="1"/>
  <c r="AL39" i="43"/>
  <c r="AU39" i="43"/>
  <c r="Q39" i="43" s="1"/>
  <c r="O39" i="43"/>
  <c r="AN39" i="43"/>
  <c r="AV39" i="43"/>
  <c r="AM39" i="43"/>
  <c r="Y39" i="43"/>
  <c r="J39" i="43" s="1"/>
  <c r="AB39" i="43"/>
  <c r="M39" i="43" s="1"/>
  <c r="Z39" i="43"/>
  <c r="K39" i="43" s="1"/>
  <c r="S39" i="43"/>
  <c r="D39" i="43" s="1"/>
  <c r="T39" i="43"/>
  <c r="E39" i="43" s="1"/>
  <c r="AC39" i="43"/>
  <c r="R39" i="43"/>
  <c r="U39" i="43"/>
  <c r="AD39" i="43"/>
  <c r="AO23" i="43"/>
  <c r="AH23" i="43"/>
  <c r="AQ23" i="43"/>
  <c r="AI23" i="43"/>
  <c r="AR23" i="43"/>
  <c r="AJ23" i="43"/>
  <c r="AS23" i="43"/>
  <c r="AK23" i="43"/>
  <c r="AT23" i="43"/>
  <c r="AL23" i="43"/>
  <c r="AU23" i="43"/>
  <c r="U23" i="43"/>
  <c r="AD23" i="43"/>
  <c r="V23" i="43"/>
  <c r="AE23" i="43"/>
  <c r="AN23" i="43"/>
  <c r="X23" i="43"/>
  <c r="AG23" i="43"/>
  <c r="AV23" i="43"/>
  <c r="Y23" i="43"/>
  <c r="AB23" i="43"/>
  <c r="AC23" i="43"/>
  <c r="N23" i="43" s="1"/>
  <c r="AF23" i="43"/>
  <c r="AM23" i="43"/>
  <c r="S23" i="43"/>
  <c r="G49" i="43"/>
  <c r="N44" i="43"/>
  <c r="E40" i="43"/>
  <c r="G33" i="43"/>
  <c r="X55" i="43"/>
  <c r="S49" i="43"/>
  <c r="X47" i="43"/>
  <c r="I47" i="43" s="1"/>
  <c r="S41" i="43"/>
  <c r="D41" i="43" s="1"/>
  <c r="X39" i="43"/>
  <c r="I39" i="43" s="1"/>
  <c r="X33" i="43"/>
  <c r="I33" i="43" s="1"/>
  <c r="X25" i="43"/>
  <c r="AB17" i="43"/>
  <c r="AB9" i="43"/>
  <c r="AR56" i="43"/>
  <c r="AO24" i="43"/>
  <c r="D49" i="43"/>
  <c r="Q31" i="43"/>
  <c r="AG56" i="43"/>
  <c r="R56" i="43" s="1"/>
  <c r="W55" i="43"/>
  <c r="H55" i="43" s="1"/>
  <c r="AG48" i="43"/>
  <c r="R48" i="43" s="1"/>
  <c r="W47" i="43"/>
  <c r="H47" i="43" s="1"/>
  <c r="AG40" i="43"/>
  <c r="R40" i="43" s="1"/>
  <c r="W39" i="43"/>
  <c r="H39" i="43" s="1"/>
  <c r="AC32" i="43"/>
  <c r="N32" i="43" s="1"/>
  <c r="AC24" i="43"/>
  <c r="X17" i="43"/>
  <c r="X9" i="43"/>
  <c r="AQ56" i="43"/>
  <c r="AI49" i="43"/>
  <c r="AH24" i="43"/>
  <c r="AO16" i="43"/>
  <c r="AH16" i="43"/>
  <c r="AQ16" i="43"/>
  <c r="AI16" i="43"/>
  <c r="AR16" i="43"/>
  <c r="AK16" i="43"/>
  <c r="AT16" i="43"/>
  <c r="AS16" i="43"/>
  <c r="AU16" i="43"/>
  <c r="AV16" i="43"/>
  <c r="AJ16" i="43"/>
  <c r="AL16" i="43"/>
  <c r="W16" i="43"/>
  <c r="AF16" i="43"/>
  <c r="X16" i="43"/>
  <c r="AG16" i="43"/>
  <c r="AN16" i="43"/>
  <c r="Z16" i="43"/>
  <c r="S16" i="43"/>
  <c r="AB16" i="43"/>
  <c r="AD16" i="43"/>
  <c r="AE16" i="43"/>
  <c r="T16" i="43"/>
  <c r="AM16" i="43"/>
  <c r="U16" i="43"/>
  <c r="G32" i="43"/>
  <c r="AL8" i="43"/>
  <c r="AU8" i="43"/>
  <c r="AM8" i="43"/>
  <c r="AV8" i="43"/>
  <c r="AO8" i="43"/>
  <c r="AQ8" i="43"/>
  <c r="AS8" i="43"/>
  <c r="T8" i="43"/>
  <c r="AC8" i="43"/>
  <c r="AT8" i="43"/>
  <c r="U8" i="43"/>
  <c r="AD8" i="43"/>
  <c r="V8" i="43"/>
  <c r="AE8" i="43"/>
  <c r="AI8" i="43"/>
  <c r="W8" i="43"/>
  <c r="AF8" i="43"/>
  <c r="AJ8" i="43"/>
  <c r="X8" i="43"/>
  <c r="AG8" i="43"/>
  <c r="AK52" i="43"/>
  <c r="G52" i="43" s="1"/>
  <c r="AT52" i="43"/>
  <c r="AL52" i="43"/>
  <c r="AU52" i="43"/>
  <c r="AN52" i="43"/>
  <c r="AO52" i="43"/>
  <c r="AJ52" i="43"/>
  <c r="D52" i="43"/>
  <c r="AM52" i="43"/>
  <c r="I52" i="43" s="1"/>
  <c r="S52" i="43"/>
  <c r="AB52" i="43"/>
  <c r="M52" i="43" s="1"/>
  <c r="AD52" i="43"/>
  <c r="O52" i="43" s="1"/>
  <c r="AQ52" i="43"/>
  <c r="T52" i="43"/>
  <c r="E52" i="43" s="1"/>
  <c r="AC52" i="43"/>
  <c r="N52" i="43" s="1"/>
  <c r="AR52" i="43"/>
  <c r="U52" i="43"/>
  <c r="F52" i="43" s="1"/>
  <c r="AS52" i="43"/>
  <c r="V52" i="43"/>
  <c r="AE52" i="43"/>
  <c r="P52" i="43" s="1"/>
  <c r="AV52" i="43"/>
  <c r="R52" i="43" s="1"/>
  <c r="W52" i="43"/>
  <c r="H52" i="43" s="1"/>
  <c r="AF52" i="43"/>
  <c r="Q52" i="43" s="1"/>
  <c r="O44" i="43"/>
  <c r="R44" i="43"/>
  <c r="AI44" i="43"/>
  <c r="AR44" i="43"/>
  <c r="AJ44" i="43"/>
  <c r="AS44" i="43"/>
  <c r="K44" i="43"/>
  <c r="AK44" i="43"/>
  <c r="AT44" i="43"/>
  <c r="AL44" i="43"/>
  <c r="AU44" i="43"/>
  <c r="AN44" i="43"/>
  <c r="J44" i="43" s="1"/>
  <c r="AV44" i="43"/>
  <c r="AH44" i="43"/>
  <c r="S44" i="43"/>
  <c r="D44" i="43" s="1"/>
  <c r="AB44" i="43"/>
  <c r="H44" i="43"/>
  <c r="AM44" i="43"/>
  <c r="T44" i="43"/>
  <c r="E44" i="43" s="1"/>
  <c r="AC44" i="43"/>
  <c r="I44" i="43"/>
  <c r="AO44" i="43"/>
  <c r="U44" i="43"/>
  <c r="AD44" i="43"/>
  <c r="AQ44" i="43"/>
  <c r="V44" i="43"/>
  <c r="G44" i="43" s="1"/>
  <c r="AE44" i="43"/>
  <c r="W44" i="43"/>
  <c r="AF44" i="43"/>
  <c r="Q44" i="43" s="1"/>
  <c r="M44" i="43"/>
  <c r="AI36" i="43"/>
  <c r="E36" i="43" s="1"/>
  <c r="AR36" i="43"/>
  <c r="AJ36" i="43"/>
  <c r="AS36" i="43"/>
  <c r="M36" i="43"/>
  <c r="AK36" i="43"/>
  <c r="AT36" i="43"/>
  <c r="AL36" i="43"/>
  <c r="AU36" i="43"/>
  <c r="R36" i="43"/>
  <c r="AM36" i="43"/>
  <c r="AV36" i="43"/>
  <c r="AN36" i="43"/>
  <c r="AO36" i="43"/>
  <c r="W36" i="43"/>
  <c r="AF36" i="43"/>
  <c r="Q36" i="43" s="1"/>
  <c r="AQ36" i="43"/>
  <c r="X36" i="43"/>
  <c r="I36" i="43" s="1"/>
  <c r="AG36" i="43"/>
  <c r="Z36" i="43"/>
  <c r="S36" i="43"/>
  <c r="D36" i="43" s="1"/>
  <c r="AB36" i="43"/>
  <c r="U36" i="43"/>
  <c r="F36" i="43" s="1"/>
  <c r="H36" i="43"/>
  <c r="V36" i="43"/>
  <c r="Y36" i="43"/>
  <c r="J36" i="43" s="1"/>
  <c r="AH36" i="43"/>
  <c r="AC36" i="43"/>
  <c r="N36" i="43" s="1"/>
  <c r="K36" i="43"/>
  <c r="AD36" i="43"/>
  <c r="O36" i="43" s="1"/>
  <c r="AI28" i="43"/>
  <c r="AR28" i="43"/>
  <c r="AJ28" i="43"/>
  <c r="AS28" i="43"/>
  <c r="AK28" i="43"/>
  <c r="AT28" i="43"/>
  <c r="AL28" i="43"/>
  <c r="AU28" i="43"/>
  <c r="AM28" i="43"/>
  <c r="AV28" i="43"/>
  <c r="AN28" i="43"/>
  <c r="W28" i="43"/>
  <c r="AF28" i="43"/>
  <c r="X28" i="43"/>
  <c r="AG28" i="43"/>
  <c r="AH28" i="43"/>
  <c r="Z28" i="43"/>
  <c r="K28" i="43" s="1"/>
  <c r="AO28" i="43"/>
  <c r="S28" i="43"/>
  <c r="AB28" i="43"/>
  <c r="U28" i="43"/>
  <c r="V28" i="43"/>
  <c r="Y28" i="43"/>
  <c r="AC28" i="43"/>
  <c r="AD28" i="43"/>
  <c r="AO20" i="43"/>
  <c r="AH20" i="43"/>
  <c r="AQ20" i="43"/>
  <c r="AI20" i="43"/>
  <c r="AR20" i="43"/>
  <c r="AK20" i="43"/>
  <c r="G20" i="43" s="1"/>
  <c r="AT20" i="43"/>
  <c r="AJ20" i="43"/>
  <c r="AL20" i="43"/>
  <c r="AM20" i="43"/>
  <c r="AN20" i="43"/>
  <c r="AS20" i="43"/>
  <c r="AU20" i="43"/>
  <c r="Q20" i="43" s="1"/>
  <c r="W20" i="43"/>
  <c r="H20" i="43" s="1"/>
  <c r="AF20" i="43"/>
  <c r="X20" i="43"/>
  <c r="AG20" i="43"/>
  <c r="Z20" i="43"/>
  <c r="S20" i="43"/>
  <c r="AB20" i="43"/>
  <c r="AV20" i="43"/>
  <c r="U20" i="43"/>
  <c r="V20" i="43"/>
  <c r="Y20" i="43"/>
  <c r="J20" i="43" s="1"/>
  <c r="AC20" i="43"/>
  <c r="AD20" i="43"/>
  <c r="O20" i="43" s="1"/>
  <c r="AO12" i="43"/>
  <c r="AH12" i="43"/>
  <c r="AQ12" i="43"/>
  <c r="AI12" i="43"/>
  <c r="AR12" i="43"/>
  <c r="AK12" i="43"/>
  <c r="AT12" i="43"/>
  <c r="AJ12" i="43"/>
  <c r="AL12" i="43"/>
  <c r="AM12" i="43"/>
  <c r="AN12" i="43"/>
  <c r="AS12" i="43"/>
  <c r="AU12" i="43"/>
  <c r="W12" i="43"/>
  <c r="AF12" i="43"/>
  <c r="X12" i="43"/>
  <c r="AG12" i="43"/>
  <c r="Z12" i="43"/>
  <c r="AV12" i="43"/>
  <c r="S12" i="43"/>
  <c r="AB12" i="43"/>
  <c r="U12" i="43"/>
  <c r="V12" i="43"/>
  <c r="Y12" i="43"/>
  <c r="AC12" i="43"/>
  <c r="AD12" i="43"/>
  <c r="R49" i="43"/>
  <c r="P40" i="43"/>
  <c r="G36" i="43"/>
  <c r="R33" i="43"/>
  <c r="N31" i="43"/>
  <c r="AH8" i="43"/>
  <c r="Z56" i="43"/>
  <c r="V55" i="43"/>
  <c r="G55" i="43" s="1"/>
  <c r="Z52" i="43"/>
  <c r="K52" i="43" s="1"/>
  <c r="Z48" i="43"/>
  <c r="K48" i="43" s="1"/>
  <c r="V47" i="43"/>
  <c r="G47" i="43" s="1"/>
  <c r="Z44" i="43"/>
  <c r="Z40" i="43"/>
  <c r="K40" i="43" s="1"/>
  <c r="V39" i="43"/>
  <c r="G39" i="43" s="1"/>
  <c r="Y32" i="43"/>
  <c r="Y24" i="43"/>
  <c r="AC16" i="43"/>
  <c r="AR8" i="43"/>
  <c r="AQ55" i="43"/>
  <c r="AV48" i="43"/>
  <c r="AR33" i="43"/>
  <c r="N33" i="43" s="1"/>
  <c r="AM30" i="43"/>
  <c r="AV30" i="43"/>
  <c r="AN30" i="43"/>
  <c r="AO30" i="43"/>
  <c r="AH30" i="43"/>
  <c r="AQ30" i="43"/>
  <c r="AI30" i="43"/>
  <c r="AR30" i="43"/>
  <c r="AJ30" i="43"/>
  <c r="AS30" i="43"/>
  <c r="S30" i="43"/>
  <c r="D30" i="43" s="1"/>
  <c r="AB30" i="43"/>
  <c r="T30" i="43"/>
  <c r="AC30" i="43"/>
  <c r="AL30" i="43"/>
  <c r="V30" i="43"/>
  <c r="AE30" i="43"/>
  <c r="AT30" i="43"/>
  <c r="P30" i="43" s="1"/>
  <c r="W30" i="43"/>
  <c r="H30" i="43" s="1"/>
  <c r="AF30" i="43"/>
  <c r="AK14" i="43"/>
  <c r="AT14" i="43"/>
  <c r="AL14" i="43"/>
  <c r="AU14" i="43"/>
  <c r="AM14" i="43"/>
  <c r="AV14" i="43"/>
  <c r="AO14" i="43"/>
  <c r="AN14" i="43"/>
  <c r="AQ14" i="43"/>
  <c r="AR14" i="43"/>
  <c r="AS14" i="43"/>
  <c r="AH14" i="43"/>
  <c r="S14" i="43"/>
  <c r="AB14" i="43"/>
  <c r="T14" i="43"/>
  <c r="AC14" i="43"/>
  <c r="V14" i="43"/>
  <c r="AE14" i="43"/>
  <c r="W14" i="43"/>
  <c r="AF14" i="43"/>
  <c r="H34" i="43"/>
  <c r="AB54" i="43"/>
  <c r="S54" i="43"/>
  <c r="D54" i="43" s="1"/>
  <c r="AD51" i="43"/>
  <c r="O51" i="43" s="1"/>
  <c r="U51" i="43"/>
  <c r="AB50" i="43"/>
  <c r="S50" i="43"/>
  <c r="AB46" i="43"/>
  <c r="Y45" i="43"/>
  <c r="J45" i="43" s="1"/>
  <c r="AD43" i="43"/>
  <c r="U43" i="43"/>
  <c r="F43" i="43" s="1"/>
  <c r="AB42" i="43"/>
  <c r="M42" i="43" s="1"/>
  <c r="S42" i="43"/>
  <c r="AF37" i="43"/>
  <c r="AB35" i="43"/>
  <c r="Y34" i="43"/>
  <c r="AB27" i="43"/>
  <c r="Y26" i="43"/>
  <c r="AB19" i="43"/>
  <c r="Y18" i="43"/>
  <c r="AB11" i="43"/>
  <c r="Y10" i="43"/>
  <c r="AT51" i="43"/>
  <c r="AR50" i="43"/>
  <c r="AV27" i="43"/>
  <c r="J54" i="43"/>
  <c r="E54" i="43"/>
  <c r="AO54" i="43"/>
  <c r="AH54" i="43"/>
  <c r="AQ54" i="43"/>
  <c r="AJ54" i="43"/>
  <c r="AS54" i="43"/>
  <c r="AK54" i="43"/>
  <c r="AT54" i="43"/>
  <c r="P54" i="43" s="1"/>
  <c r="E46" i="43"/>
  <c r="AM46" i="43"/>
  <c r="AV46" i="43"/>
  <c r="AN46" i="43"/>
  <c r="J46" i="43" s="1"/>
  <c r="AO46" i="43"/>
  <c r="AH46" i="43"/>
  <c r="D46" i="43" s="1"/>
  <c r="AQ46" i="43"/>
  <c r="M46" i="43" s="1"/>
  <c r="AJ46" i="43"/>
  <c r="AS46" i="43"/>
  <c r="O46" i="43" s="1"/>
  <c r="AL46" i="43"/>
  <c r="AR46" i="43"/>
  <c r="AU46" i="43"/>
  <c r="N38" i="43"/>
  <c r="G38" i="43"/>
  <c r="AM38" i="43"/>
  <c r="AV38" i="43"/>
  <c r="AN38" i="43"/>
  <c r="AO38" i="43"/>
  <c r="AH38" i="43"/>
  <c r="AQ38" i="43"/>
  <c r="M38" i="43" s="1"/>
  <c r="AI38" i="43"/>
  <c r="AR38" i="43"/>
  <c r="AJ38" i="43"/>
  <c r="F38" i="43" s="1"/>
  <c r="AS38" i="43"/>
  <c r="AT38" i="43"/>
  <c r="P38" i="43" s="1"/>
  <c r="AU38" i="43"/>
  <c r="T38" i="43"/>
  <c r="W38" i="43"/>
  <c r="H38" i="43" s="1"/>
  <c r="AM22" i="43"/>
  <c r="AV22" i="43"/>
  <c r="AN22" i="43"/>
  <c r="AO22" i="43"/>
  <c r="AH22" i="43"/>
  <c r="AQ22" i="43"/>
  <c r="AI22" i="43"/>
  <c r="AR22" i="43"/>
  <c r="AJ22" i="43"/>
  <c r="AS22" i="43"/>
  <c r="AT22" i="43"/>
  <c r="P22" i="43" s="1"/>
  <c r="S22" i="43"/>
  <c r="D22" i="43" s="1"/>
  <c r="AB22" i="43"/>
  <c r="AU22" i="43"/>
  <c r="T22" i="43"/>
  <c r="E22" i="43" s="1"/>
  <c r="AC22" i="43"/>
  <c r="N22" i="43" s="1"/>
  <c r="V22" i="43"/>
  <c r="AE22" i="43"/>
  <c r="W22" i="43"/>
  <c r="AF22" i="43"/>
  <c r="H53" i="43"/>
  <c r="AM53" i="43"/>
  <c r="AV53" i="43"/>
  <c r="AN53" i="43"/>
  <c r="J53" i="43" s="1"/>
  <c r="AH53" i="43"/>
  <c r="D53" i="43" s="1"/>
  <c r="AQ53" i="43"/>
  <c r="AI53" i="43"/>
  <c r="AR53" i="43"/>
  <c r="K45" i="43"/>
  <c r="AK45" i="43"/>
  <c r="AT45" i="43"/>
  <c r="AL45" i="43"/>
  <c r="AU45" i="43"/>
  <c r="Q45" i="43" s="1"/>
  <c r="AM45" i="43"/>
  <c r="AV45" i="43"/>
  <c r="AN45" i="43"/>
  <c r="AH45" i="43"/>
  <c r="AQ45" i="43"/>
  <c r="M45" i="43" s="1"/>
  <c r="AI45" i="43"/>
  <c r="AO45" i="43"/>
  <c r="AR45" i="43"/>
  <c r="N45" i="43" s="1"/>
  <c r="AK37" i="43"/>
  <c r="G37" i="43" s="1"/>
  <c r="AT37" i="43"/>
  <c r="AL37" i="43"/>
  <c r="AU37" i="43"/>
  <c r="AM37" i="43"/>
  <c r="AV37" i="43"/>
  <c r="R37" i="43" s="1"/>
  <c r="AN37" i="43"/>
  <c r="AO37" i="43"/>
  <c r="AH37" i="43"/>
  <c r="D37" i="43" s="1"/>
  <c r="AQ37" i="43"/>
  <c r="Y37" i="43"/>
  <c r="J37" i="43" s="1"/>
  <c r="Z37" i="43"/>
  <c r="AJ37" i="43"/>
  <c r="F37" i="43" s="1"/>
  <c r="T37" i="43"/>
  <c r="E37" i="43" s="1"/>
  <c r="AC37" i="43"/>
  <c r="AR37" i="43"/>
  <c r="N37" i="43" s="1"/>
  <c r="U37" i="43"/>
  <c r="AD37" i="43"/>
  <c r="O37" i="43" s="1"/>
  <c r="AK29" i="43"/>
  <c r="AT29" i="43"/>
  <c r="AL29" i="43"/>
  <c r="AU29" i="43"/>
  <c r="AM29" i="43"/>
  <c r="AV29" i="43"/>
  <c r="AN29" i="43"/>
  <c r="AO29" i="43"/>
  <c r="AH29" i="43"/>
  <c r="AQ29" i="43"/>
  <c r="AR29" i="43"/>
  <c r="Y29" i="43"/>
  <c r="AS29" i="43"/>
  <c r="Z29" i="43"/>
  <c r="T29" i="43"/>
  <c r="AC29" i="43"/>
  <c r="U29" i="43"/>
  <c r="AD29" i="43"/>
  <c r="AJ21" i="43"/>
  <c r="AM21" i="43"/>
  <c r="AI21" i="43"/>
  <c r="AT21" i="43"/>
  <c r="AK21" i="43"/>
  <c r="AU21" i="43"/>
  <c r="AL21" i="43"/>
  <c r="AV21" i="43"/>
  <c r="AN21" i="43"/>
  <c r="AO21" i="43"/>
  <c r="AQ21" i="43"/>
  <c r="M21" i="43" s="1"/>
  <c r="Y21" i="43"/>
  <c r="Z21" i="43"/>
  <c r="AH21" i="43"/>
  <c r="T21" i="43"/>
  <c r="AC21" i="43"/>
  <c r="AR21" i="43"/>
  <c r="U21" i="43"/>
  <c r="AD21" i="43"/>
  <c r="AI13" i="43"/>
  <c r="AR13" i="43"/>
  <c r="AJ13" i="43"/>
  <c r="AS13" i="43"/>
  <c r="AK13" i="43"/>
  <c r="AT13" i="43"/>
  <c r="AM13" i="43"/>
  <c r="AV13" i="43"/>
  <c r="AL13" i="43"/>
  <c r="AN13" i="43"/>
  <c r="AO13" i="43"/>
  <c r="AQ13" i="43"/>
  <c r="AU13" i="43"/>
  <c r="Y13" i="43"/>
  <c r="Z13" i="43"/>
  <c r="T13" i="43"/>
  <c r="AC13" i="43"/>
  <c r="U13" i="43"/>
  <c r="AD13" i="43"/>
  <c r="G54" i="43"/>
  <c r="E53" i="43"/>
  <c r="R51" i="43"/>
  <c r="E45" i="43"/>
  <c r="R43" i="43"/>
  <c r="R35" i="43"/>
  <c r="Z54" i="43"/>
  <c r="AG53" i="43"/>
  <c r="R53" i="43" s="1"/>
  <c r="X53" i="43"/>
  <c r="AC51" i="43"/>
  <c r="T51" i="43"/>
  <c r="E51" i="43" s="1"/>
  <c r="Z50" i="43"/>
  <c r="Z46" i="43"/>
  <c r="AG45" i="43"/>
  <c r="X45" i="43"/>
  <c r="AC43" i="43"/>
  <c r="Z42" i="43"/>
  <c r="Z38" i="43"/>
  <c r="AE37" i="43"/>
  <c r="P37" i="43" s="1"/>
  <c r="Z35" i="43"/>
  <c r="X34" i="43"/>
  <c r="AG30" i="43"/>
  <c r="AE29" i="43"/>
  <c r="Z27" i="43"/>
  <c r="X26" i="43"/>
  <c r="AG22" i="43"/>
  <c r="AE21" i="43"/>
  <c r="Z19" i="43"/>
  <c r="AG14" i="43"/>
  <c r="AE13" i="43"/>
  <c r="Z11" i="43"/>
  <c r="X10" i="43"/>
  <c r="AU53" i="43"/>
  <c r="Q53" i="43" s="1"/>
  <c r="AQ51" i="43"/>
  <c r="M51" i="43" s="1"/>
  <c r="AL50" i="43"/>
  <c r="AU26" i="43"/>
  <c r="AL22" i="43"/>
  <c r="AJ14" i="43"/>
  <c r="AV54" i="43"/>
  <c r="AK22" i="43"/>
  <c r="G22" i="43" s="1"/>
  <c r="AI14" i="43"/>
  <c r="AD30" i="43"/>
  <c r="O30" i="43" s="1"/>
  <c r="P51" i="43"/>
  <c r="AI51" i="43"/>
  <c r="AR51" i="43"/>
  <c r="AJ51" i="43"/>
  <c r="F51" i="43" s="1"/>
  <c r="AS51" i="43"/>
  <c r="AL51" i="43"/>
  <c r="H51" i="43" s="1"/>
  <c r="AU51" i="43"/>
  <c r="Q51" i="43" s="1"/>
  <c r="AM51" i="43"/>
  <c r="I51" i="43" s="1"/>
  <c r="AV51" i="43"/>
  <c r="G43" i="43"/>
  <c r="AO43" i="43"/>
  <c r="AH43" i="43"/>
  <c r="AQ43" i="43"/>
  <c r="AI43" i="43"/>
  <c r="E43" i="43" s="1"/>
  <c r="AR43" i="43"/>
  <c r="AJ43" i="43"/>
  <c r="AS43" i="43"/>
  <c r="O43" i="43" s="1"/>
  <c r="AK43" i="43"/>
  <c r="AL43" i="43"/>
  <c r="AU43" i="43"/>
  <c r="Q43" i="43" s="1"/>
  <c r="AM43" i="43"/>
  <c r="I43" i="43" s="1"/>
  <c r="AN43" i="43"/>
  <c r="AV43" i="43"/>
  <c r="O35" i="43"/>
  <c r="P35" i="43"/>
  <c r="AO35" i="43"/>
  <c r="AH35" i="43"/>
  <c r="AQ35" i="43"/>
  <c r="AI35" i="43"/>
  <c r="AR35" i="43"/>
  <c r="N35" i="43" s="1"/>
  <c r="AJ35" i="43"/>
  <c r="AS35" i="43"/>
  <c r="AK35" i="43"/>
  <c r="AT35" i="43"/>
  <c r="AL35" i="43"/>
  <c r="AU35" i="43"/>
  <c r="U35" i="43"/>
  <c r="F35" i="43" s="1"/>
  <c r="AD35" i="43"/>
  <c r="V35" i="43"/>
  <c r="G35" i="43" s="1"/>
  <c r="AE35" i="43"/>
  <c r="X35" i="43"/>
  <c r="I35" i="43" s="1"/>
  <c r="AG35" i="43"/>
  <c r="AM35" i="43"/>
  <c r="Y35" i="43"/>
  <c r="J35" i="43" s="1"/>
  <c r="AM11" i="43"/>
  <c r="AV11" i="43"/>
  <c r="AN11" i="43"/>
  <c r="AO11" i="43"/>
  <c r="AI11" i="43"/>
  <c r="AR11" i="43"/>
  <c r="AH11" i="43"/>
  <c r="AJ11" i="43"/>
  <c r="AK11" i="43"/>
  <c r="AL11" i="43"/>
  <c r="AQ11" i="43"/>
  <c r="AS11" i="43"/>
  <c r="U11" i="43"/>
  <c r="AD11" i="43"/>
  <c r="V11" i="43"/>
  <c r="AE11" i="43"/>
  <c r="AU11" i="43"/>
  <c r="X11" i="43"/>
  <c r="AG11" i="43"/>
  <c r="Y11" i="43"/>
  <c r="G51" i="43"/>
  <c r="N50" i="43"/>
  <c r="N46" i="43"/>
  <c r="P43" i="43"/>
  <c r="N42" i="43"/>
  <c r="E42" i="43"/>
  <c r="E38" i="43"/>
  <c r="K37" i="43"/>
  <c r="N30" i="43"/>
  <c r="E30" i="43"/>
  <c r="AG54" i="43"/>
  <c r="R54" i="43" s="1"/>
  <c r="X54" i="43"/>
  <c r="I54" i="43" s="1"/>
  <c r="AE53" i="43"/>
  <c r="V53" i="43"/>
  <c r="G53" i="43" s="1"/>
  <c r="Z51" i="43"/>
  <c r="K51" i="43" s="1"/>
  <c r="AG50" i="43"/>
  <c r="X50" i="43"/>
  <c r="I50" i="43" s="1"/>
  <c r="AG46" i="43"/>
  <c r="R46" i="43" s="1"/>
  <c r="X46" i="43"/>
  <c r="AE45" i="43"/>
  <c r="V45" i="43"/>
  <c r="Z43" i="43"/>
  <c r="K43" i="43" s="1"/>
  <c r="AG42" i="43"/>
  <c r="R42" i="43" s="1"/>
  <c r="AG38" i="43"/>
  <c r="X38" i="43"/>
  <c r="I38" i="43" s="1"/>
  <c r="X37" i="43"/>
  <c r="I37" i="43" s="1"/>
  <c r="T35" i="43"/>
  <c r="E35" i="43" s="1"/>
  <c r="Z30" i="43"/>
  <c r="X29" i="43"/>
  <c r="Z22" i="43"/>
  <c r="X21" i="43"/>
  <c r="Z14" i="43"/>
  <c r="X13" i="43"/>
  <c r="T11" i="43"/>
  <c r="AU54" i="43"/>
  <c r="AS53" i="43"/>
  <c r="AN51" i="43"/>
  <c r="AN35" i="43"/>
  <c r="AU30" i="43"/>
  <c r="Q30" i="43" s="1"/>
  <c r="AS21" i="43"/>
  <c r="AH13" i="43"/>
  <c r="N53" i="43"/>
  <c r="AO27" i="43"/>
  <c r="AH27" i="43"/>
  <c r="AQ27" i="43"/>
  <c r="AI27" i="43"/>
  <c r="AR27" i="43"/>
  <c r="N27" i="43" s="1"/>
  <c r="AJ27" i="43"/>
  <c r="F27" i="43" s="1"/>
  <c r="AS27" i="43"/>
  <c r="AK27" i="43"/>
  <c r="AT27" i="43"/>
  <c r="AL27" i="43"/>
  <c r="AU27" i="43"/>
  <c r="AM27" i="43"/>
  <c r="U27" i="43"/>
  <c r="AD27" i="43"/>
  <c r="AN27" i="43"/>
  <c r="V27" i="43"/>
  <c r="G27" i="43" s="1"/>
  <c r="AE27" i="43"/>
  <c r="X27" i="43"/>
  <c r="AG27" i="43"/>
  <c r="R27" i="43" s="1"/>
  <c r="Y27" i="43"/>
  <c r="AM19" i="43"/>
  <c r="AV19" i="43"/>
  <c r="AN19" i="43"/>
  <c r="AO19" i="43"/>
  <c r="AI19" i="43"/>
  <c r="AR19" i="43"/>
  <c r="AH19" i="43"/>
  <c r="AJ19" i="43"/>
  <c r="AK19" i="43"/>
  <c r="AL19" i="43"/>
  <c r="AQ19" i="43"/>
  <c r="AS19" i="43"/>
  <c r="AT19" i="43"/>
  <c r="U19" i="43"/>
  <c r="AD19" i="43"/>
  <c r="AU19" i="43"/>
  <c r="V19" i="43"/>
  <c r="AE19" i="43"/>
  <c r="X19" i="43"/>
  <c r="AG19" i="43"/>
  <c r="Y19" i="43"/>
  <c r="E50" i="43"/>
  <c r="G50" i="43"/>
  <c r="AN50" i="43"/>
  <c r="J50" i="43" s="1"/>
  <c r="AO50" i="43"/>
  <c r="AJ50" i="43"/>
  <c r="AM50" i="43"/>
  <c r="AQ50" i="43"/>
  <c r="AS50" i="43"/>
  <c r="AH50" i="43"/>
  <c r="D50" i="43" s="1"/>
  <c r="AT50" i="43"/>
  <c r="P50" i="43" s="1"/>
  <c r="P42" i="43"/>
  <c r="AM42" i="43"/>
  <c r="I42" i="43" s="1"/>
  <c r="AV42" i="43"/>
  <c r="AN42" i="43"/>
  <c r="J42" i="43" s="1"/>
  <c r="AO42" i="43"/>
  <c r="AH42" i="43"/>
  <c r="AQ42" i="43"/>
  <c r="AI42" i="43"/>
  <c r="AR42" i="43"/>
  <c r="AJ42" i="43"/>
  <c r="AS42" i="43"/>
  <c r="AK42" i="43"/>
  <c r="G42" i="43" s="1"/>
  <c r="AM34" i="43"/>
  <c r="AV34" i="43"/>
  <c r="R34" i="43" s="1"/>
  <c r="AN34" i="43"/>
  <c r="AO34" i="43"/>
  <c r="K34" i="43" s="1"/>
  <c r="AH34" i="43"/>
  <c r="AQ34" i="43"/>
  <c r="M34" i="43" s="1"/>
  <c r="AI34" i="43"/>
  <c r="AR34" i="43"/>
  <c r="AJ34" i="43"/>
  <c r="F34" i="43" s="1"/>
  <c r="AS34" i="43"/>
  <c r="O34" i="43" s="1"/>
  <c r="AK34" i="43"/>
  <c r="S34" i="43"/>
  <c r="AB34" i="43"/>
  <c r="AL34" i="43"/>
  <c r="T34" i="43"/>
  <c r="E34" i="43" s="1"/>
  <c r="AC34" i="43"/>
  <c r="N34" i="43" s="1"/>
  <c r="AU34" i="43"/>
  <c r="Q34" i="43" s="1"/>
  <c r="V34" i="43"/>
  <c r="G34" i="43" s="1"/>
  <c r="AE34" i="43"/>
  <c r="P34" i="43" s="1"/>
  <c r="W34" i="43"/>
  <c r="AF34" i="43"/>
  <c r="AM26" i="43"/>
  <c r="AV26" i="43"/>
  <c r="AN26" i="43"/>
  <c r="AO26" i="43"/>
  <c r="AH26" i="43"/>
  <c r="AQ26" i="43"/>
  <c r="AI26" i="43"/>
  <c r="AR26" i="43"/>
  <c r="AJ26" i="43"/>
  <c r="AS26" i="43"/>
  <c r="S26" i="43"/>
  <c r="AB26" i="43"/>
  <c r="T26" i="43"/>
  <c r="AC26" i="43"/>
  <c r="V26" i="43"/>
  <c r="AE26" i="43"/>
  <c r="AK26" i="43"/>
  <c r="W26" i="43"/>
  <c r="AF26" i="43"/>
  <c r="AK18" i="43"/>
  <c r="AT18" i="43"/>
  <c r="AL18" i="43"/>
  <c r="AU18" i="43"/>
  <c r="AM18" i="43"/>
  <c r="AV18" i="43"/>
  <c r="AO18" i="43"/>
  <c r="AH18" i="43"/>
  <c r="AI18" i="43"/>
  <c r="AJ18" i="43"/>
  <c r="AN18" i="43"/>
  <c r="AQ18" i="43"/>
  <c r="S18" i="43"/>
  <c r="AB18" i="43"/>
  <c r="T18" i="43"/>
  <c r="AC18" i="43"/>
  <c r="V18" i="43"/>
  <c r="AE18" i="43"/>
  <c r="W18" i="43"/>
  <c r="AF18" i="43"/>
  <c r="AK10" i="43"/>
  <c r="AT10" i="43"/>
  <c r="AL10" i="43"/>
  <c r="AU10" i="43"/>
  <c r="AM10" i="43"/>
  <c r="AV10" i="43"/>
  <c r="AO10" i="43"/>
  <c r="AH10" i="43"/>
  <c r="AI10" i="43"/>
  <c r="AJ10" i="43"/>
  <c r="AN10" i="43"/>
  <c r="AQ10" i="43"/>
  <c r="AR10" i="43"/>
  <c r="S10" i="43"/>
  <c r="AB10" i="43"/>
  <c r="AS10" i="43"/>
  <c r="T10" i="43"/>
  <c r="AC10" i="43"/>
  <c r="V10" i="43"/>
  <c r="AE10" i="43"/>
  <c r="W10" i="43"/>
  <c r="AF10" i="43"/>
  <c r="M54" i="43"/>
  <c r="M50" i="43"/>
  <c r="D42" i="43"/>
  <c r="D38" i="43"/>
  <c r="D34" i="43"/>
  <c r="M30" i="43"/>
  <c r="AF54" i="43"/>
  <c r="Q54" i="43" s="1"/>
  <c r="W54" i="43"/>
  <c r="H54" i="43" s="1"/>
  <c r="AD53" i="43"/>
  <c r="O53" i="43" s="1"/>
  <c r="U53" i="43"/>
  <c r="F53" i="43" s="1"/>
  <c r="Y51" i="43"/>
  <c r="J51" i="43" s="1"/>
  <c r="AF50" i="43"/>
  <c r="Q50" i="43" s="1"/>
  <c r="W50" i="43"/>
  <c r="H50" i="43" s="1"/>
  <c r="AF46" i="43"/>
  <c r="Q46" i="43" s="1"/>
  <c r="W46" i="43"/>
  <c r="H46" i="43" s="1"/>
  <c r="AD45" i="43"/>
  <c r="O45" i="43" s="1"/>
  <c r="U45" i="43"/>
  <c r="F45" i="43" s="1"/>
  <c r="Y43" i="43"/>
  <c r="J43" i="43" s="1"/>
  <c r="AF42" i="43"/>
  <c r="Q42" i="43" s="1"/>
  <c r="W42" i="43"/>
  <c r="H42" i="43" s="1"/>
  <c r="AF38" i="43"/>
  <c r="Q38" i="43" s="1"/>
  <c r="V38" i="43"/>
  <c r="W37" i="43"/>
  <c r="S35" i="43"/>
  <c r="D35" i="43" s="1"/>
  <c r="Y30" i="43"/>
  <c r="W29" i="43"/>
  <c r="H29" i="43" s="1"/>
  <c r="S27" i="43"/>
  <c r="Y22" i="43"/>
  <c r="W21" i="43"/>
  <c r="S19" i="43"/>
  <c r="Y14" i="43"/>
  <c r="W13" i="43"/>
  <c r="S11" i="43"/>
  <c r="AR54" i="43"/>
  <c r="N54" i="43" s="1"/>
  <c r="AO53" i="43"/>
  <c r="K53" i="43" s="1"/>
  <c r="AK51" i="43"/>
  <c r="AT46" i="43"/>
  <c r="P46" i="43" s="1"/>
  <c r="AT43" i="43"/>
  <c r="AT34" i="43"/>
  <c r="AK30" i="43"/>
  <c r="G30" i="43" s="1"/>
  <c r="AT11" i="43"/>
  <c r="AH51" i="43"/>
  <c r="D51" i="43" s="1"/>
  <c r="AK46" i="43"/>
  <c r="G46" i="43" s="1"/>
  <c r="AL38" i="43"/>
  <c r="J18" i="35"/>
  <c r="L13" i="43" l="1"/>
  <c r="L19" i="43"/>
  <c r="L17" i="43"/>
  <c r="E19" i="43"/>
  <c r="L15" i="43"/>
  <c r="J29" i="43"/>
  <c r="E28" i="43"/>
  <c r="P25" i="43"/>
  <c r="G21" i="43"/>
  <c r="L28" i="43"/>
  <c r="R20" i="43"/>
  <c r="H26" i="43"/>
  <c r="R21" i="43"/>
  <c r="J24" i="43"/>
  <c r="L26" i="43"/>
  <c r="K26" i="43"/>
  <c r="I21" i="43"/>
  <c r="E21" i="43"/>
  <c r="M28" i="43"/>
  <c r="M23" i="43"/>
  <c r="F25" i="43"/>
  <c r="D26" i="43"/>
  <c r="R19" i="43"/>
  <c r="R28" i="43"/>
  <c r="P27" i="43"/>
  <c r="Q26" i="43"/>
  <c r="P21" i="43"/>
  <c r="O27" i="43"/>
  <c r="N21" i="43"/>
  <c r="P24" i="43"/>
  <c r="Q22" i="43"/>
  <c r="P26" i="43"/>
  <c r="N29" i="43"/>
  <c r="M25" i="43"/>
  <c r="M24" i="43"/>
  <c r="M22" i="43"/>
  <c r="K21" i="43"/>
  <c r="I24" i="43"/>
  <c r="D23" i="43"/>
  <c r="I23" i="43"/>
  <c r="L20" i="43"/>
  <c r="F20" i="43"/>
  <c r="J28" i="43"/>
  <c r="E20" i="43"/>
  <c r="L11" i="43"/>
  <c r="L9" i="43"/>
  <c r="L10" i="43"/>
  <c r="I19" i="43"/>
  <c r="L16" i="43"/>
  <c r="G23" i="43"/>
  <c r="D21" i="43"/>
  <c r="L24" i="43"/>
  <c r="F29" i="43"/>
  <c r="D20" i="43"/>
  <c r="L21" i="43"/>
  <c r="D27" i="43"/>
  <c r="H22" i="43"/>
  <c r="O19" i="43"/>
  <c r="R29" i="43"/>
  <c r="Q23" i="43"/>
  <c r="M26" i="43"/>
  <c r="K20" i="43"/>
  <c r="G25" i="43"/>
  <c r="G28" i="43"/>
  <c r="D24" i="43"/>
  <c r="L27" i="43"/>
  <c r="R26" i="43"/>
  <c r="Q28" i="43"/>
  <c r="O29" i="43"/>
  <c r="P19" i="43"/>
  <c r="J27" i="43"/>
  <c r="Q21" i="43"/>
  <c r="G29" i="43"/>
  <c r="G14" i="43"/>
  <c r="N20" i="43"/>
  <c r="M20" i="43"/>
  <c r="H28" i="43"/>
  <c r="K24" i="43"/>
  <c r="O23" i="43"/>
  <c r="O24" i="43"/>
  <c r="H24" i="43"/>
  <c r="J25" i="43"/>
  <c r="L18" i="43"/>
  <c r="L8" i="43"/>
  <c r="I28" i="43"/>
  <c r="G26" i="43"/>
  <c r="H21" i="43"/>
  <c r="N26" i="43"/>
  <c r="E27" i="43"/>
  <c r="K22" i="43"/>
  <c r="O21" i="43"/>
  <c r="K29" i="43"/>
  <c r="O22" i="43"/>
  <c r="R23" i="43"/>
  <c r="H23" i="43"/>
  <c r="E24" i="43"/>
  <c r="N25" i="43"/>
  <c r="L14" i="43"/>
  <c r="L12" i="43"/>
  <c r="Q19" i="43"/>
  <c r="F19" i="43"/>
  <c r="F22" i="43"/>
  <c r="I20" i="43"/>
  <c r="O28" i="43"/>
  <c r="D28" i="43"/>
  <c r="P23" i="43"/>
  <c r="K23" i="43"/>
  <c r="Q24" i="43"/>
  <c r="K25" i="43"/>
  <c r="G24" i="43"/>
  <c r="R25" i="43"/>
  <c r="O26" i="43"/>
  <c r="G19" i="43"/>
  <c r="O25" i="43"/>
  <c r="R22" i="43"/>
  <c r="E29" i="43"/>
  <c r="J22" i="43"/>
  <c r="E26" i="43"/>
  <c r="Q27" i="43"/>
  <c r="J19" i="43"/>
  <c r="I27" i="43"/>
  <c r="H27" i="43"/>
  <c r="J21" i="43"/>
  <c r="F21" i="43"/>
  <c r="Q29" i="43"/>
  <c r="P20" i="43"/>
  <c r="N28" i="43"/>
  <c r="N24" i="43"/>
  <c r="J23" i="43"/>
  <c r="R24" i="43"/>
  <c r="D25" i="43"/>
  <c r="F14" i="43"/>
  <c r="G12" i="43"/>
  <c r="D18" i="43"/>
  <c r="G15" i="43"/>
  <c r="I15" i="43"/>
  <c r="D14" i="43"/>
  <c r="K8" i="43"/>
  <c r="E9" i="43"/>
  <c r="K17" i="43"/>
  <c r="G11" i="43"/>
  <c r="E18" i="43"/>
  <c r="D8" i="43"/>
  <c r="K9" i="43"/>
  <c r="D9" i="43"/>
  <c r="J17" i="43"/>
  <c r="H14" i="43"/>
  <c r="M14" i="43"/>
  <c r="H16" i="43"/>
  <c r="K15" i="43"/>
  <c r="N8" i="43"/>
  <c r="F18" i="43"/>
  <c r="J13" i="43"/>
  <c r="D17" i="43"/>
  <c r="N17" i="43"/>
  <c r="G16" i="43"/>
  <c r="D11" i="43"/>
  <c r="D12" i="43"/>
  <c r="E17" i="43"/>
  <c r="D15" i="43"/>
  <c r="M10" i="43"/>
  <c r="N10" i="43"/>
  <c r="I14" i="43"/>
  <c r="H8" i="43"/>
  <c r="E8" i="43"/>
  <c r="E16" i="43"/>
  <c r="E15" i="43"/>
  <c r="F11" i="43"/>
  <c r="N14" i="43"/>
  <c r="D13" i="43"/>
  <c r="I12" i="43"/>
  <c r="F9" i="43"/>
  <c r="H13" i="43"/>
  <c r="K13" i="43"/>
  <c r="R14" i="43"/>
  <c r="E12" i="43"/>
  <c r="I17" i="43"/>
  <c r="K12" i="43"/>
  <c r="F17" i="43"/>
  <c r="F10" i="43"/>
  <c r="J16" i="43"/>
  <c r="G9" i="43"/>
  <c r="N9" i="43"/>
  <c r="Q10" i="43"/>
  <c r="E11" i="43"/>
  <c r="F12" i="43"/>
  <c r="H12" i="43"/>
  <c r="D16" i="43"/>
  <c r="J9" i="43"/>
  <c r="G10" i="43"/>
  <c r="I16" i="43"/>
  <c r="F15" i="43"/>
  <c r="J11" i="43"/>
  <c r="E13" i="43"/>
  <c r="K14" i="43"/>
  <c r="E14" i="43"/>
  <c r="R17" i="43"/>
  <c r="Q35" i="43"/>
  <c r="M31" i="43"/>
  <c r="P28" i="43"/>
  <c r="P10" i="43"/>
  <c r="J30" i="43"/>
  <c r="F42" i="43"/>
  <c r="N19" i="43"/>
  <c r="I29" i="43"/>
  <c r="G45" i="43"/>
  <c r="P53" i="43"/>
  <c r="H35" i="43"/>
  <c r="I26" i="43"/>
  <c r="K42" i="43"/>
  <c r="I53" i="43"/>
  <c r="I22" i="43"/>
  <c r="O38" i="43"/>
  <c r="J26" i="43"/>
  <c r="F30" i="43"/>
  <c r="F28" i="43"/>
  <c r="P44" i="43"/>
  <c r="P36" i="43"/>
  <c r="K38" i="43"/>
  <c r="N15" i="43"/>
  <c r="P45" i="43"/>
  <c r="K27" i="43"/>
  <c r="M19" i="43"/>
  <c r="M27" i="43"/>
  <c r="H37" i="43"/>
  <c r="D10" i="43"/>
  <c r="G18" i="43"/>
  <c r="I46" i="43"/>
  <c r="M43" i="43"/>
  <c r="P29" i="43"/>
  <c r="I45" i="43"/>
  <c r="K54" i="43"/>
  <c r="M37" i="43"/>
  <c r="J34" i="43"/>
  <c r="E31" i="43"/>
  <c r="Q33" i="43"/>
  <c r="J18" i="43"/>
  <c r="I10" i="43"/>
  <c r="N51" i="43"/>
  <c r="K30" i="43"/>
  <c r="N43" i="43"/>
  <c r="J38" i="43"/>
  <c r="M17" i="43"/>
  <c r="D19" i="43"/>
  <c r="F26" i="43"/>
  <c r="F50" i="43"/>
  <c r="H19" i="43"/>
  <c r="H43" i="43"/>
  <c r="D43" i="43"/>
  <c r="R30" i="43"/>
  <c r="R45" i="43"/>
  <c r="M29" i="43"/>
  <c r="O54" i="43"/>
  <c r="M35" i="43"/>
  <c r="E23" i="43"/>
  <c r="I41" i="43"/>
  <c r="K46" i="43"/>
  <c r="D29" i="43"/>
  <c r="F54" i="43"/>
  <c r="F44" i="43"/>
  <c r="I25" i="43"/>
  <c r="R8" i="43"/>
  <c r="I11" i="43"/>
  <c r="I34" i="43"/>
  <c r="Q37" i="43"/>
  <c r="I30" i="43"/>
  <c r="E10" i="43"/>
  <c r="R38" i="43"/>
  <c r="R50" i="43"/>
  <c r="K19" i="43"/>
  <c r="K35" i="43"/>
  <c r="K50" i="43"/>
  <c r="D45" i="43"/>
  <c r="H45" i="43"/>
  <c r="M53" i="43"/>
  <c r="F46" i="43"/>
  <c r="E47" i="43"/>
  <c r="M47" i="43"/>
  <c r="Q25" i="43"/>
  <c r="V26" i="42"/>
  <c r="U26" i="42"/>
  <c r="T26" i="42"/>
  <c r="R26" i="42"/>
  <c r="Q26" i="42"/>
  <c r="P26" i="42"/>
  <c r="X12" i="42"/>
  <c r="X13" i="42"/>
  <c r="X14" i="42"/>
  <c r="X15" i="42"/>
  <c r="X16" i="42"/>
  <c r="X17" i="42"/>
  <c r="X18" i="42"/>
  <c r="X19" i="42"/>
  <c r="X20" i="42"/>
  <c r="X21" i="42"/>
  <c r="X22" i="42"/>
  <c r="X23" i="42"/>
  <c r="X24" i="42"/>
  <c r="X25" i="42"/>
  <c r="P15" i="43" l="1"/>
  <c r="H15" i="43"/>
  <c r="F16" i="43"/>
  <c r="H10" i="43"/>
  <c r="H9" i="43"/>
  <c r="H11" i="43"/>
  <c r="J8" i="43"/>
  <c r="H18" i="43"/>
  <c r="O14" i="43"/>
  <c r="K11" i="43"/>
  <c r="O17" i="43"/>
  <c r="I18" i="43"/>
  <c r="K16" i="43"/>
  <c r="J12" i="43"/>
  <c r="P9" i="43"/>
  <c r="H17" i="43"/>
  <c r="G17" i="43"/>
  <c r="P17" i="43"/>
  <c r="P8" i="43"/>
  <c r="J14" i="43"/>
  <c r="K10" i="43"/>
  <c r="G13" i="43"/>
  <c r="I9" i="43"/>
  <c r="N12" i="43"/>
  <c r="N13" i="43"/>
  <c r="F13" i="43"/>
  <c r="M18" i="43"/>
  <c r="R10" i="43"/>
  <c r="M11" i="43"/>
  <c r="M9" i="43"/>
  <c r="M16" i="43"/>
  <c r="P14" i="43"/>
  <c r="G8" i="43"/>
  <c r="O10" i="43"/>
  <c r="M13" i="43"/>
  <c r="F8" i="43"/>
  <c r="J17" i="35"/>
  <c r="E17" i="35"/>
  <c r="C27" i="35"/>
  <c r="Q6" i="31"/>
  <c r="R6" i="31"/>
  <c r="Q7" i="30"/>
  <c r="AX7" i="30" s="1"/>
  <c r="R7" i="30"/>
  <c r="AY7" i="30" s="1"/>
  <c r="Q8" i="30"/>
  <c r="AX8" i="30" s="1"/>
  <c r="R8" i="30"/>
  <c r="AY8" i="30" s="1"/>
  <c r="Q9" i="30"/>
  <c r="R9" i="30"/>
  <c r="AY9" i="30" s="1"/>
  <c r="Q10" i="30"/>
  <c r="AX10" i="30" s="1"/>
  <c r="R10" i="30"/>
  <c r="AY10" i="30" s="1"/>
  <c r="Q11" i="30"/>
  <c r="AX11" i="30" s="1"/>
  <c r="R11" i="30"/>
  <c r="AY11" i="30" s="1"/>
  <c r="Q12" i="30"/>
  <c r="AX12" i="30" s="1"/>
  <c r="R12" i="30"/>
  <c r="AY12" i="30" s="1"/>
  <c r="Q13" i="30"/>
  <c r="R13" i="30"/>
  <c r="AY13" i="30" s="1"/>
  <c r="Q14" i="30"/>
  <c r="AX14" i="30" s="1"/>
  <c r="R14" i="30"/>
  <c r="AY14" i="30" s="1"/>
  <c r="Q15" i="30"/>
  <c r="AX15" i="30" s="1"/>
  <c r="R15" i="30"/>
  <c r="AY15" i="30" s="1"/>
  <c r="Q16" i="30"/>
  <c r="AX16" i="30" s="1"/>
  <c r="R16" i="30"/>
  <c r="AY16" i="30" s="1"/>
  <c r="Q17" i="30"/>
  <c r="AX17" i="30" s="1"/>
  <c r="R17" i="30"/>
  <c r="AY17" i="30" s="1"/>
  <c r="Q18" i="30"/>
  <c r="AX18" i="30" s="1"/>
  <c r="R18" i="30"/>
  <c r="AY18" i="30" s="1"/>
  <c r="Q19" i="30"/>
  <c r="AX19" i="30" s="1"/>
  <c r="R19" i="30"/>
  <c r="AY19" i="30" s="1"/>
  <c r="Q20" i="30"/>
  <c r="AX20" i="30" s="1"/>
  <c r="R20" i="30"/>
  <c r="AY20" i="30" s="1"/>
  <c r="Q21" i="30"/>
  <c r="AX21" i="30" s="1"/>
  <c r="R21" i="30"/>
  <c r="AY21" i="30" s="1"/>
  <c r="Q22" i="30"/>
  <c r="AX22" i="30" s="1"/>
  <c r="R22" i="30"/>
  <c r="AY22" i="30" s="1"/>
  <c r="Q23" i="30"/>
  <c r="AX23" i="30" s="1"/>
  <c r="R23" i="30"/>
  <c r="AY23" i="30" s="1"/>
  <c r="Q24" i="30"/>
  <c r="AX24" i="30" s="1"/>
  <c r="R24" i="30"/>
  <c r="AY24" i="30" s="1"/>
  <c r="Q25" i="30"/>
  <c r="AX25" i="30" s="1"/>
  <c r="R25" i="30"/>
  <c r="AY25" i="30" s="1"/>
  <c r="Q26" i="30"/>
  <c r="AX26" i="30" s="1"/>
  <c r="R26" i="30"/>
  <c r="AY26" i="30" s="1"/>
  <c r="Q27" i="30"/>
  <c r="AX27" i="30" s="1"/>
  <c r="R27" i="30"/>
  <c r="AY27" i="30" s="1"/>
  <c r="Q28" i="30"/>
  <c r="AX28" i="30" s="1"/>
  <c r="R28" i="30"/>
  <c r="AY28" i="30" s="1"/>
  <c r="Q29" i="30"/>
  <c r="AX29" i="30" s="1"/>
  <c r="R29" i="30"/>
  <c r="AY29" i="30" s="1"/>
  <c r="Q30" i="30"/>
  <c r="AX30" i="30" s="1"/>
  <c r="R30" i="30"/>
  <c r="AY30" i="30" s="1"/>
  <c r="Q31" i="30"/>
  <c r="AX31" i="30" s="1"/>
  <c r="R31" i="30"/>
  <c r="AY31" i="30" s="1"/>
  <c r="Q32" i="30"/>
  <c r="AX32" i="30" s="1"/>
  <c r="R32" i="30"/>
  <c r="AY32" i="30" s="1"/>
  <c r="Q33" i="30"/>
  <c r="AX33" i="30" s="1"/>
  <c r="R33" i="30"/>
  <c r="AY33" i="30" s="1"/>
  <c r="Q34" i="30"/>
  <c r="AX34" i="30" s="1"/>
  <c r="R34" i="30"/>
  <c r="AY34" i="30" s="1"/>
  <c r="Q35" i="30"/>
  <c r="AX35" i="30" s="1"/>
  <c r="R35" i="30"/>
  <c r="AY35" i="30" s="1"/>
  <c r="Q36" i="30"/>
  <c r="AX36" i="30" s="1"/>
  <c r="R36" i="30"/>
  <c r="AY36" i="30" s="1"/>
  <c r="Q37" i="30"/>
  <c r="AX37" i="30" s="1"/>
  <c r="R37" i="30"/>
  <c r="AY37" i="30" s="1"/>
  <c r="Q38" i="30"/>
  <c r="AX38" i="30" s="1"/>
  <c r="R38" i="30"/>
  <c r="AY38" i="30" s="1"/>
  <c r="Q39" i="30"/>
  <c r="AX39" i="30" s="1"/>
  <c r="R39" i="30"/>
  <c r="AY39" i="30" s="1"/>
  <c r="Q40" i="30"/>
  <c r="AX40" i="30" s="1"/>
  <c r="R40" i="30"/>
  <c r="AY40" i="30" s="1"/>
  <c r="Q41" i="30"/>
  <c r="AX41" i="30" s="1"/>
  <c r="R41" i="30"/>
  <c r="AY41" i="30" s="1"/>
  <c r="Q42" i="30"/>
  <c r="AX42" i="30" s="1"/>
  <c r="R42" i="30"/>
  <c r="AY42" i="30" s="1"/>
  <c r="Q43" i="30"/>
  <c r="AX43" i="30" s="1"/>
  <c r="R43" i="30"/>
  <c r="AY43" i="30" s="1"/>
  <c r="Q44" i="30"/>
  <c r="AX44" i="30" s="1"/>
  <c r="R44" i="30"/>
  <c r="AY44" i="30" s="1"/>
  <c r="Q45" i="30"/>
  <c r="AX45" i="30" s="1"/>
  <c r="R45" i="30"/>
  <c r="AY45" i="30" s="1"/>
  <c r="Q46" i="30"/>
  <c r="AX46" i="30" s="1"/>
  <c r="R46" i="30"/>
  <c r="AY46" i="30" s="1"/>
  <c r="Q47" i="30"/>
  <c r="AX47" i="30" s="1"/>
  <c r="R47" i="30"/>
  <c r="AY47" i="30" s="1"/>
  <c r="Q48" i="30"/>
  <c r="AX48" i="30" s="1"/>
  <c r="R48" i="30"/>
  <c r="AY48" i="30" s="1"/>
  <c r="Q49" i="30"/>
  <c r="AX49" i="30" s="1"/>
  <c r="R49" i="30"/>
  <c r="AY49" i="30" s="1"/>
  <c r="Q50" i="30"/>
  <c r="AX50" i="30" s="1"/>
  <c r="R50" i="30"/>
  <c r="AY50" i="30" s="1"/>
  <c r="Q51" i="30"/>
  <c r="AX51" i="30" s="1"/>
  <c r="R51" i="30"/>
  <c r="AY51" i="30" s="1"/>
  <c r="Q52" i="30"/>
  <c r="AX52" i="30" s="1"/>
  <c r="R52" i="30"/>
  <c r="AY52" i="30" s="1"/>
  <c r="Q53" i="30"/>
  <c r="AX53" i="30" s="1"/>
  <c r="R53" i="30"/>
  <c r="AY53" i="30" s="1"/>
  <c r="Q54" i="30"/>
  <c r="AX54" i="30" s="1"/>
  <c r="R54" i="30"/>
  <c r="AY54" i="30" s="1"/>
  <c r="Q55" i="30"/>
  <c r="AX55" i="30" s="1"/>
  <c r="R55" i="30"/>
  <c r="AY55" i="30" s="1"/>
  <c r="Q56" i="30"/>
  <c r="AX56" i="30" s="1"/>
  <c r="R56" i="30"/>
  <c r="AY56" i="30" s="1"/>
  <c r="Q57" i="30"/>
  <c r="AX57" i="30" s="1"/>
  <c r="R57" i="30"/>
  <c r="AY57" i="30" s="1"/>
  <c r="Q58" i="30"/>
  <c r="AX58" i="30" s="1"/>
  <c r="R58" i="30"/>
  <c r="AY58" i="30" s="1"/>
  <c r="Q59" i="30"/>
  <c r="AX59" i="30" s="1"/>
  <c r="R59" i="30"/>
  <c r="AY59" i="30" s="1"/>
  <c r="Q60" i="30"/>
  <c r="AX60" i="30" s="1"/>
  <c r="R60" i="30"/>
  <c r="AY60" i="30" s="1"/>
  <c r="Q61" i="30"/>
  <c r="AX61" i="30" s="1"/>
  <c r="R61" i="30"/>
  <c r="AY61" i="30" s="1"/>
  <c r="Q62" i="30"/>
  <c r="AX62" i="30" s="1"/>
  <c r="R62" i="30"/>
  <c r="AY62" i="30" s="1"/>
  <c r="Q63" i="30"/>
  <c r="AX63" i="30" s="1"/>
  <c r="R63" i="30"/>
  <c r="AY63" i="30" s="1"/>
  <c r="Q64" i="30"/>
  <c r="AX64" i="30" s="1"/>
  <c r="R64" i="30"/>
  <c r="AY64" i="30" s="1"/>
  <c r="Q65" i="30"/>
  <c r="AX65" i="30" s="1"/>
  <c r="R65" i="30"/>
  <c r="AY65" i="30" s="1"/>
  <c r="Q66" i="30"/>
  <c r="AX66" i="30" s="1"/>
  <c r="R66" i="30"/>
  <c r="AY66" i="30" s="1"/>
  <c r="Q6" i="30"/>
  <c r="R6" i="30"/>
  <c r="AG6" i="30"/>
  <c r="AX6" i="30" s="1"/>
  <c r="AH6" i="30"/>
  <c r="AY6" i="30" s="1"/>
  <c r="AW6" i="18"/>
  <c r="AX6" i="18"/>
  <c r="AG6" i="18"/>
  <c r="AH6" i="18"/>
  <c r="Q6" i="18"/>
  <c r="R6" i="18"/>
  <c r="Q6" i="17"/>
  <c r="R6" i="17"/>
  <c r="AW6" i="17"/>
  <c r="AX6" i="17"/>
  <c r="Q6" i="14"/>
  <c r="R6" i="14"/>
  <c r="AG6" i="14"/>
  <c r="AH6" i="14"/>
  <c r="AW6" i="14"/>
  <c r="AX6" i="14"/>
  <c r="Q6" i="15"/>
  <c r="R6" i="15"/>
  <c r="AW6" i="15"/>
  <c r="AX6" i="15"/>
  <c r="Q6" i="13"/>
  <c r="R6" i="13"/>
  <c r="AG6" i="13"/>
  <c r="AH6" i="13"/>
  <c r="AW6" i="13"/>
  <c r="AX6" i="13"/>
  <c r="CF6" i="5"/>
  <c r="CG6" i="5"/>
  <c r="AH6" i="5"/>
  <c r="AG6" i="15" s="1"/>
  <c r="AI6" i="5"/>
  <c r="AH6" i="15" s="1"/>
  <c r="BN6" i="5"/>
  <c r="BO6" i="5"/>
  <c r="AX6" i="5"/>
  <c r="AW6" i="31" s="1"/>
  <c r="AY6" i="5"/>
  <c r="AX6" i="31" s="1"/>
  <c r="B103" i="9"/>
  <c r="C103" i="9"/>
  <c r="D103" i="9"/>
  <c r="E103" i="9"/>
  <c r="F103" i="9"/>
  <c r="I103" i="9"/>
  <c r="B104" i="9"/>
  <c r="C104" i="9"/>
  <c r="D104" i="9"/>
  <c r="E104" i="9"/>
  <c r="F104" i="9"/>
  <c r="I104" i="9"/>
  <c r="B105" i="9"/>
  <c r="C105" i="9"/>
  <c r="D105" i="9"/>
  <c r="E105" i="9"/>
  <c r="F105" i="9"/>
  <c r="I105" i="9"/>
  <c r="B106" i="9"/>
  <c r="C106" i="9"/>
  <c r="D106" i="9"/>
  <c r="E106" i="9"/>
  <c r="F106" i="9"/>
  <c r="I106" i="9"/>
  <c r="B107" i="9"/>
  <c r="C107" i="9"/>
  <c r="D107" i="9"/>
  <c r="E107" i="9"/>
  <c r="F107" i="9"/>
  <c r="I107" i="9"/>
  <c r="B108" i="9"/>
  <c r="C108" i="9"/>
  <c r="D108" i="9"/>
  <c r="E108" i="9"/>
  <c r="F108" i="9"/>
  <c r="I108" i="9"/>
  <c r="B109" i="9"/>
  <c r="C109" i="9"/>
  <c r="D109" i="9"/>
  <c r="E109" i="9"/>
  <c r="F109" i="9"/>
  <c r="I109" i="9"/>
  <c r="B110" i="9"/>
  <c r="C110" i="9"/>
  <c r="D110" i="9"/>
  <c r="E110" i="9"/>
  <c r="F110" i="9"/>
  <c r="I110" i="9"/>
  <c r="B111" i="9"/>
  <c r="C111" i="9"/>
  <c r="D111" i="9"/>
  <c r="E111" i="9"/>
  <c r="F111" i="9"/>
  <c r="I111" i="9"/>
  <c r="B112" i="9"/>
  <c r="C112" i="9"/>
  <c r="D112" i="9"/>
  <c r="E112" i="9"/>
  <c r="F112" i="9"/>
  <c r="I112" i="9"/>
  <c r="B113" i="9"/>
  <c r="C113" i="9"/>
  <c r="D113" i="9"/>
  <c r="E113" i="9"/>
  <c r="F113" i="9"/>
  <c r="I113" i="9"/>
  <c r="B114" i="9"/>
  <c r="C114" i="9"/>
  <c r="D114" i="9"/>
  <c r="E114" i="9"/>
  <c r="F114" i="9"/>
  <c r="I114" i="9"/>
  <c r="B115" i="9"/>
  <c r="C115" i="9"/>
  <c r="D115" i="9"/>
  <c r="E115" i="9"/>
  <c r="F115" i="9"/>
  <c r="I115" i="9"/>
  <c r="B116" i="9"/>
  <c r="C116" i="9"/>
  <c r="D116" i="9"/>
  <c r="E116" i="9"/>
  <c r="F116" i="9"/>
  <c r="I116" i="9"/>
  <c r="B117" i="9"/>
  <c r="C117" i="9"/>
  <c r="D117" i="9"/>
  <c r="E117" i="9"/>
  <c r="F117" i="9"/>
  <c r="I117" i="9"/>
  <c r="E102" i="9"/>
  <c r="D102" i="9"/>
  <c r="C102" i="9"/>
  <c r="B102" i="9"/>
  <c r="I102" i="9"/>
  <c r="F102" i="9"/>
  <c r="D96" i="9"/>
  <c r="A96" i="9" s="1" a="1"/>
  <c r="A96" i="9" s="1"/>
  <c r="E96" i="9"/>
  <c r="D97" i="9"/>
  <c r="A97" i="9" s="1" a="1"/>
  <c r="A97" i="9" s="1"/>
  <c r="E97" i="9"/>
  <c r="D98" i="9"/>
  <c r="A98" i="9" s="1" a="1"/>
  <c r="A98" i="9" s="1"/>
  <c r="E98" i="9"/>
  <c r="D99" i="9"/>
  <c r="A99" i="9" s="1" a="1"/>
  <c r="A99" i="9" s="1"/>
  <c r="E99" i="9"/>
  <c r="D100" i="9"/>
  <c r="A100" i="9" s="1" a="1"/>
  <c r="A100" i="9" s="1"/>
  <c r="E100" i="9"/>
  <c r="D94" i="9"/>
  <c r="A94" i="9" s="1" a="1"/>
  <c r="A94" i="9" s="1"/>
  <c r="D95" i="9"/>
  <c r="A95" i="9" s="1" a="1"/>
  <c r="A95" i="9" s="1"/>
  <c r="E94" i="9"/>
  <c r="E95" i="9"/>
  <c r="O9" i="43" l="1"/>
  <c r="K18" i="43"/>
  <c r="J15" i="43"/>
  <c r="P12" i="43"/>
  <c r="I13" i="43"/>
  <c r="M12" i="43"/>
  <c r="N11" i="43"/>
  <c r="J10" i="43"/>
  <c r="O13" i="43"/>
  <c r="I8" i="43"/>
  <c r="O16" i="43"/>
  <c r="O11" i="43"/>
  <c r="O18" i="43"/>
  <c r="P13" i="43"/>
  <c r="R9" i="43"/>
  <c r="N16" i="43"/>
  <c r="Q17" i="43"/>
  <c r="Q14" i="43"/>
  <c r="M8" i="43"/>
  <c r="R15" i="43"/>
  <c r="AX13" i="30"/>
  <c r="AX9" i="30"/>
  <c r="AG6" i="17"/>
  <c r="AG6" i="31"/>
  <c r="AH6" i="17"/>
  <c r="AH6" i="31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10" i="42"/>
  <c r="P16" i="43" l="1"/>
  <c r="R13" i="43"/>
  <c r="Q11" i="43"/>
  <c r="O12" i="43"/>
  <c r="R12" i="43"/>
  <c r="N18" i="43"/>
  <c r="O8" i="43"/>
  <c r="Q18" i="43"/>
  <c r="Q16" i="43"/>
  <c r="Q13" i="43"/>
  <c r="P11" i="43"/>
  <c r="M15" i="43"/>
  <c r="Q9" i="43"/>
  <c r="S26" i="42"/>
  <c r="O15" i="43" l="1"/>
  <c r="P18" i="43"/>
  <c r="Q12" i="43"/>
  <c r="R11" i="43"/>
  <c r="Q8" i="43"/>
  <c r="R16" i="43"/>
  <c r="V48" i="42"/>
  <c r="U48" i="42"/>
  <c r="T48" i="42"/>
  <c r="W47" i="42"/>
  <c r="W46" i="42"/>
  <c r="W45" i="42"/>
  <c r="W44" i="42"/>
  <c r="W43" i="42"/>
  <c r="W42" i="42"/>
  <c r="W41" i="42"/>
  <c r="W40" i="42"/>
  <c r="W39" i="42"/>
  <c r="W38" i="42"/>
  <c r="W37" i="42"/>
  <c r="W36" i="42"/>
  <c r="W35" i="42"/>
  <c r="W34" i="42"/>
  <c r="W33" i="42"/>
  <c r="W32" i="42"/>
  <c r="W48" i="42" l="1"/>
  <c r="R18" i="43"/>
  <c r="Q15" i="43"/>
  <c r="C12" i="34"/>
  <c r="C12" i="35"/>
  <c r="AG7" i="18"/>
  <c r="AH7" i="18"/>
  <c r="AG8" i="18"/>
  <c r="AH8" i="18"/>
  <c r="AG9" i="18"/>
  <c r="AH9" i="18"/>
  <c r="AG10" i="18"/>
  <c r="AH10" i="18"/>
  <c r="AG11" i="18"/>
  <c r="AH11" i="18"/>
  <c r="AG12" i="18"/>
  <c r="AH12" i="18"/>
  <c r="AG13" i="18"/>
  <c r="AH13" i="18"/>
  <c r="AG14" i="18"/>
  <c r="AH14" i="18"/>
  <c r="AG15" i="18"/>
  <c r="AH15" i="18"/>
  <c r="AG16" i="18"/>
  <c r="AH16" i="18"/>
  <c r="AG17" i="18"/>
  <c r="AH17" i="18"/>
  <c r="AG18" i="18"/>
  <c r="AH18" i="18"/>
  <c r="AG19" i="18"/>
  <c r="AH19" i="18"/>
  <c r="AG20" i="18"/>
  <c r="AH20" i="18"/>
  <c r="AG21" i="18"/>
  <c r="AH21" i="18"/>
  <c r="AG22" i="18"/>
  <c r="AH22" i="18"/>
  <c r="AG23" i="18"/>
  <c r="AH23" i="18"/>
  <c r="AG24" i="18"/>
  <c r="AH24" i="18"/>
  <c r="AG25" i="18"/>
  <c r="AH25" i="18"/>
  <c r="AG26" i="18"/>
  <c r="AH26" i="18"/>
  <c r="AG27" i="18"/>
  <c r="AH27" i="18"/>
  <c r="AG28" i="18"/>
  <c r="AH28" i="18"/>
  <c r="AG29" i="18"/>
  <c r="AH29" i="18"/>
  <c r="AG30" i="18"/>
  <c r="AH30" i="18"/>
  <c r="AG31" i="18"/>
  <c r="AH31" i="18"/>
  <c r="AG32" i="18"/>
  <c r="AH32" i="18"/>
  <c r="AG33" i="18"/>
  <c r="AH33" i="18"/>
  <c r="AG34" i="18"/>
  <c r="AH34" i="18"/>
  <c r="AG35" i="18"/>
  <c r="AH35" i="18"/>
  <c r="AG36" i="18"/>
  <c r="AH36" i="18"/>
  <c r="AG37" i="18"/>
  <c r="AH37" i="18"/>
  <c r="AG38" i="18"/>
  <c r="AH38" i="18"/>
  <c r="AG39" i="18"/>
  <c r="AH39" i="18"/>
  <c r="AG40" i="18"/>
  <c r="AH40" i="18"/>
  <c r="AG41" i="18"/>
  <c r="AH41" i="18"/>
  <c r="AG42" i="18"/>
  <c r="AH42" i="18"/>
  <c r="AG43" i="18"/>
  <c r="AH43" i="18"/>
  <c r="AG44" i="18"/>
  <c r="AH44" i="18"/>
  <c r="AG45" i="18"/>
  <c r="AH45" i="18"/>
  <c r="AG46" i="18"/>
  <c r="AH46" i="18"/>
  <c r="AG47" i="18"/>
  <c r="AH47" i="18"/>
  <c r="AG48" i="18"/>
  <c r="AH48" i="18"/>
  <c r="AG49" i="18"/>
  <c r="AH49" i="18"/>
  <c r="AG50" i="18"/>
  <c r="AH50" i="18"/>
  <c r="AG51" i="18"/>
  <c r="AH51" i="18"/>
  <c r="AG52" i="18"/>
  <c r="AH52" i="18"/>
  <c r="AG53" i="18"/>
  <c r="AH53" i="18"/>
  <c r="AG54" i="18"/>
  <c r="AH54" i="18"/>
  <c r="AG55" i="18"/>
  <c r="AH55" i="18"/>
  <c r="AG56" i="18"/>
  <c r="AH56" i="18"/>
  <c r="AG57" i="18"/>
  <c r="AH57" i="18"/>
  <c r="AG58" i="18"/>
  <c r="AH58" i="18"/>
  <c r="AG59" i="18"/>
  <c r="AH59" i="18"/>
  <c r="AG60" i="18"/>
  <c r="AH60" i="18"/>
  <c r="AG61" i="18"/>
  <c r="AH61" i="18"/>
  <c r="AG62" i="18"/>
  <c r="AH62" i="18"/>
  <c r="AG63" i="18"/>
  <c r="AH63" i="18"/>
  <c r="AG64" i="18"/>
  <c r="AH64" i="18"/>
  <c r="AG65" i="18"/>
  <c r="AH65" i="18"/>
  <c r="AG66" i="18"/>
  <c r="AH66" i="18"/>
  <c r="AG7" i="17"/>
  <c r="AH7" i="17"/>
  <c r="AG8" i="17"/>
  <c r="AH8" i="17"/>
  <c r="AG9" i="17"/>
  <c r="AH9" i="17"/>
  <c r="AG10" i="17"/>
  <c r="AH10" i="17"/>
  <c r="AG11" i="17"/>
  <c r="AH11" i="17"/>
  <c r="AG12" i="17"/>
  <c r="AH12" i="17"/>
  <c r="AG13" i="17"/>
  <c r="AH13" i="17"/>
  <c r="AG14" i="17"/>
  <c r="AH14" i="17"/>
  <c r="AG15" i="17"/>
  <c r="AH15" i="17"/>
  <c r="AG16" i="17"/>
  <c r="AH16" i="17"/>
  <c r="AG17" i="17"/>
  <c r="AH17" i="17"/>
  <c r="AG18" i="17"/>
  <c r="AH18" i="17"/>
  <c r="AG19" i="17"/>
  <c r="AH19" i="17"/>
  <c r="AG20" i="17"/>
  <c r="AH20" i="17"/>
  <c r="AG21" i="17"/>
  <c r="AH21" i="17"/>
  <c r="AG22" i="17"/>
  <c r="AH22" i="17"/>
  <c r="AG23" i="17"/>
  <c r="AH23" i="17"/>
  <c r="AG24" i="17"/>
  <c r="AH24" i="17"/>
  <c r="AG25" i="17"/>
  <c r="AH25" i="17"/>
  <c r="AG26" i="17"/>
  <c r="AH26" i="17"/>
  <c r="AG27" i="17"/>
  <c r="AH27" i="17"/>
  <c r="AG28" i="17"/>
  <c r="AH28" i="17"/>
  <c r="AG29" i="17"/>
  <c r="AH29" i="17"/>
  <c r="AG30" i="17"/>
  <c r="AH30" i="17"/>
  <c r="AG31" i="17"/>
  <c r="AH31" i="17"/>
  <c r="AG32" i="17"/>
  <c r="AH32" i="17"/>
  <c r="AG33" i="17"/>
  <c r="AH33" i="17"/>
  <c r="AG34" i="17"/>
  <c r="AH34" i="17"/>
  <c r="AG35" i="17"/>
  <c r="AH35" i="17"/>
  <c r="AG36" i="17"/>
  <c r="AH36" i="17"/>
  <c r="AG37" i="17"/>
  <c r="AH37" i="17"/>
  <c r="AG38" i="17"/>
  <c r="AH38" i="17"/>
  <c r="AG39" i="17"/>
  <c r="AH39" i="17"/>
  <c r="AG40" i="17"/>
  <c r="AH40" i="17"/>
  <c r="AG41" i="17"/>
  <c r="AH41" i="17"/>
  <c r="AG42" i="17"/>
  <c r="AH42" i="17"/>
  <c r="AG43" i="17"/>
  <c r="AH43" i="17"/>
  <c r="AG44" i="17"/>
  <c r="AH44" i="17"/>
  <c r="AG45" i="17"/>
  <c r="AH45" i="17"/>
  <c r="AG46" i="17"/>
  <c r="AH46" i="17"/>
  <c r="AG47" i="17"/>
  <c r="AH47" i="17"/>
  <c r="AG48" i="17"/>
  <c r="AH48" i="17"/>
  <c r="AG49" i="17"/>
  <c r="AH49" i="17"/>
  <c r="AG50" i="17"/>
  <c r="AH50" i="17"/>
  <c r="AG51" i="17"/>
  <c r="AH51" i="17"/>
  <c r="AG52" i="17"/>
  <c r="AH52" i="17"/>
  <c r="AG53" i="17"/>
  <c r="AH53" i="17"/>
  <c r="AG54" i="17"/>
  <c r="AH54" i="17"/>
  <c r="AG55" i="17"/>
  <c r="AH55" i="17"/>
  <c r="AG56" i="17"/>
  <c r="AH56" i="17"/>
  <c r="AG57" i="17"/>
  <c r="AH57" i="17"/>
  <c r="AG58" i="17"/>
  <c r="AH58" i="17"/>
  <c r="AG59" i="17"/>
  <c r="AH59" i="17"/>
  <c r="AG60" i="17"/>
  <c r="AH60" i="17"/>
  <c r="AG61" i="17"/>
  <c r="AH61" i="17"/>
  <c r="AG62" i="17"/>
  <c r="AH62" i="17"/>
  <c r="AG63" i="17"/>
  <c r="AH63" i="17"/>
  <c r="AG64" i="17"/>
  <c r="AH64" i="17"/>
  <c r="AG65" i="17"/>
  <c r="AH65" i="17"/>
  <c r="AG66" i="17"/>
  <c r="AH66" i="17"/>
  <c r="AG7" i="14"/>
  <c r="AW7" i="14" s="1"/>
  <c r="AH7" i="14"/>
  <c r="AX7" i="14" s="1"/>
  <c r="AG8" i="14"/>
  <c r="AW8" i="14" s="1"/>
  <c r="AH8" i="14"/>
  <c r="AX8" i="14" s="1"/>
  <c r="AG9" i="14"/>
  <c r="AW9" i="14" s="1"/>
  <c r="AH9" i="14"/>
  <c r="AX9" i="14" s="1"/>
  <c r="AG10" i="14"/>
  <c r="AW10" i="14" s="1"/>
  <c r="AH10" i="14"/>
  <c r="AX10" i="14" s="1"/>
  <c r="AG11" i="14"/>
  <c r="AW11" i="14" s="1"/>
  <c r="AH11" i="14"/>
  <c r="AX11" i="14" s="1"/>
  <c r="AG12" i="14"/>
  <c r="AW12" i="14" s="1"/>
  <c r="AH12" i="14"/>
  <c r="AX12" i="14" s="1"/>
  <c r="AG13" i="14"/>
  <c r="AW13" i="14" s="1"/>
  <c r="AH13" i="14"/>
  <c r="AX13" i="14" s="1"/>
  <c r="AG14" i="14"/>
  <c r="AW14" i="14" s="1"/>
  <c r="AH14" i="14"/>
  <c r="AX14" i="14" s="1"/>
  <c r="AG15" i="14"/>
  <c r="AW15" i="14" s="1"/>
  <c r="AH15" i="14"/>
  <c r="AX15" i="14" s="1"/>
  <c r="AG16" i="14"/>
  <c r="AW16" i="14" s="1"/>
  <c r="AH16" i="14"/>
  <c r="AX16" i="14" s="1"/>
  <c r="AG17" i="14"/>
  <c r="AW17" i="14" s="1"/>
  <c r="AH17" i="14"/>
  <c r="AX17" i="14" s="1"/>
  <c r="AG18" i="14"/>
  <c r="AW18" i="14" s="1"/>
  <c r="AH18" i="14"/>
  <c r="AX18" i="14" s="1"/>
  <c r="AG19" i="14"/>
  <c r="AW19" i="14" s="1"/>
  <c r="AH19" i="14"/>
  <c r="AX19" i="14" s="1"/>
  <c r="AG20" i="14"/>
  <c r="AW20" i="14" s="1"/>
  <c r="AH20" i="14"/>
  <c r="AX20" i="14" s="1"/>
  <c r="AG21" i="14"/>
  <c r="AW21" i="14" s="1"/>
  <c r="AH21" i="14"/>
  <c r="AX21" i="14" s="1"/>
  <c r="AG22" i="14"/>
  <c r="AW22" i="14" s="1"/>
  <c r="AH22" i="14"/>
  <c r="AX22" i="14" s="1"/>
  <c r="AG23" i="14"/>
  <c r="AW23" i="14" s="1"/>
  <c r="AH23" i="14"/>
  <c r="AX23" i="14" s="1"/>
  <c r="AG24" i="14"/>
  <c r="AW24" i="14" s="1"/>
  <c r="AH24" i="14"/>
  <c r="AX24" i="14" s="1"/>
  <c r="AG25" i="14"/>
  <c r="AW25" i="14" s="1"/>
  <c r="AH25" i="14"/>
  <c r="AX25" i="14" s="1"/>
  <c r="AG26" i="14"/>
  <c r="AW26" i="14" s="1"/>
  <c r="AH26" i="14"/>
  <c r="AX26" i="14" s="1"/>
  <c r="AG27" i="14"/>
  <c r="AW27" i="14" s="1"/>
  <c r="AH27" i="14"/>
  <c r="AX27" i="14" s="1"/>
  <c r="AG28" i="14"/>
  <c r="AW28" i="14" s="1"/>
  <c r="AH28" i="14"/>
  <c r="AX28" i="14" s="1"/>
  <c r="AG29" i="14"/>
  <c r="AH29" i="14"/>
  <c r="AG30" i="14"/>
  <c r="AH30" i="14"/>
  <c r="AG31" i="14"/>
  <c r="AH31" i="14"/>
  <c r="AG32" i="14"/>
  <c r="AH32" i="14"/>
  <c r="AG33" i="14"/>
  <c r="AH33" i="14"/>
  <c r="AG34" i="14"/>
  <c r="AH34" i="14"/>
  <c r="AG35" i="14"/>
  <c r="AH35" i="14"/>
  <c r="AG36" i="14"/>
  <c r="AH36" i="14"/>
  <c r="AG37" i="14"/>
  <c r="AH37" i="14"/>
  <c r="AG38" i="14"/>
  <c r="AH38" i="14"/>
  <c r="AG39" i="14"/>
  <c r="AH39" i="14"/>
  <c r="AG40" i="14"/>
  <c r="AH40" i="14"/>
  <c r="AG41" i="14"/>
  <c r="AH41" i="14"/>
  <c r="AG42" i="14"/>
  <c r="AH42" i="14"/>
  <c r="AG43" i="14"/>
  <c r="AH43" i="14"/>
  <c r="AG44" i="14"/>
  <c r="AH44" i="14"/>
  <c r="AG45" i="14"/>
  <c r="AH45" i="14"/>
  <c r="AG46" i="14"/>
  <c r="AH46" i="14"/>
  <c r="AG47" i="14"/>
  <c r="AH47" i="14"/>
  <c r="AG48" i="14"/>
  <c r="AH48" i="14"/>
  <c r="AG49" i="14"/>
  <c r="AH49" i="14"/>
  <c r="AG50" i="14"/>
  <c r="AH50" i="14"/>
  <c r="AG51" i="14"/>
  <c r="AH51" i="14"/>
  <c r="AG52" i="14"/>
  <c r="AH52" i="14"/>
  <c r="AG53" i="14"/>
  <c r="AH53" i="14"/>
  <c r="AG54" i="14"/>
  <c r="AH54" i="14"/>
  <c r="AG55" i="14"/>
  <c r="AH55" i="14"/>
  <c r="AG56" i="14"/>
  <c r="AH56" i="14"/>
  <c r="AG57" i="14"/>
  <c r="AH57" i="14"/>
  <c r="AG58" i="14"/>
  <c r="AH58" i="14"/>
  <c r="AG59" i="14"/>
  <c r="AH59" i="14"/>
  <c r="AG60" i="14"/>
  <c r="AH60" i="14"/>
  <c r="AG61" i="14"/>
  <c r="AH61" i="14"/>
  <c r="AG62" i="14"/>
  <c r="AH62" i="14"/>
  <c r="AG63" i="14"/>
  <c r="AH63" i="14"/>
  <c r="AG64" i="14"/>
  <c r="AH64" i="14"/>
  <c r="AG65" i="14"/>
  <c r="AH65" i="14"/>
  <c r="AG66" i="14"/>
  <c r="AH66" i="14"/>
  <c r="AG7" i="15"/>
  <c r="AG8" i="15"/>
  <c r="AG9" i="15"/>
  <c r="AG10" i="15"/>
  <c r="AG11" i="15"/>
  <c r="AG12" i="15"/>
  <c r="AG13" i="15"/>
  <c r="AG14" i="15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G38" i="15"/>
  <c r="AG39" i="15"/>
  <c r="AG40" i="15"/>
  <c r="AG41" i="15"/>
  <c r="AG42" i="15"/>
  <c r="AG43" i="15"/>
  <c r="AG44" i="15"/>
  <c r="AG45" i="15"/>
  <c r="AG46" i="15"/>
  <c r="AG47" i="15"/>
  <c r="AG48" i="15"/>
  <c r="AG49" i="15"/>
  <c r="AG50" i="15"/>
  <c r="AG51" i="15"/>
  <c r="AG52" i="15"/>
  <c r="AG53" i="15"/>
  <c r="AG54" i="15"/>
  <c r="AG55" i="15"/>
  <c r="AG56" i="15"/>
  <c r="AG57" i="15"/>
  <c r="AG58" i="15"/>
  <c r="AG59" i="15"/>
  <c r="AG60" i="15"/>
  <c r="AG61" i="15"/>
  <c r="AG62" i="15"/>
  <c r="AG63" i="15"/>
  <c r="AG64" i="15"/>
  <c r="AG65" i="15"/>
  <c r="AG66" i="15"/>
  <c r="AG67" i="13"/>
  <c r="AX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H67" i="5"/>
  <c r="C10" i="2" l="1"/>
  <c r="AG67" i="15"/>
  <c r="AH67" i="14"/>
  <c r="AG67" i="14"/>
  <c r="AH67" i="17"/>
  <c r="AH67" i="18"/>
  <c r="AG67" i="17"/>
  <c r="AG67" i="18"/>
  <c r="AZ5" i="31"/>
  <c r="AJ5" i="31"/>
  <c r="T5" i="31"/>
  <c r="B7" i="41"/>
  <c r="B8" i="41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AK8" i="13" l="1"/>
  <c r="AL8" i="13"/>
  <c r="AM8" i="13"/>
  <c r="AN8" i="13"/>
  <c r="AO8" i="13"/>
  <c r="AP8" i="13"/>
  <c r="AQ8" i="13"/>
  <c r="AS8" i="13"/>
  <c r="AK9" i="13"/>
  <c r="AL9" i="13"/>
  <c r="AM9" i="13"/>
  <c r="AN9" i="13"/>
  <c r="AO9" i="13"/>
  <c r="AP9" i="13"/>
  <c r="AQ9" i="13"/>
  <c r="AS9" i="13"/>
  <c r="AK10" i="13"/>
  <c r="AL10" i="13"/>
  <c r="AM10" i="13"/>
  <c r="AN10" i="13"/>
  <c r="AO10" i="13"/>
  <c r="AP10" i="13"/>
  <c r="AQ10" i="13"/>
  <c r="AS10" i="13"/>
  <c r="AK11" i="13"/>
  <c r="AL11" i="13"/>
  <c r="AM11" i="13"/>
  <c r="AN11" i="13"/>
  <c r="AO11" i="13"/>
  <c r="AP11" i="13"/>
  <c r="AQ11" i="13"/>
  <c r="AS11" i="13"/>
  <c r="AK12" i="13"/>
  <c r="AL12" i="13"/>
  <c r="AM12" i="13"/>
  <c r="AN12" i="13"/>
  <c r="AO12" i="13"/>
  <c r="AP12" i="13"/>
  <c r="AQ12" i="13"/>
  <c r="AS12" i="13"/>
  <c r="AK13" i="13"/>
  <c r="AL13" i="13"/>
  <c r="AM13" i="13"/>
  <c r="AN13" i="13"/>
  <c r="AO13" i="13"/>
  <c r="AP13" i="13"/>
  <c r="AQ13" i="13"/>
  <c r="AS13" i="13"/>
  <c r="AK14" i="13"/>
  <c r="AL14" i="13"/>
  <c r="AM14" i="13"/>
  <c r="AN14" i="13"/>
  <c r="AO14" i="13"/>
  <c r="AP14" i="13"/>
  <c r="AQ14" i="13"/>
  <c r="AS14" i="13"/>
  <c r="AK15" i="13"/>
  <c r="AL15" i="13"/>
  <c r="AM15" i="13"/>
  <c r="AN15" i="13"/>
  <c r="AO15" i="13"/>
  <c r="AP15" i="13"/>
  <c r="AQ15" i="13"/>
  <c r="AS15" i="13"/>
  <c r="AK16" i="13"/>
  <c r="AL16" i="13"/>
  <c r="AM16" i="13"/>
  <c r="AN16" i="13"/>
  <c r="AO16" i="13"/>
  <c r="AP16" i="13"/>
  <c r="AQ16" i="13"/>
  <c r="AS16" i="13"/>
  <c r="AK17" i="13"/>
  <c r="AL17" i="13"/>
  <c r="AM17" i="13"/>
  <c r="AN17" i="13"/>
  <c r="AO17" i="13"/>
  <c r="AP17" i="13"/>
  <c r="AQ17" i="13"/>
  <c r="AS17" i="13"/>
  <c r="AK18" i="13"/>
  <c r="AL18" i="13"/>
  <c r="AM18" i="13"/>
  <c r="AN18" i="13"/>
  <c r="AO18" i="13"/>
  <c r="AP18" i="13"/>
  <c r="AQ18" i="13"/>
  <c r="AS18" i="13"/>
  <c r="AK19" i="13"/>
  <c r="AL19" i="13"/>
  <c r="AM19" i="13"/>
  <c r="AN19" i="13"/>
  <c r="AO19" i="13"/>
  <c r="AP19" i="13"/>
  <c r="AQ19" i="13"/>
  <c r="AS19" i="13"/>
  <c r="AK20" i="13"/>
  <c r="AL20" i="13"/>
  <c r="AM20" i="13"/>
  <c r="AN20" i="13"/>
  <c r="AO20" i="13"/>
  <c r="AP20" i="13"/>
  <c r="AQ20" i="13"/>
  <c r="AS20" i="13"/>
  <c r="AK21" i="13"/>
  <c r="AL21" i="13"/>
  <c r="AM21" i="13"/>
  <c r="AN21" i="13"/>
  <c r="AO21" i="13"/>
  <c r="AP21" i="13"/>
  <c r="AQ21" i="13"/>
  <c r="AS21" i="13"/>
  <c r="AK22" i="13"/>
  <c r="AL22" i="13"/>
  <c r="AM22" i="13"/>
  <c r="AN22" i="13"/>
  <c r="AO22" i="13"/>
  <c r="AP22" i="13"/>
  <c r="AQ22" i="13"/>
  <c r="AS22" i="13"/>
  <c r="AK23" i="13"/>
  <c r="AL23" i="13"/>
  <c r="AM23" i="13"/>
  <c r="AN23" i="13"/>
  <c r="AO23" i="13"/>
  <c r="AP23" i="13"/>
  <c r="AQ23" i="13"/>
  <c r="AS23" i="13"/>
  <c r="AK24" i="13"/>
  <c r="AL24" i="13"/>
  <c r="AM24" i="13"/>
  <c r="AN24" i="13"/>
  <c r="AO24" i="13"/>
  <c r="AP24" i="13"/>
  <c r="AQ24" i="13"/>
  <c r="AS24" i="13"/>
  <c r="AK25" i="13"/>
  <c r="AL25" i="13"/>
  <c r="AM25" i="13"/>
  <c r="AN25" i="13"/>
  <c r="AO25" i="13"/>
  <c r="AP25" i="13"/>
  <c r="AQ25" i="13"/>
  <c r="AS25" i="13"/>
  <c r="AK26" i="13"/>
  <c r="AL26" i="13"/>
  <c r="AM26" i="13"/>
  <c r="AN26" i="13"/>
  <c r="AO26" i="13"/>
  <c r="AP26" i="13"/>
  <c r="AQ26" i="13"/>
  <c r="AS26" i="13"/>
  <c r="AK27" i="13"/>
  <c r="AL27" i="13"/>
  <c r="AM27" i="13"/>
  <c r="AN27" i="13"/>
  <c r="AO27" i="13"/>
  <c r="AP27" i="13"/>
  <c r="AQ27" i="13"/>
  <c r="AS27" i="13"/>
  <c r="AK28" i="13"/>
  <c r="AL28" i="13"/>
  <c r="AM28" i="13"/>
  <c r="AN28" i="13"/>
  <c r="AO28" i="13"/>
  <c r="AP28" i="13"/>
  <c r="AQ28" i="13"/>
  <c r="AS28" i="13"/>
  <c r="AK29" i="13"/>
  <c r="AL29" i="13"/>
  <c r="AM29" i="13"/>
  <c r="AN29" i="13"/>
  <c r="AO29" i="13"/>
  <c r="AP29" i="13"/>
  <c r="AQ29" i="13"/>
  <c r="AS29" i="13"/>
  <c r="AK30" i="13"/>
  <c r="AL30" i="13"/>
  <c r="AM30" i="13"/>
  <c r="AN30" i="13"/>
  <c r="AO30" i="13"/>
  <c r="AP30" i="13"/>
  <c r="AQ30" i="13"/>
  <c r="AS30" i="13"/>
  <c r="AK31" i="13"/>
  <c r="AL31" i="13"/>
  <c r="AM31" i="13"/>
  <c r="AN31" i="13"/>
  <c r="AO31" i="13"/>
  <c r="AP31" i="13"/>
  <c r="AQ31" i="13"/>
  <c r="AS31" i="13"/>
  <c r="AK32" i="13"/>
  <c r="AL32" i="13"/>
  <c r="AM32" i="13"/>
  <c r="AN32" i="13"/>
  <c r="AO32" i="13"/>
  <c r="AP32" i="13"/>
  <c r="AQ32" i="13"/>
  <c r="AS32" i="13"/>
  <c r="AK33" i="13"/>
  <c r="AL33" i="13"/>
  <c r="AM33" i="13"/>
  <c r="AN33" i="13"/>
  <c r="AO33" i="13"/>
  <c r="AP33" i="13"/>
  <c r="AQ33" i="13"/>
  <c r="AS33" i="13"/>
  <c r="AK34" i="13"/>
  <c r="AL34" i="13"/>
  <c r="AM34" i="13"/>
  <c r="AN34" i="13"/>
  <c r="AO34" i="13"/>
  <c r="AP34" i="13"/>
  <c r="AQ34" i="13"/>
  <c r="AS34" i="13"/>
  <c r="AK35" i="13"/>
  <c r="AL35" i="13"/>
  <c r="AM35" i="13"/>
  <c r="AN35" i="13"/>
  <c r="AO35" i="13"/>
  <c r="AP35" i="13"/>
  <c r="AQ35" i="13"/>
  <c r="AS35" i="13"/>
  <c r="AK36" i="13"/>
  <c r="AL36" i="13"/>
  <c r="AM36" i="13"/>
  <c r="AN36" i="13"/>
  <c r="AO36" i="13"/>
  <c r="AP36" i="13"/>
  <c r="AQ36" i="13"/>
  <c r="AS36" i="13"/>
  <c r="AK37" i="13"/>
  <c r="AL37" i="13"/>
  <c r="AM37" i="13"/>
  <c r="AN37" i="13"/>
  <c r="AO37" i="13"/>
  <c r="AP37" i="13"/>
  <c r="AQ37" i="13"/>
  <c r="AS37" i="13"/>
  <c r="AK38" i="13"/>
  <c r="AL38" i="13"/>
  <c r="AM38" i="13"/>
  <c r="AN38" i="13"/>
  <c r="AO38" i="13"/>
  <c r="AP38" i="13"/>
  <c r="AQ38" i="13"/>
  <c r="AS38" i="13"/>
  <c r="AK39" i="13"/>
  <c r="AL39" i="13"/>
  <c r="AM39" i="13"/>
  <c r="AN39" i="13"/>
  <c r="AO39" i="13"/>
  <c r="AP39" i="13"/>
  <c r="AQ39" i="13"/>
  <c r="AS39" i="13"/>
  <c r="AK40" i="13"/>
  <c r="AL40" i="13"/>
  <c r="AM40" i="13"/>
  <c r="AN40" i="13"/>
  <c r="AO40" i="13"/>
  <c r="AP40" i="13"/>
  <c r="AQ40" i="13"/>
  <c r="AS40" i="13"/>
  <c r="AK41" i="13"/>
  <c r="AL41" i="13"/>
  <c r="AM41" i="13"/>
  <c r="AN41" i="13"/>
  <c r="AO41" i="13"/>
  <c r="AP41" i="13"/>
  <c r="AQ41" i="13"/>
  <c r="AS41" i="13"/>
  <c r="AK42" i="13"/>
  <c r="AL42" i="13"/>
  <c r="AM42" i="13"/>
  <c r="AN42" i="13"/>
  <c r="AO42" i="13"/>
  <c r="AP42" i="13"/>
  <c r="AQ42" i="13"/>
  <c r="AS42" i="13"/>
  <c r="AK43" i="13"/>
  <c r="AL43" i="13"/>
  <c r="AM43" i="13"/>
  <c r="AN43" i="13"/>
  <c r="AO43" i="13"/>
  <c r="AP43" i="13"/>
  <c r="AQ43" i="13"/>
  <c r="AS43" i="13"/>
  <c r="AK44" i="13"/>
  <c r="AL44" i="13"/>
  <c r="AM44" i="13"/>
  <c r="AN44" i="13"/>
  <c r="AO44" i="13"/>
  <c r="AP44" i="13"/>
  <c r="AQ44" i="13"/>
  <c r="AS44" i="13"/>
  <c r="AK45" i="13"/>
  <c r="AL45" i="13"/>
  <c r="AM45" i="13"/>
  <c r="AN45" i="13"/>
  <c r="AO45" i="13"/>
  <c r="AP45" i="13"/>
  <c r="AQ45" i="13"/>
  <c r="AS45" i="13"/>
  <c r="AK46" i="13"/>
  <c r="AL46" i="13"/>
  <c r="AM46" i="13"/>
  <c r="AN46" i="13"/>
  <c r="AO46" i="13"/>
  <c r="AP46" i="13"/>
  <c r="AQ46" i="13"/>
  <c r="AS46" i="13"/>
  <c r="AK47" i="13"/>
  <c r="AL47" i="13"/>
  <c r="AM47" i="13"/>
  <c r="AN47" i="13"/>
  <c r="AO47" i="13"/>
  <c r="AP47" i="13"/>
  <c r="AQ47" i="13"/>
  <c r="AS47" i="13"/>
  <c r="AK48" i="13"/>
  <c r="AL48" i="13"/>
  <c r="AM48" i="13"/>
  <c r="AN48" i="13"/>
  <c r="AO48" i="13"/>
  <c r="AP48" i="13"/>
  <c r="AQ48" i="13"/>
  <c r="AS48" i="13"/>
  <c r="AK49" i="13"/>
  <c r="AL49" i="13"/>
  <c r="AM49" i="13"/>
  <c r="AN49" i="13"/>
  <c r="AO49" i="13"/>
  <c r="AP49" i="13"/>
  <c r="AQ49" i="13"/>
  <c r="AS49" i="13"/>
  <c r="AK50" i="13"/>
  <c r="AL50" i="13"/>
  <c r="AM50" i="13"/>
  <c r="AN50" i="13"/>
  <c r="AO50" i="13"/>
  <c r="AP50" i="13"/>
  <c r="AQ50" i="13"/>
  <c r="AS50" i="13"/>
  <c r="AK51" i="13"/>
  <c r="AL51" i="13"/>
  <c r="AM51" i="13"/>
  <c r="AN51" i="13"/>
  <c r="AO51" i="13"/>
  <c r="AP51" i="13"/>
  <c r="AQ51" i="13"/>
  <c r="AS51" i="13"/>
  <c r="AK52" i="13"/>
  <c r="AL52" i="13"/>
  <c r="AM52" i="13"/>
  <c r="AN52" i="13"/>
  <c r="AO52" i="13"/>
  <c r="AP52" i="13"/>
  <c r="AQ52" i="13"/>
  <c r="AS52" i="13"/>
  <c r="AK53" i="13"/>
  <c r="AL53" i="13"/>
  <c r="AM53" i="13"/>
  <c r="AN53" i="13"/>
  <c r="AO53" i="13"/>
  <c r="AP53" i="13"/>
  <c r="AQ53" i="13"/>
  <c r="AS53" i="13"/>
  <c r="AK54" i="13"/>
  <c r="AL54" i="13"/>
  <c r="AM54" i="13"/>
  <c r="AN54" i="13"/>
  <c r="AO54" i="13"/>
  <c r="AP54" i="13"/>
  <c r="AQ54" i="13"/>
  <c r="AS54" i="13"/>
  <c r="AK55" i="13"/>
  <c r="AL55" i="13"/>
  <c r="AM55" i="13"/>
  <c r="AN55" i="13"/>
  <c r="AO55" i="13"/>
  <c r="AP55" i="13"/>
  <c r="AQ55" i="13"/>
  <c r="AS55" i="13"/>
  <c r="AK56" i="13"/>
  <c r="AL56" i="13"/>
  <c r="AM56" i="13"/>
  <c r="AN56" i="13"/>
  <c r="AO56" i="13"/>
  <c r="AP56" i="13"/>
  <c r="AQ56" i="13"/>
  <c r="AS56" i="13"/>
  <c r="AK57" i="13"/>
  <c r="AL57" i="13"/>
  <c r="AM57" i="13"/>
  <c r="AN57" i="13"/>
  <c r="AO57" i="13"/>
  <c r="AP57" i="13"/>
  <c r="AQ57" i="13"/>
  <c r="AS57" i="13"/>
  <c r="AK58" i="13"/>
  <c r="AL58" i="13"/>
  <c r="AM58" i="13"/>
  <c r="AN58" i="13"/>
  <c r="AO58" i="13"/>
  <c r="AP58" i="13"/>
  <c r="AQ58" i="13"/>
  <c r="AS58" i="13"/>
  <c r="AK59" i="13"/>
  <c r="AL59" i="13"/>
  <c r="AM59" i="13"/>
  <c r="AN59" i="13"/>
  <c r="AO59" i="13"/>
  <c r="AP59" i="13"/>
  <c r="AQ59" i="13"/>
  <c r="AS59" i="13"/>
  <c r="AK60" i="13"/>
  <c r="AL60" i="13"/>
  <c r="AM60" i="13"/>
  <c r="AN60" i="13"/>
  <c r="AO60" i="13"/>
  <c r="AP60" i="13"/>
  <c r="AQ60" i="13"/>
  <c r="AS60" i="13"/>
  <c r="AK61" i="13"/>
  <c r="AL61" i="13"/>
  <c r="AM61" i="13"/>
  <c r="AN61" i="13"/>
  <c r="AO61" i="13"/>
  <c r="AP61" i="13"/>
  <c r="AQ61" i="13"/>
  <c r="AS61" i="13"/>
  <c r="AK62" i="13"/>
  <c r="AL62" i="13"/>
  <c r="AM62" i="13"/>
  <c r="AN62" i="13"/>
  <c r="AO62" i="13"/>
  <c r="AP62" i="13"/>
  <c r="AQ62" i="13"/>
  <c r="AS62" i="13"/>
  <c r="AK63" i="13"/>
  <c r="AL63" i="13"/>
  <c r="AM63" i="13"/>
  <c r="AN63" i="13"/>
  <c r="AO63" i="13"/>
  <c r="AP63" i="13"/>
  <c r="AQ63" i="13"/>
  <c r="AS63" i="13"/>
  <c r="AK64" i="13"/>
  <c r="AL64" i="13"/>
  <c r="AM64" i="13"/>
  <c r="AN64" i="13"/>
  <c r="AO64" i="13"/>
  <c r="AP64" i="13"/>
  <c r="AQ64" i="13"/>
  <c r="AS64" i="13"/>
  <c r="AK65" i="13"/>
  <c r="AL65" i="13"/>
  <c r="AM65" i="13"/>
  <c r="AN65" i="13"/>
  <c r="AO65" i="13"/>
  <c r="AP65" i="13"/>
  <c r="AQ65" i="13"/>
  <c r="AS65" i="13"/>
  <c r="AK66" i="13"/>
  <c r="AL66" i="13"/>
  <c r="AM66" i="13"/>
  <c r="AN66" i="13"/>
  <c r="AO66" i="13"/>
  <c r="AP66" i="13"/>
  <c r="AQ66" i="13"/>
  <c r="AS66" i="13"/>
  <c r="AL7" i="13"/>
  <c r="AM7" i="13"/>
  <c r="AN7" i="13"/>
  <c r="AO7" i="13"/>
  <c r="AP7" i="13"/>
  <c r="AQ7" i="13"/>
  <c r="AS7" i="13"/>
  <c r="AK7" i="13"/>
  <c r="BB7" i="5"/>
  <c r="BC7" i="5"/>
  <c r="BD7" i="5"/>
  <c r="BE7" i="5"/>
  <c r="BF7" i="5"/>
  <c r="BG7" i="5"/>
  <c r="BH7" i="5"/>
  <c r="BJ7" i="5"/>
  <c r="BB8" i="5"/>
  <c r="BC8" i="5"/>
  <c r="BD8" i="5"/>
  <c r="BE8" i="5"/>
  <c r="BF8" i="5"/>
  <c r="BG8" i="5"/>
  <c r="BH8" i="5"/>
  <c r="BJ8" i="5"/>
  <c r="BB9" i="5"/>
  <c r="BC9" i="5"/>
  <c r="BD9" i="5"/>
  <c r="BE9" i="5"/>
  <c r="BF9" i="5"/>
  <c r="BG9" i="5"/>
  <c r="BH9" i="5"/>
  <c r="BJ9" i="5"/>
  <c r="BB10" i="5"/>
  <c r="BC10" i="5"/>
  <c r="BD10" i="5"/>
  <c r="BE10" i="5"/>
  <c r="BF10" i="5"/>
  <c r="BG10" i="5"/>
  <c r="BH10" i="5"/>
  <c r="BJ10" i="5"/>
  <c r="BB11" i="5"/>
  <c r="BC11" i="5"/>
  <c r="BD11" i="5"/>
  <c r="BE11" i="5"/>
  <c r="BF11" i="5"/>
  <c r="BG11" i="5"/>
  <c r="BH11" i="5"/>
  <c r="BJ11" i="5"/>
  <c r="BB12" i="5"/>
  <c r="BC12" i="5"/>
  <c r="BD12" i="5"/>
  <c r="BE12" i="5"/>
  <c r="BF12" i="5"/>
  <c r="BG12" i="5"/>
  <c r="BH12" i="5"/>
  <c r="BJ12" i="5"/>
  <c r="BB13" i="5"/>
  <c r="BC13" i="5"/>
  <c r="BD13" i="5"/>
  <c r="BE13" i="5"/>
  <c r="BF13" i="5"/>
  <c r="BG13" i="5"/>
  <c r="BH13" i="5"/>
  <c r="BJ13" i="5"/>
  <c r="BB14" i="5"/>
  <c r="BC14" i="5"/>
  <c r="BD14" i="5"/>
  <c r="BE14" i="5"/>
  <c r="BF14" i="5"/>
  <c r="BG14" i="5"/>
  <c r="BH14" i="5"/>
  <c r="BJ14" i="5"/>
  <c r="BB15" i="5"/>
  <c r="BC15" i="5"/>
  <c r="BD15" i="5"/>
  <c r="BE15" i="5"/>
  <c r="BF15" i="5"/>
  <c r="BG15" i="5"/>
  <c r="BH15" i="5"/>
  <c r="BJ15" i="5"/>
  <c r="BB16" i="5"/>
  <c r="BC16" i="5"/>
  <c r="BD16" i="5"/>
  <c r="BE16" i="5"/>
  <c r="BF16" i="5"/>
  <c r="BG16" i="5"/>
  <c r="BH16" i="5"/>
  <c r="BJ16" i="5"/>
  <c r="BB17" i="5"/>
  <c r="BC17" i="5"/>
  <c r="BD17" i="5"/>
  <c r="BE17" i="5"/>
  <c r="BF17" i="5"/>
  <c r="BG17" i="5"/>
  <c r="BH17" i="5"/>
  <c r="BJ17" i="5"/>
  <c r="BT56" i="5" l="1"/>
  <c r="BU56" i="5"/>
  <c r="BV56" i="5"/>
  <c r="BW56" i="5"/>
  <c r="BX56" i="5"/>
  <c r="BY56" i="5"/>
  <c r="BZ56" i="5"/>
  <c r="CB56" i="5"/>
  <c r="BT57" i="5"/>
  <c r="BU57" i="5"/>
  <c r="BV57" i="5"/>
  <c r="BW57" i="5"/>
  <c r="BX57" i="5"/>
  <c r="BY57" i="5"/>
  <c r="BZ57" i="5"/>
  <c r="CB57" i="5"/>
  <c r="BT58" i="5"/>
  <c r="BU58" i="5"/>
  <c r="BV58" i="5"/>
  <c r="BW58" i="5"/>
  <c r="BX58" i="5"/>
  <c r="BY58" i="5"/>
  <c r="BZ58" i="5"/>
  <c r="CB58" i="5"/>
  <c r="BT59" i="5"/>
  <c r="BU59" i="5"/>
  <c r="BV59" i="5"/>
  <c r="BW59" i="5"/>
  <c r="BX59" i="5"/>
  <c r="BY59" i="5"/>
  <c r="BZ59" i="5"/>
  <c r="CB59" i="5"/>
  <c r="BT60" i="5"/>
  <c r="BU60" i="5"/>
  <c r="BV60" i="5"/>
  <c r="BW60" i="5"/>
  <c r="BX60" i="5"/>
  <c r="BY60" i="5"/>
  <c r="BZ60" i="5"/>
  <c r="CB60" i="5"/>
  <c r="BT61" i="5"/>
  <c r="BU61" i="5"/>
  <c r="BV61" i="5"/>
  <c r="BW61" i="5"/>
  <c r="BX61" i="5"/>
  <c r="BY61" i="5"/>
  <c r="BZ61" i="5"/>
  <c r="CB61" i="5"/>
  <c r="BT62" i="5"/>
  <c r="BU62" i="5"/>
  <c r="BV62" i="5"/>
  <c r="BW62" i="5"/>
  <c r="BX62" i="5"/>
  <c r="BY62" i="5"/>
  <c r="BZ62" i="5"/>
  <c r="CB62" i="5"/>
  <c r="BT63" i="5"/>
  <c r="BU63" i="5"/>
  <c r="BV63" i="5"/>
  <c r="BW63" i="5"/>
  <c r="BX63" i="5"/>
  <c r="BY63" i="5"/>
  <c r="BZ63" i="5"/>
  <c r="CB63" i="5"/>
  <c r="BT64" i="5"/>
  <c r="BU64" i="5"/>
  <c r="BV64" i="5"/>
  <c r="BW64" i="5"/>
  <c r="BX64" i="5"/>
  <c r="BY64" i="5"/>
  <c r="BZ64" i="5"/>
  <c r="CB64" i="5"/>
  <c r="BT65" i="5"/>
  <c r="BU65" i="5"/>
  <c r="BV65" i="5"/>
  <c r="BW65" i="5"/>
  <c r="BX65" i="5"/>
  <c r="BY65" i="5"/>
  <c r="BZ65" i="5"/>
  <c r="CB65" i="5"/>
  <c r="BT66" i="5"/>
  <c r="BU66" i="5"/>
  <c r="BV66" i="5"/>
  <c r="BW66" i="5"/>
  <c r="BX66" i="5"/>
  <c r="BY66" i="5"/>
  <c r="BZ66" i="5"/>
  <c r="CB66" i="5"/>
  <c r="BB19" i="5"/>
  <c r="BC19" i="5"/>
  <c r="BD19" i="5"/>
  <c r="BE19" i="5"/>
  <c r="BF19" i="5"/>
  <c r="BG19" i="5"/>
  <c r="BH19" i="5"/>
  <c r="BJ19" i="5"/>
  <c r="BB20" i="5"/>
  <c r="BC20" i="5"/>
  <c r="BD20" i="5"/>
  <c r="BE20" i="5"/>
  <c r="BF20" i="5"/>
  <c r="BG20" i="5"/>
  <c r="BH20" i="5"/>
  <c r="BJ20" i="5"/>
  <c r="BB21" i="5"/>
  <c r="BC21" i="5"/>
  <c r="BD21" i="5"/>
  <c r="BE21" i="5"/>
  <c r="BF21" i="5"/>
  <c r="BG21" i="5"/>
  <c r="BH21" i="5"/>
  <c r="BJ21" i="5"/>
  <c r="BB22" i="5"/>
  <c r="BC22" i="5"/>
  <c r="BD22" i="5"/>
  <c r="BE22" i="5"/>
  <c r="BF22" i="5"/>
  <c r="BG22" i="5"/>
  <c r="BH22" i="5"/>
  <c r="BJ22" i="5"/>
  <c r="BB23" i="5"/>
  <c r="BC23" i="5"/>
  <c r="BD23" i="5"/>
  <c r="BE23" i="5"/>
  <c r="BF23" i="5"/>
  <c r="BG23" i="5"/>
  <c r="BH23" i="5"/>
  <c r="BJ23" i="5"/>
  <c r="BB24" i="5"/>
  <c r="BC24" i="5"/>
  <c r="BD24" i="5"/>
  <c r="BE24" i="5"/>
  <c r="BF24" i="5"/>
  <c r="BG24" i="5"/>
  <c r="BH24" i="5"/>
  <c r="BJ24" i="5"/>
  <c r="BB25" i="5"/>
  <c r="BC25" i="5"/>
  <c r="BD25" i="5"/>
  <c r="BE25" i="5"/>
  <c r="BF25" i="5"/>
  <c r="BG25" i="5"/>
  <c r="BH25" i="5"/>
  <c r="BJ25" i="5"/>
  <c r="BB26" i="5"/>
  <c r="BC26" i="5"/>
  <c r="BD26" i="5"/>
  <c r="BE26" i="5"/>
  <c r="BF26" i="5"/>
  <c r="BG26" i="5"/>
  <c r="BH26" i="5"/>
  <c r="BJ26" i="5"/>
  <c r="BB27" i="5"/>
  <c r="BC27" i="5"/>
  <c r="BD27" i="5"/>
  <c r="BE27" i="5"/>
  <c r="BF27" i="5"/>
  <c r="BG27" i="5"/>
  <c r="BH27" i="5"/>
  <c r="BJ27" i="5"/>
  <c r="BB28" i="5"/>
  <c r="BC28" i="5"/>
  <c r="BD28" i="5"/>
  <c r="BE28" i="5"/>
  <c r="BF28" i="5"/>
  <c r="BG28" i="5"/>
  <c r="BH28" i="5"/>
  <c r="BJ28" i="5"/>
  <c r="BB29" i="5"/>
  <c r="BC29" i="5"/>
  <c r="BD29" i="5"/>
  <c r="BE29" i="5"/>
  <c r="BF29" i="5"/>
  <c r="BG29" i="5"/>
  <c r="BH29" i="5"/>
  <c r="BJ29" i="5"/>
  <c r="BB30" i="5"/>
  <c r="BC30" i="5"/>
  <c r="BD30" i="5"/>
  <c r="BE30" i="5"/>
  <c r="BF30" i="5"/>
  <c r="BG30" i="5"/>
  <c r="BH30" i="5"/>
  <c r="BJ30" i="5"/>
  <c r="BB31" i="5"/>
  <c r="BC31" i="5"/>
  <c r="BD31" i="5"/>
  <c r="BE31" i="5"/>
  <c r="BF31" i="5"/>
  <c r="BG31" i="5"/>
  <c r="BH31" i="5"/>
  <c r="BJ31" i="5"/>
  <c r="BB32" i="5"/>
  <c r="BC32" i="5"/>
  <c r="BD32" i="5"/>
  <c r="BE32" i="5"/>
  <c r="BF32" i="5"/>
  <c r="BG32" i="5"/>
  <c r="BH32" i="5"/>
  <c r="BJ32" i="5"/>
  <c r="BB33" i="5"/>
  <c r="BC33" i="5"/>
  <c r="BD33" i="5"/>
  <c r="BE33" i="5"/>
  <c r="BF33" i="5"/>
  <c r="BG33" i="5"/>
  <c r="BH33" i="5"/>
  <c r="BJ33" i="5"/>
  <c r="BB34" i="5"/>
  <c r="BC34" i="5"/>
  <c r="BD34" i="5"/>
  <c r="BE34" i="5"/>
  <c r="BF34" i="5"/>
  <c r="BG34" i="5"/>
  <c r="BH34" i="5"/>
  <c r="BJ34" i="5"/>
  <c r="BB35" i="5"/>
  <c r="BC35" i="5"/>
  <c r="BD35" i="5"/>
  <c r="BE35" i="5"/>
  <c r="BF35" i="5"/>
  <c r="BG35" i="5"/>
  <c r="BH35" i="5"/>
  <c r="BJ35" i="5"/>
  <c r="BB36" i="5"/>
  <c r="BC36" i="5"/>
  <c r="BD36" i="5"/>
  <c r="BE36" i="5"/>
  <c r="BF36" i="5"/>
  <c r="BG36" i="5"/>
  <c r="BH36" i="5"/>
  <c r="BJ36" i="5"/>
  <c r="BB37" i="5"/>
  <c r="BC37" i="5"/>
  <c r="BD37" i="5"/>
  <c r="BE37" i="5"/>
  <c r="BF37" i="5"/>
  <c r="BG37" i="5"/>
  <c r="BH37" i="5"/>
  <c r="BJ37" i="5"/>
  <c r="BB38" i="5"/>
  <c r="BC38" i="5"/>
  <c r="BD38" i="5"/>
  <c r="BE38" i="5"/>
  <c r="BF38" i="5"/>
  <c r="BG38" i="5"/>
  <c r="BH38" i="5"/>
  <c r="BJ38" i="5"/>
  <c r="BB39" i="5"/>
  <c r="BC39" i="5"/>
  <c r="BD39" i="5"/>
  <c r="BE39" i="5"/>
  <c r="BF39" i="5"/>
  <c r="BG39" i="5"/>
  <c r="BH39" i="5"/>
  <c r="BJ39" i="5"/>
  <c r="BB40" i="5"/>
  <c r="BC40" i="5"/>
  <c r="BD40" i="5"/>
  <c r="BE40" i="5"/>
  <c r="BF40" i="5"/>
  <c r="BG40" i="5"/>
  <c r="BH40" i="5"/>
  <c r="BJ40" i="5"/>
  <c r="BB41" i="5"/>
  <c r="BC41" i="5"/>
  <c r="BD41" i="5"/>
  <c r="BE41" i="5"/>
  <c r="BF41" i="5"/>
  <c r="BG41" i="5"/>
  <c r="BH41" i="5"/>
  <c r="BJ41" i="5"/>
  <c r="BB42" i="5"/>
  <c r="BC42" i="5"/>
  <c r="BD42" i="5"/>
  <c r="BE42" i="5"/>
  <c r="BF42" i="5"/>
  <c r="BG42" i="5"/>
  <c r="BH42" i="5"/>
  <c r="BJ42" i="5"/>
  <c r="BB43" i="5"/>
  <c r="BC43" i="5"/>
  <c r="BD43" i="5"/>
  <c r="BE43" i="5"/>
  <c r="BF43" i="5"/>
  <c r="BG43" i="5"/>
  <c r="BH43" i="5"/>
  <c r="BJ43" i="5"/>
  <c r="BB44" i="5"/>
  <c r="BC44" i="5"/>
  <c r="BD44" i="5"/>
  <c r="BE44" i="5"/>
  <c r="BF44" i="5"/>
  <c r="BG44" i="5"/>
  <c r="BH44" i="5"/>
  <c r="BJ44" i="5"/>
  <c r="BB45" i="5"/>
  <c r="BC45" i="5"/>
  <c r="BD45" i="5"/>
  <c r="BE45" i="5"/>
  <c r="BF45" i="5"/>
  <c r="BG45" i="5"/>
  <c r="BH45" i="5"/>
  <c r="BJ45" i="5"/>
  <c r="BB46" i="5"/>
  <c r="BC46" i="5"/>
  <c r="BD46" i="5"/>
  <c r="BE46" i="5"/>
  <c r="BF46" i="5"/>
  <c r="BG46" i="5"/>
  <c r="BH46" i="5"/>
  <c r="BJ46" i="5"/>
  <c r="BB47" i="5"/>
  <c r="BC47" i="5"/>
  <c r="BD47" i="5"/>
  <c r="BE47" i="5"/>
  <c r="BF47" i="5"/>
  <c r="BG47" i="5"/>
  <c r="BH47" i="5"/>
  <c r="BJ47" i="5"/>
  <c r="BB48" i="5"/>
  <c r="BC48" i="5"/>
  <c r="BD48" i="5"/>
  <c r="BE48" i="5"/>
  <c r="BF48" i="5"/>
  <c r="BG48" i="5"/>
  <c r="BH48" i="5"/>
  <c r="BJ48" i="5"/>
  <c r="BB49" i="5"/>
  <c r="BC49" i="5"/>
  <c r="BD49" i="5"/>
  <c r="BE49" i="5"/>
  <c r="BF49" i="5"/>
  <c r="BG49" i="5"/>
  <c r="BH49" i="5"/>
  <c r="BJ49" i="5"/>
  <c r="BB50" i="5"/>
  <c r="BC50" i="5"/>
  <c r="BD50" i="5"/>
  <c r="BE50" i="5"/>
  <c r="BF50" i="5"/>
  <c r="BG50" i="5"/>
  <c r="BH50" i="5"/>
  <c r="BJ50" i="5"/>
  <c r="BB51" i="5"/>
  <c r="BC51" i="5"/>
  <c r="BD51" i="5"/>
  <c r="BE51" i="5"/>
  <c r="BF51" i="5"/>
  <c r="BG51" i="5"/>
  <c r="BH51" i="5"/>
  <c r="BJ51" i="5"/>
  <c r="BB52" i="5"/>
  <c r="BC52" i="5"/>
  <c r="BD52" i="5"/>
  <c r="BE52" i="5"/>
  <c r="BF52" i="5"/>
  <c r="BG52" i="5"/>
  <c r="BH52" i="5"/>
  <c r="BJ52" i="5"/>
  <c r="BB53" i="5"/>
  <c r="BC53" i="5"/>
  <c r="BD53" i="5"/>
  <c r="BE53" i="5"/>
  <c r="BF53" i="5"/>
  <c r="BG53" i="5"/>
  <c r="BH53" i="5"/>
  <c r="BJ53" i="5"/>
  <c r="BB54" i="5"/>
  <c r="BC54" i="5"/>
  <c r="BD54" i="5"/>
  <c r="BE54" i="5"/>
  <c r="BF54" i="5"/>
  <c r="BG54" i="5"/>
  <c r="BH54" i="5"/>
  <c r="BJ54" i="5"/>
  <c r="BB55" i="5"/>
  <c r="BC55" i="5"/>
  <c r="BD55" i="5"/>
  <c r="BE55" i="5"/>
  <c r="BF55" i="5"/>
  <c r="BG55" i="5"/>
  <c r="BH55" i="5"/>
  <c r="BJ55" i="5"/>
  <c r="BB56" i="5"/>
  <c r="BC56" i="5"/>
  <c r="BD56" i="5"/>
  <c r="BE56" i="5"/>
  <c r="BF56" i="5"/>
  <c r="BG56" i="5"/>
  <c r="BH56" i="5"/>
  <c r="BJ56" i="5"/>
  <c r="BB57" i="5"/>
  <c r="BC57" i="5"/>
  <c r="BD57" i="5"/>
  <c r="BE57" i="5"/>
  <c r="BF57" i="5"/>
  <c r="BG57" i="5"/>
  <c r="BH57" i="5"/>
  <c r="BJ57" i="5"/>
  <c r="BB58" i="5"/>
  <c r="BC58" i="5"/>
  <c r="BD58" i="5"/>
  <c r="BE58" i="5"/>
  <c r="BF58" i="5"/>
  <c r="BG58" i="5"/>
  <c r="BH58" i="5"/>
  <c r="BJ58" i="5"/>
  <c r="BB59" i="5"/>
  <c r="BC59" i="5"/>
  <c r="BD59" i="5"/>
  <c r="BE59" i="5"/>
  <c r="BF59" i="5"/>
  <c r="BG59" i="5"/>
  <c r="BH59" i="5"/>
  <c r="BJ59" i="5"/>
  <c r="BB60" i="5"/>
  <c r="BC60" i="5"/>
  <c r="BD60" i="5"/>
  <c r="BE60" i="5"/>
  <c r="BF60" i="5"/>
  <c r="BG60" i="5"/>
  <c r="BH60" i="5"/>
  <c r="BJ60" i="5"/>
  <c r="BB61" i="5"/>
  <c r="BC61" i="5"/>
  <c r="BD61" i="5"/>
  <c r="BE61" i="5"/>
  <c r="BF61" i="5"/>
  <c r="BG61" i="5"/>
  <c r="BH61" i="5"/>
  <c r="BJ61" i="5"/>
  <c r="BB62" i="5"/>
  <c r="BC62" i="5"/>
  <c r="BD62" i="5"/>
  <c r="BE62" i="5"/>
  <c r="BF62" i="5"/>
  <c r="BG62" i="5"/>
  <c r="BH62" i="5"/>
  <c r="BJ62" i="5"/>
  <c r="BB63" i="5"/>
  <c r="BC63" i="5"/>
  <c r="BD63" i="5"/>
  <c r="BE63" i="5"/>
  <c r="BF63" i="5"/>
  <c r="BG63" i="5"/>
  <c r="BH63" i="5"/>
  <c r="BJ63" i="5"/>
  <c r="BB64" i="5"/>
  <c r="BC64" i="5"/>
  <c r="BD64" i="5"/>
  <c r="BE64" i="5"/>
  <c r="BF64" i="5"/>
  <c r="BG64" i="5"/>
  <c r="BH64" i="5"/>
  <c r="BJ64" i="5"/>
  <c r="BB65" i="5"/>
  <c r="BC65" i="5"/>
  <c r="BD65" i="5"/>
  <c r="BE65" i="5"/>
  <c r="BF65" i="5"/>
  <c r="BG65" i="5"/>
  <c r="BH65" i="5"/>
  <c r="BJ65" i="5"/>
  <c r="BB66" i="5"/>
  <c r="BC66" i="5"/>
  <c r="BD66" i="5"/>
  <c r="BE66" i="5"/>
  <c r="BF66" i="5"/>
  <c r="BG66" i="5"/>
  <c r="BH66" i="5"/>
  <c r="BJ66" i="5"/>
  <c r="BC18" i="5"/>
  <c r="BD18" i="5"/>
  <c r="BE18" i="5"/>
  <c r="BF18" i="5"/>
  <c r="BG18" i="5"/>
  <c r="BH18" i="5"/>
  <c r="BJ18" i="5"/>
  <c r="BB18" i="5"/>
  <c r="D74" i="5"/>
  <c r="BS59" i="5" s="1"/>
  <c r="BA53" i="5" l="1"/>
  <c r="BA29" i="5"/>
  <c r="BA51" i="5"/>
  <c r="BS62" i="5"/>
  <c r="AX30" i="13"/>
  <c r="AX32" i="13"/>
  <c r="AX34" i="13"/>
  <c r="AX36" i="13"/>
  <c r="AX38" i="13"/>
  <c r="AX40" i="13"/>
  <c r="AX42" i="13"/>
  <c r="AX44" i="13"/>
  <c r="AX46" i="13"/>
  <c r="AX48" i="13"/>
  <c r="AX50" i="13"/>
  <c r="AX52" i="13"/>
  <c r="AX54" i="13"/>
  <c r="AX56" i="13"/>
  <c r="AX58" i="13"/>
  <c r="AX60" i="13"/>
  <c r="AX62" i="13"/>
  <c r="AX64" i="13"/>
  <c r="AX66" i="13"/>
  <c r="CE57" i="5"/>
  <c r="CF58" i="5"/>
  <c r="CG59" i="5"/>
  <c r="CE61" i="5"/>
  <c r="CF62" i="5"/>
  <c r="CG63" i="5"/>
  <c r="CE65" i="5"/>
  <c r="CF66" i="5"/>
  <c r="BN9" i="5"/>
  <c r="BN13" i="5"/>
  <c r="BN17" i="5"/>
  <c r="BN21" i="5"/>
  <c r="BN25" i="5"/>
  <c r="BN29" i="5"/>
  <c r="BN33" i="5"/>
  <c r="BN37" i="5"/>
  <c r="BN41" i="5"/>
  <c r="BN45" i="5"/>
  <c r="BN49" i="5"/>
  <c r="BN53" i="5"/>
  <c r="BN57" i="5"/>
  <c r="BN61" i="5"/>
  <c r="BN65" i="5"/>
  <c r="AW29" i="13"/>
  <c r="AW31" i="13"/>
  <c r="AW33" i="13"/>
  <c r="AW35" i="13"/>
  <c r="AW37" i="13"/>
  <c r="AW39" i="13"/>
  <c r="AW41" i="13"/>
  <c r="AW43" i="13"/>
  <c r="AW45" i="13"/>
  <c r="AW47" i="13"/>
  <c r="AW49" i="13"/>
  <c r="AW51" i="13"/>
  <c r="AW53" i="13"/>
  <c r="AW55" i="13"/>
  <c r="AW57" i="13"/>
  <c r="AW59" i="13"/>
  <c r="AW61" i="13"/>
  <c r="AW63" i="13"/>
  <c r="AW65" i="13"/>
  <c r="CE56" i="5"/>
  <c r="CF57" i="5"/>
  <c r="CG58" i="5"/>
  <c r="CE60" i="5"/>
  <c r="CF61" i="5"/>
  <c r="CG62" i="5"/>
  <c r="CE64" i="5"/>
  <c r="CF65" i="5"/>
  <c r="CG66" i="5"/>
  <c r="BN10" i="5"/>
  <c r="BN14" i="5"/>
  <c r="BN18" i="5"/>
  <c r="BN22" i="5"/>
  <c r="BN26" i="5"/>
  <c r="BN30" i="5"/>
  <c r="BN34" i="5"/>
  <c r="BN38" i="5"/>
  <c r="BN42" i="5"/>
  <c r="BN46" i="5"/>
  <c r="BN50" i="5"/>
  <c r="BN54" i="5"/>
  <c r="BN58" i="5"/>
  <c r="BN62" i="5"/>
  <c r="BN66" i="5"/>
  <c r="AX29" i="13"/>
  <c r="AX31" i="13"/>
  <c r="AX33" i="13"/>
  <c r="AX35" i="13"/>
  <c r="AX37" i="13"/>
  <c r="AX39" i="13"/>
  <c r="AX41" i="13"/>
  <c r="AX43" i="13"/>
  <c r="AX45" i="13"/>
  <c r="AX47" i="13"/>
  <c r="AX49" i="13"/>
  <c r="AX51" i="13"/>
  <c r="AX53" i="13"/>
  <c r="AX55" i="13"/>
  <c r="AX57" i="13"/>
  <c r="AX59" i="13"/>
  <c r="AX61" i="13"/>
  <c r="AX63" i="13"/>
  <c r="AX65" i="13"/>
  <c r="CF56" i="5"/>
  <c r="CG57" i="5"/>
  <c r="CE59" i="5"/>
  <c r="CF60" i="5"/>
  <c r="CG61" i="5"/>
  <c r="CE63" i="5"/>
  <c r="CF64" i="5"/>
  <c r="CG65" i="5"/>
  <c r="BN7" i="5"/>
  <c r="BN11" i="5"/>
  <c r="BN15" i="5"/>
  <c r="BN19" i="5"/>
  <c r="BN23" i="5"/>
  <c r="BN27" i="5"/>
  <c r="BN31" i="5"/>
  <c r="BN35" i="5"/>
  <c r="BN39" i="5"/>
  <c r="BN43" i="5"/>
  <c r="BN47" i="5"/>
  <c r="BN51" i="5"/>
  <c r="BN55" i="5"/>
  <c r="BN59" i="5"/>
  <c r="BN63" i="5"/>
  <c r="AW36" i="13"/>
  <c r="AW44" i="13"/>
  <c r="AW52" i="13"/>
  <c r="AW60" i="13"/>
  <c r="CG56" i="5"/>
  <c r="CE62" i="5"/>
  <c r="BN8" i="5"/>
  <c r="BN24" i="5"/>
  <c r="BN40" i="5"/>
  <c r="BN56" i="5"/>
  <c r="AW34" i="13"/>
  <c r="AW50" i="13"/>
  <c r="CG60" i="5"/>
  <c r="BN20" i="5"/>
  <c r="AW30" i="13"/>
  <c r="AW38" i="13"/>
  <c r="AW46" i="13"/>
  <c r="AW54" i="13"/>
  <c r="AW62" i="13"/>
  <c r="CE58" i="5"/>
  <c r="CF63" i="5"/>
  <c r="BN12" i="5"/>
  <c r="BN28" i="5"/>
  <c r="BN44" i="5"/>
  <c r="BN60" i="5"/>
  <c r="AW40" i="13"/>
  <c r="AW48" i="13"/>
  <c r="AW56" i="13"/>
  <c r="AW64" i="13"/>
  <c r="CG64" i="5"/>
  <c r="BN16" i="5"/>
  <c r="BN48" i="5"/>
  <c r="AW58" i="13"/>
  <c r="CE66" i="5"/>
  <c r="BN36" i="5"/>
  <c r="AW32" i="13"/>
  <c r="CF59" i="5"/>
  <c r="BN32" i="5"/>
  <c r="BN64" i="5"/>
  <c r="AW42" i="13"/>
  <c r="AW66" i="13"/>
  <c r="BN52" i="5"/>
  <c r="AW61" i="15"/>
  <c r="AW13" i="15"/>
  <c r="AW46" i="14"/>
  <c r="AW57" i="15"/>
  <c r="AW9" i="15"/>
  <c r="AW44" i="14"/>
  <c r="AW64" i="17"/>
  <c r="AW17" i="15"/>
  <c r="AW48" i="14"/>
  <c r="CF55" i="5"/>
  <c r="CF39" i="5"/>
  <c r="CF23" i="5"/>
  <c r="CF7" i="5"/>
  <c r="AW42" i="17"/>
  <c r="AW16" i="17"/>
  <c r="AW48" i="18"/>
  <c r="AW24" i="18"/>
  <c r="CF26" i="5"/>
  <c r="CF10" i="5"/>
  <c r="AW52" i="15"/>
  <c r="AW36" i="15"/>
  <c r="AW50" i="17"/>
  <c r="AW26" i="17"/>
  <c r="AW62" i="18"/>
  <c r="AW38" i="18"/>
  <c r="AW16" i="18"/>
  <c r="CF30" i="5"/>
  <c r="CF41" i="5"/>
  <c r="CF25" i="5"/>
  <c r="CF9" i="5"/>
  <c r="AW51" i="15"/>
  <c r="AW35" i="15"/>
  <c r="AW46" i="17"/>
  <c r="AW24" i="17"/>
  <c r="AW58" i="18"/>
  <c r="AW34" i="18"/>
  <c r="AW14" i="18"/>
  <c r="CF48" i="5"/>
  <c r="CF32" i="5"/>
  <c r="CF16" i="5"/>
  <c r="AW62" i="15"/>
  <c r="AW46" i="15"/>
  <c r="AW30" i="15"/>
  <c r="AW16" i="15"/>
  <c r="AX61" i="14"/>
  <c r="AX53" i="14"/>
  <c r="AX45" i="14"/>
  <c r="AX37" i="14"/>
  <c r="AX29" i="14"/>
  <c r="AX59" i="17"/>
  <c r="AX51" i="17"/>
  <c r="AX43" i="17"/>
  <c r="AX35" i="17"/>
  <c r="AX27" i="17"/>
  <c r="AX19" i="17"/>
  <c r="AX11" i="17"/>
  <c r="AX63" i="18"/>
  <c r="AX55" i="18"/>
  <c r="AX47" i="18"/>
  <c r="AX39" i="18"/>
  <c r="AX31" i="18"/>
  <c r="AX23" i="18"/>
  <c r="AX15" i="18"/>
  <c r="AX7" i="18"/>
  <c r="AW15" i="15"/>
  <c r="AW63" i="14"/>
  <c r="AW55" i="14"/>
  <c r="AW47" i="14"/>
  <c r="AW39" i="14"/>
  <c r="AW31" i="14"/>
  <c r="AW61" i="17"/>
  <c r="AW53" i="17"/>
  <c r="AW45" i="17"/>
  <c r="AW37" i="17"/>
  <c r="AW29" i="17"/>
  <c r="AW21" i="17"/>
  <c r="AW13" i="17"/>
  <c r="AW65" i="18"/>
  <c r="AW57" i="18"/>
  <c r="AW49" i="18"/>
  <c r="AW41" i="18"/>
  <c r="AW33" i="18"/>
  <c r="AW25" i="18"/>
  <c r="AW17" i="18"/>
  <c r="AW9" i="18"/>
  <c r="AW18" i="15"/>
  <c r="AX64" i="14"/>
  <c r="AX56" i="14"/>
  <c r="AX48" i="14"/>
  <c r="AX40" i="14"/>
  <c r="AX32" i="14"/>
  <c r="AX62" i="17"/>
  <c r="AX54" i="17"/>
  <c r="AX46" i="17"/>
  <c r="AX38" i="17"/>
  <c r="AX30" i="17"/>
  <c r="AX22" i="17"/>
  <c r="AX14" i="17"/>
  <c r="AX64" i="18"/>
  <c r="AX56" i="18"/>
  <c r="AW49" i="15"/>
  <c r="AW64" i="14"/>
  <c r="AW40" i="14"/>
  <c r="AW45" i="15"/>
  <c r="AW62" i="14"/>
  <c r="AW38" i="14"/>
  <c r="AW53" i="15"/>
  <c r="AW66" i="14"/>
  <c r="AW42" i="14"/>
  <c r="CF51" i="5"/>
  <c r="CF35" i="5"/>
  <c r="CF19" i="5"/>
  <c r="AW62" i="17"/>
  <c r="AW36" i="17"/>
  <c r="AW10" i="17"/>
  <c r="AW42" i="18"/>
  <c r="AW12" i="18"/>
  <c r="CF22" i="5"/>
  <c r="AW64" i="15"/>
  <c r="AW48" i="15"/>
  <c r="AW32" i="15"/>
  <c r="AW44" i="17"/>
  <c r="AW20" i="17"/>
  <c r="AW56" i="18"/>
  <c r="AW32" i="18"/>
  <c r="AW10" i="18"/>
  <c r="CF53" i="5"/>
  <c r="CF37" i="5"/>
  <c r="CF21" i="5"/>
  <c r="AW63" i="15"/>
  <c r="AW47" i="15"/>
  <c r="AW31" i="15"/>
  <c r="AW40" i="17"/>
  <c r="AW18" i="17"/>
  <c r="AW52" i="18"/>
  <c r="AW28" i="18"/>
  <c r="CF46" i="5"/>
  <c r="CF44" i="5"/>
  <c r="CF28" i="5"/>
  <c r="CF12" i="5"/>
  <c r="AW58" i="15"/>
  <c r="AW42" i="15"/>
  <c r="AW28" i="15"/>
  <c r="AW8" i="15"/>
  <c r="AX59" i="14"/>
  <c r="AX51" i="14"/>
  <c r="AX43" i="14"/>
  <c r="AX35" i="14"/>
  <c r="AX65" i="17"/>
  <c r="AX57" i="17"/>
  <c r="AX49" i="17"/>
  <c r="AX41" i="17"/>
  <c r="AX33" i="17"/>
  <c r="AX25" i="17"/>
  <c r="AX17" i="17"/>
  <c r="AX9" i="17"/>
  <c r="AX61" i="18"/>
  <c r="AX53" i="18"/>
  <c r="AX45" i="18"/>
  <c r="AX37" i="18"/>
  <c r="AX29" i="18"/>
  <c r="AX21" i="18"/>
  <c r="AX13" i="18"/>
  <c r="AW27" i="15"/>
  <c r="AW11" i="15"/>
  <c r="AW61" i="14"/>
  <c r="AW53" i="14"/>
  <c r="AW45" i="14"/>
  <c r="AW37" i="14"/>
  <c r="AW29" i="14"/>
  <c r="AW59" i="17"/>
  <c r="AW51" i="17"/>
  <c r="AW43" i="17"/>
  <c r="AW35" i="17"/>
  <c r="AW27" i="17"/>
  <c r="AW19" i="17"/>
  <c r="AW11" i="17"/>
  <c r="AW63" i="18"/>
  <c r="AW55" i="18"/>
  <c r="AW47" i="18"/>
  <c r="AW39" i="18"/>
  <c r="AW31" i="18"/>
  <c r="AW23" i="18"/>
  <c r="AW15" i="18"/>
  <c r="AW7" i="18"/>
  <c r="AW14" i="15"/>
  <c r="AX62" i="14"/>
  <c r="AX54" i="14"/>
  <c r="AX46" i="14"/>
  <c r="AX38" i="14"/>
  <c r="AX30" i="14"/>
  <c r="AX60" i="17"/>
  <c r="AX52" i="17"/>
  <c r="AX44" i="17"/>
  <c r="AX36" i="17"/>
  <c r="AX28" i="17"/>
  <c r="AX20" i="17"/>
  <c r="AX12" i="17"/>
  <c r="AX62" i="18"/>
  <c r="AX54" i="18"/>
  <c r="AX46" i="18"/>
  <c r="AW37" i="15"/>
  <c r="AW58" i="14"/>
  <c r="AW32" i="14"/>
  <c r="AW33" i="15"/>
  <c r="AW56" i="14"/>
  <c r="AW34" i="14"/>
  <c r="AW41" i="15"/>
  <c r="AW60" i="14"/>
  <c r="AW36" i="14"/>
  <c r="CF47" i="5"/>
  <c r="CF31" i="5"/>
  <c r="CF15" i="5"/>
  <c r="AW56" i="17"/>
  <c r="AW30" i="17"/>
  <c r="AW60" i="18"/>
  <c r="AW36" i="18"/>
  <c r="CF50" i="5"/>
  <c r="CF18" i="5"/>
  <c r="AW60" i="15"/>
  <c r="AW44" i="15"/>
  <c r="AW60" i="17"/>
  <c r="AW38" i="17"/>
  <c r="AW14" i="17"/>
  <c r="AW50" i="18"/>
  <c r="AW26" i="18"/>
  <c r="CF54" i="5"/>
  <c r="CF49" i="5"/>
  <c r="CF33" i="5"/>
  <c r="CF17" i="5"/>
  <c r="AW59" i="15"/>
  <c r="AW43" i="15"/>
  <c r="AW58" i="17"/>
  <c r="AW34" i="17"/>
  <c r="AW12" i="17"/>
  <c r="AW46" i="18"/>
  <c r="AW22" i="18"/>
  <c r="CF34" i="5"/>
  <c r="CF40" i="5"/>
  <c r="CF24" i="5"/>
  <c r="CF8" i="5"/>
  <c r="AW54" i="15"/>
  <c r="AW38" i="15"/>
  <c r="AW24" i="15"/>
  <c r="AX65" i="14"/>
  <c r="AX57" i="14"/>
  <c r="AX49" i="14"/>
  <c r="AX41" i="14"/>
  <c r="AX33" i="14"/>
  <c r="AX63" i="17"/>
  <c r="AX55" i="17"/>
  <c r="AX47" i="17"/>
  <c r="AX39" i="17"/>
  <c r="AX31" i="17"/>
  <c r="AX23" i="17"/>
  <c r="AX15" i="17"/>
  <c r="AX7" i="17"/>
  <c r="AX59" i="18"/>
  <c r="AX51" i="18"/>
  <c r="AX43" i="18"/>
  <c r="AX35" i="18"/>
  <c r="AX27" i="18"/>
  <c r="AX19" i="18"/>
  <c r="AX11" i="18"/>
  <c r="AW23" i="15"/>
  <c r="AW7" i="15"/>
  <c r="AW59" i="14"/>
  <c r="AW51" i="14"/>
  <c r="AW43" i="14"/>
  <c r="AW35" i="14"/>
  <c r="AW65" i="17"/>
  <c r="AW57" i="17"/>
  <c r="AW49" i="17"/>
  <c r="AW41" i="17"/>
  <c r="AW33" i="17"/>
  <c r="AW25" i="17"/>
  <c r="AW17" i="17"/>
  <c r="AW9" i="17"/>
  <c r="AW61" i="18"/>
  <c r="AW53" i="18"/>
  <c r="AW45" i="18"/>
  <c r="AW37" i="18"/>
  <c r="AW29" i="18"/>
  <c r="AW21" i="18"/>
  <c r="AW13" i="18"/>
  <c r="AW26" i="15"/>
  <c r="AW25" i="15"/>
  <c r="AW50" i="14"/>
  <c r="AW30" i="14"/>
  <c r="AW48" i="17"/>
  <c r="CF38" i="5"/>
  <c r="AW54" i="17"/>
  <c r="AW20" i="18"/>
  <c r="CF13" i="5"/>
  <c r="AW28" i="17"/>
  <c r="CF52" i="5"/>
  <c r="AW50" i="15"/>
  <c r="AX55" i="14"/>
  <c r="AX61" i="17"/>
  <c r="AX29" i="17"/>
  <c r="AX57" i="18"/>
  <c r="AX25" i="18"/>
  <c r="AW65" i="14"/>
  <c r="AW33" i="14"/>
  <c r="AW39" i="17"/>
  <c r="AW7" i="17"/>
  <c r="AW35" i="18"/>
  <c r="AW22" i="15"/>
  <c r="AX58" i="14"/>
  <c r="AX42" i="14"/>
  <c r="AX64" i="17"/>
  <c r="AX48" i="17"/>
  <c r="AX32" i="17"/>
  <c r="AX16" i="17"/>
  <c r="AX58" i="18"/>
  <c r="AX44" i="18"/>
  <c r="AX36" i="18"/>
  <c r="AX28" i="18"/>
  <c r="AX20" i="18"/>
  <c r="AX12" i="18"/>
  <c r="CF11" i="5"/>
  <c r="AX31" i="14"/>
  <c r="AW47" i="17"/>
  <c r="AX60" i="14"/>
  <c r="AX34" i="17"/>
  <c r="AX30" i="18"/>
  <c r="AW52" i="14"/>
  <c r="AW66" i="17"/>
  <c r="CF43" i="5"/>
  <c r="AW22" i="17"/>
  <c r="CF14" i="5"/>
  <c r="AW32" i="17"/>
  <c r="CF42" i="5"/>
  <c r="AW55" i="15"/>
  <c r="AW64" i="18"/>
  <c r="CF36" i="5"/>
  <c r="AW34" i="15"/>
  <c r="AX47" i="14"/>
  <c r="AX53" i="17"/>
  <c r="AX21" i="17"/>
  <c r="AX49" i="18"/>
  <c r="AX17" i="18"/>
  <c r="AW57" i="14"/>
  <c r="AW63" i="17"/>
  <c r="AW31" i="17"/>
  <c r="AW59" i="18"/>
  <c r="AW27" i="18"/>
  <c r="AW10" i="15"/>
  <c r="AX52" i="14"/>
  <c r="AX36" i="14"/>
  <c r="AX58" i="17"/>
  <c r="AX42" i="17"/>
  <c r="AX26" i="17"/>
  <c r="AX10" i="17"/>
  <c r="AX52" i="18"/>
  <c r="AX42" i="18"/>
  <c r="AX34" i="18"/>
  <c r="AX26" i="18"/>
  <c r="AX18" i="18"/>
  <c r="AX10" i="18"/>
  <c r="AX8" i="17"/>
  <c r="AW8" i="17"/>
  <c r="AW21" i="15"/>
  <c r="AW30" i="18"/>
  <c r="AW44" i="18"/>
  <c r="AW52" i="17"/>
  <c r="AW66" i="15"/>
  <c r="AX37" i="17"/>
  <c r="AX33" i="18"/>
  <c r="AW41" i="14"/>
  <c r="AW43" i="18"/>
  <c r="AX44" i="14"/>
  <c r="AX50" i="17"/>
  <c r="AX60" i="18"/>
  <c r="AX38" i="18"/>
  <c r="AX14" i="18"/>
  <c r="AX8" i="18"/>
  <c r="AW8" i="18"/>
  <c r="AW65" i="15"/>
  <c r="AW29" i="15"/>
  <c r="CF27" i="5"/>
  <c r="AW54" i="18"/>
  <c r="AW56" i="15"/>
  <c r="AW66" i="18"/>
  <c r="CF45" i="5"/>
  <c r="AW39" i="15"/>
  <c r="AW40" i="18"/>
  <c r="CF20" i="5"/>
  <c r="AW20" i="15"/>
  <c r="AX39" i="14"/>
  <c r="AX45" i="17"/>
  <c r="AX13" i="17"/>
  <c r="AX41" i="18"/>
  <c r="AX9" i="18"/>
  <c r="AW49" i="14"/>
  <c r="AW55" i="17"/>
  <c r="AW23" i="17"/>
  <c r="AW51" i="18"/>
  <c r="AW19" i="18"/>
  <c r="AX66" i="14"/>
  <c r="AX50" i="14"/>
  <c r="AX34" i="14"/>
  <c r="AX56" i="17"/>
  <c r="AX40" i="17"/>
  <c r="AX24" i="17"/>
  <c r="AX66" i="18"/>
  <c r="AX50" i="18"/>
  <c r="AX40" i="18"/>
  <c r="AX32" i="18"/>
  <c r="AX24" i="18"/>
  <c r="AX16" i="18"/>
  <c r="AW12" i="15"/>
  <c r="AW54" i="14"/>
  <c r="AW40" i="15"/>
  <c r="CF29" i="5"/>
  <c r="AW18" i="18"/>
  <c r="AX63" i="14"/>
  <c r="AX65" i="18"/>
  <c r="AW19" i="15"/>
  <c r="AW15" i="17"/>
  <c r="AW11" i="18"/>
  <c r="AX66" i="17"/>
  <c r="AX18" i="17"/>
  <c r="AX48" i="18"/>
  <c r="AX22" i="18"/>
  <c r="AV29" i="13"/>
  <c r="AV33" i="13"/>
  <c r="AV37" i="13"/>
  <c r="AV41" i="13"/>
  <c r="AV45" i="13"/>
  <c r="AV49" i="13"/>
  <c r="AV53" i="13"/>
  <c r="AV57" i="13"/>
  <c r="AV61" i="13"/>
  <c r="AV65" i="13"/>
  <c r="BM9" i="5"/>
  <c r="BM11" i="5"/>
  <c r="BM13" i="5"/>
  <c r="BM15" i="5"/>
  <c r="BM17" i="5"/>
  <c r="BM19" i="5"/>
  <c r="BM21" i="5"/>
  <c r="BM23" i="5"/>
  <c r="BM25" i="5"/>
  <c r="BM27" i="5"/>
  <c r="BM29" i="5"/>
  <c r="BM31" i="5"/>
  <c r="BM33" i="5"/>
  <c r="BM35" i="5"/>
  <c r="BM37" i="5"/>
  <c r="BM39" i="5"/>
  <c r="BM41" i="5"/>
  <c r="BM43" i="5"/>
  <c r="BM45" i="5"/>
  <c r="BM47" i="5"/>
  <c r="BM49" i="5"/>
  <c r="BM51" i="5"/>
  <c r="BM53" i="5"/>
  <c r="BM55" i="5"/>
  <c r="BM57" i="5"/>
  <c r="BM59" i="5"/>
  <c r="BM61" i="5"/>
  <c r="BM63" i="5"/>
  <c r="BM65" i="5"/>
  <c r="BM7" i="5"/>
  <c r="AV32" i="13"/>
  <c r="AV40" i="13"/>
  <c r="AV52" i="13"/>
  <c r="AV64" i="13"/>
  <c r="BO10" i="5"/>
  <c r="BO14" i="5"/>
  <c r="BO20" i="5"/>
  <c r="BO26" i="5"/>
  <c r="BO32" i="5"/>
  <c r="BO38" i="5"/>
  <c r="BO44" i="5"/>
  <c r="BO50" i="5"/>
  <c r="BO56" i="5"/>
  <c r="BO62" i="5"/>
  <c r="AV30" i="13"/>
  <c r="AV34" i="13"/>
  <c r="AV38" i="13"/>
  <c r="AV42" i="13"/>
  <c r="AV46" i="13"/>
  <c r="AV50" i="13"/>
  <c r="AV54" i="13"/>
  <c r="AV58" i="13"/>
  <c r="AV62" i="13"/>
  <c r="AV66" i="13"/>
  <c r="BO9" i="5"/>
  <c r="BO11" i="5"/>
  <c r="BO13" i="5"/>
  <c r="BO15" i="5"/>
  <c r="BO17" i="5"/>
  <c r="BO19" i="5"/>
  <c r="BO21" i="5"/>
  <c r="BO23" i="5"/>
  <c r="BO25" i="5"/>
  <c r="BO27" i="5"/>
  <c r="BO29" i="5"/>
  <c r="BO31" i="5"/>
  <c r="BO33" i="5"/>
  <c r="BO35" i="5"/>
  <c r="BO37" i="5"/>
  <c r="BO39" i="5"/>
  <c r="BO41" i="5"/>
  <c r="BO43" i="5"/>
  <c r="BO45" i="5"/>
  <c r="BO47" i="5"/>
  <c r="BO49" i="5"/>
  <c r="BO51" i="5"/>
  <c r="BO53" i="5"/>
  <c r="BO55" i="5"/>
  <c r="BO57" i="5"/>
  <c r="BO59" i="5"/>
  <c r="BO61" i="5"/>
  <c r="BO63" i="5"/>
  <c r="BO65" i="5"/>
  <c r="BO7" i="5"/>
  <c r="AV36" i="13"/>
  <c r="AV48" i="13"/>
  <c r="AV56" i="13"/>
  <c r="AV60" i="13"/>
  <c r="BO12" i="5"/>
  <c r="BO18" i="5"/>
  <c r="BO24" i="5"/>
  <c r="BO30" i="5"/>
  <c r="BO36" i="5"/>
  <c r="BO42" i="5"/>
  <c r="BO46" i="5"/>
  <c r="BO52" i="5"/>
  <c r="BO58" i="5"/>
  <c r="BO64" i="5"/>
  <c r="AV31" i="13"/>
  <c r="AV35" i="13"/>
  <c r="AV39" i="13"/>
  <c r="AV43" i="13"/>
  <c r="AV47" i="13"/>
  <c r="AV51" i="13"/>
  <c r="AV55" i="13"/>
  <c r="AV59" i="13"/>
  <c r="AV63" i="13"/>
  <c r="BM8" i="5"/>
  <c r="BM10" i="5"/>
  <c r="BM12" i="5"/>
  <c r="BM14" i="5"/>
  <c r="BM16" i="5"/>
  <c r="BM18" i="5"/>
  <c r="BM20" i="5"/>
  <c r="BM22" i="5"/>
  <c r="BM24" i="5"/>
  <c r="BM26" i="5"/>
  <c r="BM28" i="5"/>
  <c r="BM30" i="5"/>
  <c r="BM32" i="5"/>
  <c r="BM34" i="5"/>
  <c r="BM36" i="5"/>
  <c r="BM38" i="5"/>
  <c r="BM40" i="5"/>
  <c r="BM42" i="5"/>
  <c r="BM44" i="5"/>
  <c r="BM46" i="5"/>
  <c r="BM48" i="5"/>
  <c r="BM50" i="5"/>
  <c r="BM52" i="5"/>
  <c r="BM54" i="5"/>
  <c r="BM56" i="5"/>
  <c r="BM58" i="5"/>
  <c r="BM60" i="5"/>
  <c r="BM62" i="5"/>
  <c r="BM64" i="5"/>
  <c r="BM66" i="5"/>
  <c r="AV44" i="13"/>
  <c r="BO8" i="5"/>
  <c r="BO16" i="5"/>
  <c r="BO22" i="5"/>
  <c r="BO28" i="5"/>
  <c r="BO34" i="5"/>
  <c r="BO40" i="5"/>
  <c r="BO48" i="5"/>
  <c r="BO54" i="5"/>
  <c r="BO60" i="5"/>
  <c r="BO66" i="5"/>
  <c r="BA37" i="5"/>
  <c r="BS61" i="5"/>
  <c r="BA18" i="5"/>
  <c r="BA43" i="5"/>
  <c r="BA27" i="5"/>
  <c r="BA66" i="5"/>
  <c r="BA58" i="5"/>
  <c r="BA50" i="5"/>
  <c r="BA42" i="5"/>
  <c r="BA34" i="5"/>
  <c r="BA26" i="5"/>
  <c r="BS66" i="5"/>
  <c r="BS58" i="5"/>
  <c r="BA61" i="5"/>
  <c r="BA45" i="5"/>
  <c r="BA21" i="5"/>
  <c r="BA59" i="5"/>
  <c r="BA35" i="5"/>
  <c r="BA19" i="5"/>
  <c r="BA65" i="5"/>
  <c r="BA57" i="5"/>
  <c r="BA49" i="5"/>
  <c r="BA41" i="5"/>
  <c r="BA33" i="5"/>
  <c r="BA25" i="5"/>
  <c r="BS65" i="5"/>
  <c r="BS57" i="5"/>
  <c r="BA64" i="5"/>
  <c r="BA32" i="5"/>
  <c r="BA63" i="5"/>
  <c r="BA55" i="5"/>
  <c r="BA47" i="5"/>
  <c r="BA39" i="5"/>
  <c r="BA31" i="5"/>
  <c r="BA23" i="5"/>
  <c r="BS63" i="5"/>
  <c r="BA56" i="5"/>
  <c r="BA40" i="5"/>
  <c r="BA24" i="5"/>
  <c r="BS56" i="5"/>
  <c r="BA62" i="5"/>
  <c r="BA54" i="5"/>
  <c r="BA46" i="5"/>
  <c r="BA38" i="5"/>
  <c r="BA30" i="5"/>
  <c r="BA22" i="5"/>
  <c r="CC62" i="5"/>
  <c r="CC63" i="5"/>
  <c r="CD57" i="5"/>
  <c r="CD59" i="5"/>
  <c r="CD61" i="5"/>
  <c r="CD63" i="5"/>
  <c r="CD65" i="5"/>
  <c r="CC56" i="5"/>
  <c r="CC64" i="5"/>
  <c r="CC57" i="5"/>
  <c r="CC65" i="5"/>
  <c r="CC58" i="5"/>
  <c r="CC66" i="5"/>
  <c r="CC59" i="5"/>
  <c r="CD56" i="5"/>
  <c r="CD58" i="5"/>
  <c r="CD60" i="5"/>
  <c r="CD62" i="5"/>
  <c r="CD64" i="5"/>
  <c r="CD66" i="5"/>
  <c r="CC60" i="5"/>
  <c r="CC61" i="5"/>
  <c r="AJ30" i="13"/>
  <c r="AJ32" i="13"/>
  <c r="AJ34" i="13"/>
  <c r="AJ36" i="13"/>
  <c r="AJ38" i="13"/>
  <c r="AJ40" i="13"/>
  <c r="AJ42" i="13"/>
  <c r="AJ44" i="13"/>
  <c r="AJ46" i="13"/>
  <c r="AJ48" i="13"/>
  <c r="AJ50" i="13"/>
  <c r="AJ52" i="13"/>
  <c r="AJ54" i="13"/>
  <c r="AJ56" i="13"/>
  <c r="AJ58" i="13"/>
  <c r="AJ60" i="13"/>
  <c r="AJ62" i="13"/>
  <c r="AJ64" i="13"/>
  <c r="AJ66" i="13"/>
  <c r="BK8" i="5"/>
  <c r="BK10" i="5"/>
  <c r="BK12" i="5"/>
  <c r="BK14" i="5"/>
  <c r="BK16" i="5"/>
  <c r="BK18" i="5"/>
  <c r="BK20" i="5"/>
  <c r="BK22" i="5"/>
  <c r="BK24" i="5"/>
  <c r="BK26" i="5"/>
  <c r="BK28" i="5"/>
  <c r="BK30" i="5"/>
  <c r="BK32" i="5"/>
  <c r="BK34" i="5"/>
  <c r="BK36" i="5"/>
  <c r="BK38" i="5"/>
  <c r="BK40" i="5"/>
  <c r="BK46" i="5"/>
  <c r="BK48" i="5"/>
  <c r="BK54" i="5"/>
  <c r="BK62" i="5"/>
  <c r="BL64" i="5"/>
  <c r="AT30" i="13"/>
  <c r="AT32" i="13"/>
  <c r="AT34" i="13"/>
  <c r="AT36" i="13"/>
  <c r="AT38" i="13"/>
  <c r="AT40" i="13"/>
  <c r="AT42" i="13"/>
  <c r="AT44" i="13"/>
  <c r="AT46" i="13"/>
  <c r="AT48" i="13"/>
  <c r="AT50" i="13"/>
  <c r="AT52" i="13"/>
  <c r="AT54" i="13"/>
  <c r="AT56" i="13"/>
  <c r="AT58" i="13"/>
  <c r="AT60" i="13"/>
  <c r="AT62" i="13"/>
  <c r="AT64" i="13"/>
  <c r="AT66" i="13"/>
  <c r="BL8" i="5"/>
  <c r="BL10" i="5"/>
  <c r="BL12" i="5"/>
  <c r="BL14" i="5"/>
  <c r="BL16" i="5"/>
  <c r="BL18" i="5"/>
  <c r="BL20" i="5"/>
  <c r="BL22" i="5"/>
  <c r="BL24" i="5"/>
  <c r="BL26" i="5"/>
  <c r="BL28" i="5"/>
  <c r="BL30" i="5"/>
  <c r="BL32" i="5"/>
  <c r="BL34" i="5"/>
  <c r="BL36" i="5"/>
  <c r="BL38" i="5"/>
  <c r="BL40" i="5"/>
  <c r="BL42" i="5"/>
  <c r="BL44" i="5"/>
  <c r="BL46" i="5"/>
  <c r="BL48" i="5"/>
  <c r="BL50" i="5"/>
  <c r="BL52" i="5"/>
  <c r="BL54" i="5"/>
  <c r="BL56" i="5"/>
  <c r="BL58" i="5"/>
  <c r="BL60" i="5"/>
  <c r="BL66" i="5"/>
  <c r="AU30" i="13"/>
  <c r="AU32" i="13"/>
  <c r="AU34" i="13"/>
  <c r="AU36" i="13"/>
  <c r="AU38" i="13"/>
  <c r="AU40" i="13"/>
  <c r="AU42" i="13"/>
  <c r="AU44" i="13"/>
  <c r="AU46" i="13"/>
  <c r="AU48" i="13"/>
  <c r="AU50" i="13"/>
  <c r="AU52" i="13"/>
  <c r="AU54" i="13"/>
  <c r="AU56" i="13"/>
  <c r="AU58" i="13"/>
  <c r="AU60" i="13"/>
  <c r="AU62" i="13"/>
  <c r="AU64" i="13"/>
  <c r="AU66" i="13"/>
  <c r="AJ29" i="13"/>
  <c r="AJ31" i="13"/>
  <c r="AJ33" i="13"/>
  <c r="AJ35" i="13"/>
  <c r="AJ37" i="13"/>
  <c r="AJ39" i="13"/>
  <c r="AJ41" i="13"/>
  <c r="AJ43" i="13"/>
  <c r="AJ45" i="13"/>
  <c r="AJ47" i="13"/>
  <c r="AJ49" i="13"/>
  <c r="AJ51" i="13"/>
  <c r="AJ53" i="13"/>
  <c r="AJ55" i="13"/>
  <c r="AJ57" i="13"/>
  <c r="AJ59" i="13"/>
  <c r="AJ61" i="13"/>
  <c r="AJ63" i="13"/>
  <c r="AJ65" i="13"/>
  <c r="BK9" i="5"/>
  <c r="BK11" i="5"/>
  <c r="BK13" i="5"/>
  <c r="BK15" i="5"/>
  <c r="BK17" i="5"/>
  <c r="BK19" i="5"/>
  <c r="BK21" i="5"/>
  <c r="BK23" i="5"/>
  <c r="BK25" i="5"/>
  <c r="BK27" i="5"/>
  <c r="BK29" i="5"/>
  <c r="BK31" i="5"/>
  <c r="BK33" i="5"/>
  <c r="BK35" i="5"/>
  <c r="BK37" i="5"/>
  <c r="BK39" i="5"/>
  <c r="BK41" i="5"/>
  <c r="BK43" i="5"/>
  <c r="BK45" i="5"/>
  <c r="BK47" i="5"/>
  <c r="BK49" i="5"/>
  <c r="BK51" i="5"/>
  <c r="BK53" i="5"/>
  <c r="BK55" i="5"/>
  <c r="BK57" i="5"/>
  <c r="BK59" i="5"/>
  <c r="BK61" i="5"/>
  <c r="BK63" i="5"/>
  <c r="BK65" i="5"/>
  <c r="BL7" i="5"/>
  <c r="BA11" i="5"/>
  <c r="BA17" i="5"/>
  <c r="BA10" i="5"/>
  <c r="AT29" i="13"/>
  <c r="AT31" i="13"/>
  <c r="AT33" i="13"/>
  <c r="AT35" i="13"/>
  <c r="AT37" i="13"/>
  <c r="AT39" i="13"/>
  <c r="AT41" i="13"/>
  <c r="AT43" i="13"/>
  <c r="AT45" i="13"/>
  <c r="AT47" i="13"/>
  <c r="AT49" i="13"/>
  <c r="AT51" i="13"/>
  <c r="AT53" i="13"/>
  <c r="AT55" i="13"/>
  <c r="AT57" i="13"/>
  <c r="AT59" i="13"/>
  <c r="AT61" i="13"/>
  <c r="AT63" i="13"/>
  <c r="AT65" i="13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L49" i="5"/>
  <c r="BL51" i="5"/>
  <c r="BL53" i="5"/>
  <c r="BL55" i="5"/>
  <c r="BL57" i="5"/>
  <c r="BL59" i="5"/>
  <c r="BL61" i="5"/>
  <c r="BL63" i="5"/>
  <c r="BL65" i="5"/>
  <c r="BA12" i="5"/>
  <c r="AU29" i="13"/>
  <c r="AU31" i="13"/>
  <c r="AU33" i="13"/>
  <c r="AU35" i="13"/>
  <c r="AU37" i="13"/>
  <c r="AU39" i="13"/>
  <c r="AU41" i="13"/>
  <c r="AU43" i="13"/>
  <c r="AU45" i="13"/>
  <c r="AU47" i="13"/>
  <c r="AU49" i="13"/>
  <c r="AU51" i="13"/>
  <c r="AU53" i="13"/>
  <c r="AU55" i="13"/>
  <c r="AU57" i="13"/>
  <c r="AU59" i="13"/>
  <c r="AU61" i="13"/>
  <c r="AU63" i="13"/>
  <c r="AU65" i="13"/>
  <c r="BA13" i="5"/>
  <c r="BK44" i="5"/>
  <c r="BK50" i="5"/>
  <c r="BK56" i="5"/>
  <c r="BK60" i="5"/>
  <c r="BK66" i="5"/>
  <c r="BA15" i="5"/>
  <c r="BA16" i="5"/>
  <c r="BA9" i="5"/>
  <c r="BK7" i="5"/>
  <c r="BA14" i="5"/>
  <c r="BK42" i="5"/>
  <c r="BK52" i="5"/>
  <c r="BK58" i="5"/>
  <c r="BK64" i="5"/>
  <c r="BA7" i="5"/>
  <c r="BL62" i="5"/>
  <c r="BA8" i="5"/>
  <c r="BA60" i="5"/>
  <c r="BA52" i="5"/>
  <c r="BA44" i="5"/>
  <c r="BA36" i="5"/>
  <c r="BA28" i="5"/>
  <c r="BA20" i="5"/>
  <c r="BS60" i="5"/>
  <c r="BA48" i="5"/>
  <c r="BS64" i="5"/>
  <c r="D5" i="31"/>
  <c r="B3" i="31"/>
  <c r="AW67" i="18" l="1"/>
  <c r="AW67" i="17"/>
  <c r="AW67" i="14"/>
  <c r="AW67" i="13"/>
  <c r="AX67" i="18"/>
  <c r="AX67" i="17"/>
  <c r="AX67" i="14"/>
  <c r="CF67" i="5"/>
  <c r="AX67" i="13"/>
  <c r="AW67" i="15"/>
  <c r="BN67" i="5"/>
  <c r="G14" i="35"/>
  <c r="H14" i="35"/>
  <c r="I14" i="35"/>
  <c r="C18" i="35"/>
  <c r="G27" i="35"/>
  <c r="G26" i="35"/>
  <c r="J16" i="35"/>
  <c r="E16" i="35"/>
  <c r="J15" i="35"/>
  <c r="E15" i="35"/>
  <c r="G8" i="35"/>
  <c r="G7" i="35"/>
  <c r="G14" i="34"/>
  <c r="H14" i="34"/>
  <c r="I14" i="34"/>
  <c r="C27" i="34"/>
  <c r="J18" i="34"/>
  <c r="J17" i="34"/>
  <c r="J16" i="34"/>
  <c r="J15" i="34"/>
  <c r="E18" i="34"/>
  <c r="E16" i="34"/>
  <c r="E17" i="34"/>
  <c r="E15" i="34"/>
  <c r="G27" i="34"/>
  <c r="G26" i="34"/>
  <c r="G8" i="34"/>
  <c r="G7" i="34"/>
  <c r="J14" i="35" l="1"/>
  <c r="H21" i="34"/>
  <c r="H34" i="34" s="1"/>
  <c r="G21" i="34"/>
  <c r="G34" i="34" s="1"/>
  <c r="H21" i="35"/>
  <c r="H34" i="35" s="1"/>
  <c r="G21" i="35"/>
  <c r="G34" i="35" s="1"/>
  <c r="J14" i="34"/>
  <c r="C18" i="34"/>
  <c r="B115" i="4"/>
  <c r="B114" i="4"/>
  <c r="B113" i="4"/>
  <c r="B112" i="4"/>
  <c r="B111" i="4"/>
  <c r="B106" i="4"/>
  <c r="B105" i="4"/>
  <c r="B104" i="4"/>
  <c r="B103" i="4"/>
  <c r="B102" i="4"/>
  <c r="I27" i="2" l="1"/>
  <c r="I26" i="2"/>
  <c r="I8" i="2"/>
  <c r="I7" i="2"/>
  <c r="B153" i="4" l="1"/>
  <c r="B152" i="4"/>
  <c r="B151" i="4"/>
  <c r="B150" i="4"/>
  <c r="B149" i="4"/>
  <c r="B144" i="4"/>
  <c r="B143" i="4"/>
  <c r="B142" i="4"/>
  <c r="B141" i="4"/>
  <c r="B140" i="4"/>
  <c r="B79" i="4"/>
  <c r="B78" i="4"/>
  <c r="B77" i="4"/>
  <c r="B76" i="4"/>
  <c r="B75" i="4"/>
  <c r="E6" i="31" l="1"/>
  <c r="F6" i="31"/>
  <c r="G6" i="31"/>
  <c r="H6" i="31"/>
  <c r="I6" i="31"/>
  <c r="J6" i="31"/>
  <c r="K6" i="31"/>
  <c r="M6" i="31"/>
  <c r="N6" i="31"/>
  <c r="O6" i="31"/>
  <c r="P6" i="31"/>
  <c r="D6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7" i="31"/>
  <c r="D56" i="30"/>
  <c r="E56" i="30"/>
  <c r="F56" i="30"/>
  <c r="G56" i="30"/>
  <c r="H56" i="30"/>
  <c r="I56" i="30"/>
  <c r="J56" i="30"/>
  <c r="K56" i="30"/>
  <c r="M56" i="30"/>
  <c r="N56" i="30"/>
  <c r="O56" i="30"/>
  <c r="P56" i="30"/>
  <c r="D57" i="30"/>
  <c r="E57" i="30"/>
  <c r="F57" i="30"/>
  <c r="G57" i="30"/>
  <c r="H57" i="30"/>
  <c r="I57" i="30"/>
  <c r="J57" i="30"/>
  <c r="K57" i="30"/>
  <c r="M57" i="30"/>
  <c r="N57" i="30"/>
  <c r="O57" i="30"/>
  <c r="P57" i="30"/>
  <c r="D58" i="30"/>
  <c r="E58" i="30"/>
  <c r="F58" i="30"/>
  <c r="G58" i="30"/>
  <c r="H58" i="30"/>
  <c r="I58" i="30"/>
  <c r="J58" i="30"/>
  <c r="K58" i="30"/>
  <c r="M58" i="30"/>
  <c r="N58" i="30"/>
  <c r="O58" i="30"/>
  <c r="P58" i="30"/>
  <c r="D59" i="30"/>
  <c r="E59" i="30"/>
  <c r="F59" i="30"/>
  <c r="G59" i="30"/>
  <c r="H59" i="30"/>
  <c r="I59" i="30"/>
  <c r="J59" i="30"/>
  <c r="K59" i="30"/>
  <c r="M59" i="30"/>
  <c r="N59" i="30"/>
  <c r="O59" i="30"/>
  <c r="P59" i="30"/>
  <c r="D60" i="30"/>
  <c r="E60" i="30"/>
  <c r="F60" i="30"/>
  <c r="G60" i="30"/>
  <c r="H60" i="30"/>
  <c r="I60" i="30"/>
  <c r="J60" i="30"/>
  <c r="K60" i="30"/>
  <c r="M60" i="30"/>
  <c r="N60" i="30"/>
  <c r="O60" i="30"/>
  <c r="P60" i="30"/>
  <c r="D61" i="30"/>
  <c r="E61" i="30"/>
  <c r="F61" i="30"/>
  <c r="G61" i="30"/>
  <c r="H61" i="30"/>
  <c r="I61" i="30"/>
  <c r="J61" i="30"/>
  <c r="K61" i="30"/>
  <c r="M61" i="30"/>
  <c r="N61" i="30"/>
  <c r="O61" i="30"/>
  <c r="P61" i="30"/>
  <c r="D62" i="30"/>
  <c r="E62" i="30"/>
  <c r="F62" i="30"/>
  <c r="G62" i="30"/>
  <c r="H62" i="30"/>
  <c r="I62" i="30"/>
  <c r="J62" i="30"/>
  <c r="K62" i="30"/>
  <c r="M62" i="30"/>
  <c r="N62" i="30"/>
  <c r="O62" i="30"/>
  <c r="P62" i="30"/>
  <c r="D63" i="30"/>
  <c r="E63" i="30"/>
  <c r="F63" i="30"/>
  <c r="G63" i="30"/>
  <c r="H63" i="30"/>
  <c r="I63" i="30"/>
  <c r="J63" i="30"/>
  <c r="K63" i="30"/>
  <c r="M63" i="30"/>
  <c r="N63" i="30"/>
  <c r="O63" i="30"/>
  <c r="P63" i="30"/>
  <c r="D64" i="30"/>
  <c r="E64" i="30"/>
  <c r="F64" i="30"/>
  <c r="G64" i="30"/>
  <c r="H64" i="30"/>
  <c r="I64" i="30"/>
  <c r="J64" i="30"/>
  <c r="K64" i="30"/>
  <c r="M64" i="30"/>
  <c r="N64" i="30"/>
  <c r="O64" i="30"/>
  <c r="P64" i="30"/>
  <c r="D65" i="30"/>
  <c r="E65" i="30"/>
  <c r="F65" i="30"/>
  <c r="G65" i="30"/>
  <c r="H65" i="30"/>
  <c r="I65" i="30"/>
  <c r="J65" i="30"/>
  <c r="K65" i="30"/>
  <c r="M65" i="30"/>
  <c r="N65" i="30"/>
  <c r="O65" i="30"/>
  <c r="P65" i="30"/>
  <c r="D66" i="30"/>
  <c r="E66" i="30"/>
  <c r="F66" i="30"/>
  <c r="G66" i="30"/>
  <c r="H66" i="30"/>
  <c r="I66" i="30"/>
  <c r="J66" i="30"/>
  <c r="K66" i="30"/>
  <c r="M66" i="30"/>
  <c r="N66" i="30"/>
  <c r="O66" i="30"/>
  <c r="P66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7" i="30"/>
  <c r="T56" i="18"/>
  <c r="AJ56" i="18" s="1"/>
  <c r="U56" i="18"/>
  <c r="AK56" i="18" s="1"/>
  <c r="V56" i="18"/>
  <c r="AL56" i="18" s="1"/>
  <c r="W56" i="18"/>
  <c r="AM56" i="18" s="1"/>
  <c r="X56" i="18"/>
  <c r="AN56" i="18" s="1"/>
  <c r="Y56" i="18"/>
  <c r="AO56" i="18" s="1"/>
  <c r="Z56" i="18"/>
  <c r="AP56" i="18" s="1"/>
  <c r="AA56" i="18"/>
  <c r="AQ56" i="18" s="1"/>
  <c r="AC56" i="18"/>
  <c r="AS56" i="18" s="1"/>
  <c r="AD56" i="18"/>
  <c r="AT56" i="18" s="1"/>
  <c r="AE56" i="18"/>
  <c r="AU56" i="18" s="1"/>
  <c r="AF56" i="18"/>
  <c r="AV56" i="18" s="1"/>
  <c r="T57" i="18"/>
  <c r="AJ57" i="18" s="1"/>
  <c r="U57" i="18"/>
  <c r="AK57" i="18" s="1"/>
  <c r="V57" i="18"/>
  <c r="AL57" i="18" s="1"/>
  <c r="W57" i="18"/>
  <c r="AM57" i="18" s="1"/>
  <c r="X57" i="18"/>
  <c r="AN57" i="18" s="1"/>
  <c r="Y57" i="18"/>
  <c r="AO57" i="18" s="1"/>
  <c r="Z57" i="18"/>
  <c r="AP57" i="18" s="1"/>
  <c r="AA57" i="18"/>
  <c r="AQ57" i="18" s="1"/>
  <c r="AC57" i="18"/>
  <c r="AS57" i="18" s="1"/>
  <c r="AD57" i="18"/>
  <c r="AT57" i="18" s="1"/>
  <c r="AE57" i="18"/>
  <c r="AU57" i="18" s="1"/>
  <c r="AF57" i="18"/>
  <c r="AV57" i="18" s="1"/>
  <c r="T58" i="18"/>
  <c r="AJ58" i="18" s="1"/>
  <c r="U58" i="18"/>
  <c r="AK58" i="18" s="1"/>
  <c r="V58" i="18"/>
  <c r="AL58" i="18" s="1"/>
  <c r="W58" i="18"/>
  <c r="AM58" i="18" s="1"/>
  <c r="X58" i="18"/>
  <c r="AN58" i="18" s="1"/>
  <c r="Y58" i="18"/>
  <c r="AO58" i="18" s="1"/>
  <c r="Z58" i="18"/>
  <c r="AP58" i="18" s="1"/>
  <c r="AA58" i="18"/>
  <c r="AQ58" i="18" s="1"/>
  <c r="AC58" i="18"/>
  <c r="AS58" i="18" s="1"/>
  <c r="AD58" i="18"/>
  <c r="AT58" i="18" s="1"/>
  <c r="AE58" i="18"/>
  <c r="AU58" i="18" s="1"/>
  <c r="AF58" i="18"/>
  <c r="AV58" i="18" s="1"/>
  <c r="T59" i="18"/>
  <c r="AJ59" i="18" s="1"/>
  <c r="U59" i="18"/>
  <c r="AK59" i="18" s="1"/>
  <c r="V59" i="18"/>
  <c r="AL59" i="18" s="1"/>
  <c r="W59" i="18"/>
  <c r="AM59" i="18" s="1"/>
  <c r="X59" i="18"/>
  <c r="AN59" i="18" s="1"/>
  <c r="Y59" i="18"/>
  <c r="AO59" i="18" s="1"/>
  <c r="Z59" i="18"/>
  <c r="AP59" i="18" s="1"/>
  <c r="AA59" i="18"/>
  <c r="AQ59" i="18" s="1"/>
  <c r="AC59" i="18"/>
  <c r="AS59" i="18" s="1"/>
  <c r="AD59" i="18"/>
  <c r="AT59" i="18" s="1"/>
  <c r="AE59" i="18"/>
  <c r="AU59" i="18" s="1"/>
  <c r="AF59" i="18"/>
  <c r="AV59" i="18" s="1"/>
  <c r="T60" i="18"/>
  <c r="AJ60" i="18" s="1"/>
  <c r="U60" i="18"/>
  <c r="AK60" i="18" s="1"/>
  <c r="V60" i="18"/>
  <c r="AL60" i="18" s="1"/>
  <c r="W60" i="18"/>
  <c r="AM60" i="18" s="1"/>
  <c r="X60" i="18"/>
  <c r="AN60" i="18" s="1"/>
  <c r="Y60" i="18"/>
  <c r="AO60" i="18" s="1"/>
  <c r="Z60" i="18"/>
  <c r="AP60" i="18" s="1"/>
  <c r="AA60" i="18"/>
  <c r="AQ60" i="18" s="1"/>
  <c r="AC60" i="18"/>
  <c r="AS60" i="18" s="1"/>
  <c r="AD60" i="18"/>
  <c r="AT60" i="18" s="1"/>
  <c r="AE60" i="18"/>
  <c r="AU60" i="18" s="1"/>
  <c r="AF60" i="18"/>
  <c r="AV60" i="18" s="1"/>
  <c r="T61" i="18"/>
  <c r="AJ61" i="18" s="1"/>
  <c r="U61" i="18"/>
  <c r="AK61" i="18" s="1"/>
  <c r="V61" i="18"/>
  <c r="AL61" i="18" s="1"/>
  <c r="W61" i="18"/>
  <c r="AM61" i="18" s="1"/>
  <c r="X61" i="18"/>
  <c r="AN61" i="18" s="1"/>
  <c r="Y61" i="18"/>
  <c r="AO61" i="18" s="1"/>
  <c r="Z61" i="18"/>
  <c r="AP61" i="18" s="1"/>
  <c r="AA61" i="18"/>
  <c r="AQ61" i="18" s="1"/>
  <c r="AC61" i="18"/>
  <c r="AS61" i="18" s="1"/>
  <c r="AD61" i="18"/>
  <c r="AT61" i="18" s="1"/>
  <c r="AE61" i="18"/>
  <c r="AU61" i="18" s="1"/>
  <c r="AF61" i="18"/>
  <c r="AV61" i="18" s="1"/>
  <c r="T62" i="18"/>
  <c r="AJ62" i="18" s="1"/>
  <c r="U62" i="18"/>
  <c r="AK62" i="18" s="1"/>
  <c r="V62" i="18"/>
  <c r="AL62" i="18" s="1"/>
  <c r="W62" i="18"/>
  <c r="AM62" i="18" s="1"/>
  <c r="X62" i="18"/>
  <c r="AN62" i="18" s="1"/>
  <c r="Y62" i="18"/>
  <c r="AO62" i="18" s="1"/>
  <c r="Z62" i="18"/>
  <c r="AP62" i="18" s="1"/>
  <c r="AA62" i="18"/>
  <c r="AQ62" i="18" s="1"/>
  <c r="AC62" i="18"/>
  <c r="AS62" i="18" s="1"/>
  <c r="AD62" i="18"/>
  <c r="AT62" i="18" s="1"/>
  <c r="AE62" i="18"/>
  <c r="AU62" i="18" s="1"/>
  <c r="AF62" i="18"/>
  <c r="AV62" i="18" s="1"/>
  <c r="T63" i="18"/>
  <c r="AJ63" i="18" s="1"/>
  <c r="U63" i="18"/>
  <c r="AK63" i="18" s="1"/>
  <c r="V63" i="18"/>
  <c r="AL63" i="18" s="1"/>
  <c r="W63" i="18"/>
  <c r="AM63" i="18" s="1"/>
  <c r="X63" i="18"/>
  <c r="AN63" i="18" s="1"/>
  <c r="Y63" i="18"/>
  <c r="AO63" i="18" s="1"/>
  <c r="Z63" i="18"/>
  <c r="AP63" i="18" s="1"/>
  <c r="AA63" i="18"/>
  <c r="AQ63" i="18" s="1"/>
  <c r="AC63" i="18"/>
  <c r="AS63" i="18" s="1"/>
  <c r="AD63" i="18"/>
  <c r="AT63" i="18" s="1"/>
  <c r="AE63" i="18"/>
  <c r="AU63" i="18" s="1"/>
  <c r="AF63" i="18"/>
  <c r="AV63" i="18" s="1"/>
  <c r="T64" i="18"/>
  <c r="AJ64" i="18" s="1"/>
  <c r="U64" i="18"/>
  <c r="AK64" i="18" s="1"/>
  <c r="V64" i="18"/>
  <c r="AL64" i="18" s="1"/>
  <c r="W64" i="18"/>
  <c r="AM64" i="18" s="1"/>
  <c r="X64" i="18"/>
  <c r="AN64" i="18" s="1"/>
  <c r="Y64" i="18"/>
  <c r="AO64" i="18" s="1"/>
  <c r="Z64" i="18"/>
  <c r="AP64" i="18" s="1"/>
  <c r="AA64" i="18"/>
  <c r="AQ64" i="18" s="1"/>
  <c r="AC64" i="18"/>
  <c r="AS64" i="18" s="1"/>
  <c r="AD64" i="18"/>
  <c r="AT64" i="18" s="1"/>
  <c r="AE64" i="18"/>
  <c r="AU64" i="18" s="1"/>
  <c r="AF64" i="18"/>
  <c r="AV64" i="18" s="1"/>
  <c r="T65" i="18"/>
  <c r="AJ65" i="18" s="1"/>
  <c r="U65" i="18"/>
  <c r="AK65" i="18" s="1"/>
  <c r="V65" i="18"/>
  <c r="AL65" i="18" s="1"/>
  <c r="W65" i="18"/>
  <c r="AM65" i="18" s="1"/>
  <c r="X65" i="18"/>
  <c r="AN65" i="18" s="1"/>
  <c r="Y65" i="18"/>
  <c r="AO65" i="18" s="1"/>
  <c r="Z65" i="18"/>
  <c r="AP65" i="18" s="1"/>
  <c r="AA65" i="18"/>
  <c r="AQ65" i="18" s="1"/>
  <c r="AC65" i="18"/>
  <c r="AS65" i="18" s="1"/>
  <c r="AD65" i="18"/>
  <c r="AT65" i="18" s="1"/>
  <c r="AE65" i="18"/>
  <c r="AU65" i="18" s="1"/>
  <c r="AF65" i="18"/>
  <c r="AV65" i="18" s="1"/>
  <c r="T66" i="18"/>
  <c r="AJ66" i="18" s="1"/>
  <c r="U66" i="18"/>
  <c r="AK66" i="18" s="1"/>
  <c r="V66" i="18"/>
  <c r="AL66" i="18" s="1"/>
  <c r="W66" i="18"/>
  <c r="AM66" i="18" s="1"/>
  <c r="X66" i="18"/>
  <c r="AN66" i="18" s="1"/>
  <c r="Y66" i="18"/>
  <c r="AO66" i="18" s="1"/>
  <c r="Z66" i="18"/>
  <c r="AP66" i="18" s="1"/>
  <c r="AA66" i="18"/>
  <c r="AQ66" i="18" s="1"/>
  <c r="AC66" i="18"/>
  <c r="AS66" i="18" s="1"/>
  <c r="AD66" i="18"/>
  <c r="AT66" i="18" s="1"/>
  <c r="AE66" i="18"/>
  <c r="AU66" i="18" s="1"/>
  <c r="AF66" i="18"/>
  <c r="AV66" i="18" s="1"/>
  <c r="T56" i="17"/>
  <c r="AJ56" i="17" s="1"/>
  <c r="U56" i="17"/>
  <c r="AK56" i="17" s="1"/>
  <c r="V56" i="17"/>
  <c r="AL56" i="17" s="1"/>
  <c r="W56" i="17"/>
  <c r="AM56" i="17" s="1"/>
  <c r="X56" i="17"/>
  <c r="AN56" i="17" s="1"/>
  <c r="Y56" i="17"/>
  <c r="AO56" i="17" s="1"/>
  <c r="Z56" i="17"/>
  <c r="AP56" i="17" s="1"/>
  <c r="AA56" i="17"/>
  <c r="AQ56" i="17" s="1"/>
  <c r="AC56" i="17"/>
  <c r="AS56" i="17" s="1"/>
  <c r="AD56" i="17"/>
  <c r="AT56" i="17" s="1"/>
  <c r="AE56" i="17"/>
  <c r="AU56" i="17" s="1"/>
  <c r="AF56" i="17"/>
  <c r="AV56" i="17" s="1"/>
  <c r="T57" i="17"/>
  <c r="AJ57" i="17" s="1"/>
  <c r="U57" i="17"/>
  <c r="AK57" i="17" s="1"/>
  <c r="V57" i="17"/>
  <c r="AL57" i="17" s="1"/>
  <c r="W57" i="17"/>
  <c r="AM57" i="17" s="1"/>
  <c r="X57" i="17"/>
  <c r="AN57" i="17" s="1"/>
  <c r="Y57" i="17"/>
  <c r="AO57" i="17" s="1"/>
  <c r="Z57" i="17"/>
  <c r="AP57" i="17" s="1"/>
  <c r="AA57" i="17"/>
  <c r="AQ57" i="17" s="1"/>
  <c r="AC57" i="17"/>
  <c r="AS57" i="17" s="1"/>
  <c r="AD57" i="17"/>
  <c r="AT57" i="17" s="1"/>
  <c r="AE57" i="17"/>
  <c r="AU57" i="17" s="1"/>
  <c r="AF57" i="17"/>
  <c r="AV57" i="17" s="1"/>
  <c r="T58" i="17"/>
  <c r="AJ58" i="17" s="1"/>
  <c r="U58" i="17"/>
  <c r="AK58" i="17" s="1"/>
  <c r="V58" i="17"/>
  <c r="AL58" i="17" s="1"/>
  <c r="W58" i="17"/>
  <c r="AM58" i="17" s="1"/>
  <c r="X58" i="17"/>
  <c r="AN58" i="17" s="1"/>
  <c r="Y58" i="17"/>
  <c r="AO58" i="17" s="1"/>
  <c r="Z58" i="17"/>
  <c r="AP58" i="17" s="1"/>
  <c r="AA58" i="17"/>
  <c r="AQ58" i="17" s="1"/>
  <c r="AC58" i="17"/>
  <c r="AS58" i="17" s="1"/>
  <c r="AD58" i="17"/>
  <c r="AT58" i="17" s="1"/>
  <c r="AE58" i="17"/>
  <c r="AU58" i="17" s="1"/>
  <c r="AF58" i="17"/>
  <c r="AV58" i="17" s="1"/>
  <c r="T59" i="17"/>
  <c r="AJ59" i="17" s="1"/>
  <c r="U59" i="17"/>
  <c r="AK59" i="17" s="1"/>
  <c r="V59" i="17"/>
  <c r="AL59" i="17" s="1"/>
  <c r="W59" i="17"/>
  <c r="AM59" i="17" s="1"/>
  <c r="X59" i="17"/>
  <c r="AN59" i="17" s="1"/>
  <c r="Y59" i="17"/>
  <c r="AO59" i="17" s="1"/>
  <c r="Z59" i="17"/>
  <c r="AP59" i="17" s="1"/>
  <c r="AA59" i="17"/>
  <c r="AQ59" i="17" s="1"/>
  <c r="AC59" i="17"/>
  <c r="AS59" i="17" s="1"/>
  <c r="AD59" i="17"/>
  <c r="AT59" i="17" s="1"/>
  <c r="AE59" i="17"/>
  <c r="AU59" i="17" s="1"/>
  <c r="AF59" i="17"/>
  <c r="AV59" i="17" s="1"/>
  <c r="T60" i="17"/>
  <c r="AJ60" i="17" s="1"/>
  <c r="U60" i="17"/>
  <c r="AK60" i="17" s="1"/>
  <c r="V60" i="17"/>
  <c r="AL60" i="17" s="1"/>
  <c r="W60" i="17"/>
  <c r="AM60" i="17" s="1"/>
  <c r="X60" i="17"/>
  <c r="AN60" i="17" s="1"/>
  <c r="Y60" i="17"/>
  <c r="AO60" i="17" s="1"/>
  <c r="Z60" i="17"/>
  <c r="AP60" i="17" s="1"/>
  <c r="AA60" i="17"/>
  <c r="AQ60" i="17" s="1"/>
  <c r="AC60" i="17"/>
  <c r="AS60" i="17" s="1"/>
  <c r="AD60" i="17"/>
  <c r="AT60" i="17" s="1"/>
  <c r="AE60" i="17"/>
  <c r="AU60" i="17" s="1"/>
  <c r="AF60" i="17"/>
  <c r="AV60" i="17" s="1"/>
  <c r="T61" i="17"/>
  <c r="AJ61" i="17" s="1"/>
  <c r="U61" i="17"/>
  <c r="AK61" i="17" s="1"/>
  <c r="V61" i="17"/>
  <c r="AL61" i="17" s="1"/>
  <c r="W61" i="17"/>
  <c r="AM61" i="17" s="1"/>
  <c r="X61" i="17"/>
  <c r="AN61" i="17" s="1"/>
  <c r="Y61" i="17"/>
  <c r="AO61" i="17" s="1"/>
  <c r="Z61" i="17"/>
  <c r="AP61" i="17" s="1"/>
  <c r="AA61" i="17"/>
  <c r="AQ61" i="17" s="1"/>
  <c r="AC61" i="17"/>
  <c r="AS61" i="17" s="1"/>
  <c r="AD61" i="17"/>
  <c r="AT61" i="17" s="1"/>
  <c r="AE61" i="17"/>
  <c r="AU61" i="17" s="1"/>
  <c r="AF61" i="17"/>
  <c r="AV61" i="17" s="1"/>
  <c r="T62" i="17"/>
  <c r="AJ62" i="17" s="1"/>
  <c r="U62" i="17"/>
  <c r="AK62" i="17" s="1"/>
  <c r="V62" i="17"/>
  <c r="AL62" i="17" s="1"/>
  <c r="W62" i="17"/>
  <c r="AM62" i="17" s="1"/>
  <c r="X62" i="17"/>
  <c r="AN62" i="17" s="1"/>
  <c r="Y62" i="17"/>
  <c r="AO62" i="17" s="1"/>
  <c r="Z62" i="17"/>
  <c r="AP62" i="17" s="1"/>
  <c r="AA62" i="17"/>
  <c r="AQ62" i="17" s="1"/>
  <c r="AC62" i="17"/>
  <c r="AS62" i="17" s="1"/>
  <c r="AD62" i="17"/>
  <c r="AT62" i="17" s="1"/>
  <c r="AE62" i="17"/>
  <c r="AU62" i="17" s="1"/>
  <c r="AF62" i="17"/>
  <c r="AV62" i="17" s="1"/>
  <c r="T63" i="17"/>
  <c r="AJ63" i="17" s="1"/>
  <c r="U63" i="17"/>
  <c r="AK63" i="17" s="1"/>
  <c r="V63" i="17"/>
  <c r="AL63" i="17" s="1"/>
  <c r="W63" i="17"/>
  <c r="AM63" i="17" s="1"/>
  <c r="X63" i="17"/>
  <c r="AN63" i="17" s="1"/>
  <c r="Y63" i="17"/>
  <c r="AO63" i="17" s="1"/>
  <c r="Z63" i="17"/>
  <c r="AP63" i="17" s="1"/>
  <c r="AA63" i="17"/>
  <c r="AQ63" i="17" s="1"/>
  <c r="AC63" i="17"/>
  <c r="AS63" i="17" s="1"/>
  <c r="AD63" i="17"/>
  <c r="AT63" i="17" s="1"/>
  <c r="AE63" i="17"/>
  <c r="AU63" i="17" s="1"/>
  <c r="AF63" i="17"/>
  <c r="AV63" i="17" s="1"/>
  <c r="T64" i="17"/>
  <c r="AJ64" i="17" s="1"/>
  <c r="U64" i="17"/>
  <c r="AK64" i="17" s="1"/>
  <c r="V64" i="17"/>
  <c r="AL64" i="17" s="1"/>
  <c r="W64" i="17"/>
  <c r="AM64" i="17" s="1"/>
  <c r="X64" i="17"/>
  <c r="AN64" i="17" s="1"/>
  <c r="Y64" i="17"/>
  <c r="AO64" i="17" s="1"/>
  <c r="Z64" i="17"/>
  <c r="AP64" i="17" s="1"/>
  <c r="AA64" i="17"/>
  <c r="AQ64" i="17" s="1"/>
  <c r="AC64" i="17"/>
  <c r="AS64" i="17" s="1"/>
  <c r="AD64" i="17"/>
  <c r="AT64" i="17" s="1"/>
  <c r="AE64" i="17"/>
  <c r="AU64" i="17" s="1"/>
  <c r="AF64" i="17"/>
  <c r="AV64" i="17" s="1"/>
  <c r="T65" i="17"/>
  <c r="AJ65" i="17" s="1"/>
  <c r="U65" i="17"/>
  <c r="AK65" i="17" s="1"/>
  <c r="V65" i="17"/>
  <c r="AL65" i="17" s="1"/>
  <c r="W65" i="17"/>
  <c r="AM65" i="17" s="1"/>
  <c r="X65" i="17"/>
  <c r="AN65" i="17" s="1"/>
  <c r="Y65" i="17"/>
  <c r="AO65" i="17" s="1"/>
  <c r="Z65" i="17"/>
  <c r="AP65" i="17" s="1"/>
  <c r="AA65" i="17"/>
  <c r="AQ65" i="17" s="1"/>
  <c r="AC65" i="17"/>
  <c r="AS65" i="17" s="1"/>
  <c r="AD65" i="17"/>
  <c r="AT65" i="17" s="1"/>
  <c r="AE65" i="17"/>
  <c r="AU65" i="17" s="1"/>
  <c r="AF65" i="17"/>
  <c r="AV65" i="17" s="1"/>
  <c r="T66" i="17"/>
  <c r="AJ66" i="17" s="1"/>
  <c r="U66" i="17"/>
  <c r="AK66" i="17" s="1"/>
  <c r="V66" i="17"/>
  <c r="AL66" i="17" s="1"/>
  <c r="W66" i="17"/>
  <c r="AM66" i="17" s="1"/>
  <c r="X66" i="17"/>
  <c r="AN66" i="17" s="1"/>
  <c r="Y66" i="17"/>
  <c r="AO66" i="17" s="1"/>
  <c r="Z66" i="17"/>
  <c r="AP66" i="17" s="1"/>
  <c r="AA66" i="17"/>
  <c r="AQ66" i="17" s="1"/>
  <c r="AC66" i="17"/>
  <c r="AS66" i="17" s="1"/>
  <c r="AD66" i="17"/>
  <c r="AT66" i="17" s="1"/>
  <c r="AE66" i="17"/>
  <c r="AU66" i="17" s="1"/>
  <c r="AF66" i="17"/>
  <c r="AV66" i="17" s="1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7" i="17"/>
  <c r="T56" i="14"/>
  <c r="AJ56" i="14" s="1"/>
  <c r="U56" i="14"/>
  <c r="AK56" i="14" s="1"/>
  <c r="V56" i="14"/>
  <c r="AL56" i="14" s="1"/>
  <c r="W56" i="14"/>
  <c r="AM56" i="14" s="1"/>
  <c r="X56" i="14"/>
  <c r="AN56" i="14" s="1"/>
  <c r="Y56" i="14"/>
  <c r="AO56" i="14" s="1"/>
  <c r="Z56" i="14"/>
  <c r="AP56" i="14" s="1"/>
  <c r="AA56" i="14"/>
  <c r="AQ56" i="14" s="1"/>
  <c r="AC56" i="14"/>
  <c r="AS56" i="14" s="1"/>
  <c r="AD56" i="14"/>
  <c r="AT56" i="14" s="1"/>
  <c r="AE56" i="14"/>
  <c r="AU56" i="14" s="1"/>
  <c r="AF56" i="14"/>
  <c r="AV56" i="14" s="1"/>
  <c r="T57" i="14"/>
  <c r="AJ57" i="14" s="1"/>
  <c r="U57" i="14"/>
  <c r="AK57" i="14" s="1"/>
  <c r="V57" i="14"/>
  <c r="AL57" i="14" s="1"/>
  <c r="W57" i="14"/>
  <c r="AM57" i="14" s="1"/>
  <c r="X57" i="14"/>
  <c r="AN57" i="14" s="1"/>
  <c r="Y57" i="14"/>
  <c r="AO57" i="14" s="1"/>
  <c r="Z57" i="14"/>
  <c r="AP57" i="14" s="1"/>
  <c r="AA57" i="14"/>
  <c r="AQ57" i="14" s="1"/>
  <c r="AC57" i="14"/>
  <c r="AS57" i="14" s="1"/>
  <c r="AD57" i="14"/>
  <c r="AT57" i="14" s="1"/>
  <c r="AE57" i="14"/>
  <c r="AU57" i="14" s="1"/>
  <c r="AF57" i="14"/>
  <c r="AV57" i="14" s="1"/>
  <c r="T58" i="14"/>
  <c r="AJ58" i="14" s="1"/>
  <c r="U58" i="14"/>
  <c r="AK58" i="14" s="1"/>
  <c r="V58" i="14"/>
  <c r="AL58" i="14" s="1"/>
  <c r="W58" i="14"/>
  <c r="AM58" i="14" s="1"/>
  <c r="X58" i="14"/>
  <c r="AN58" i="14" s="1"/>
  <c r="Y58" i="14"/>
  <c r="AO58" i="14" s="1"/>
  <c r="Z58" i="14"/>
  <c r="AP58" i="14" s="1"/>
  <c r="AA58" i="14"/>
  <c r="AQ58" i="14" s="1"/>
  <c r="AC58" i="14"/>
  <c r="AS58" i="14" s="1"/>
  <c r="AD58" i="14"/>
  <c r="AT58" i="14" s="1"/>
  <c r="AE58" i="14"/>
  <c r="AU58" i="14" s="1"/>
  <c r="AF58" i="14"/>
  <c r="AV58" i="14" s="1"/>
  <c r="T59" i="14"/>
  <c r="AJ59" i="14" s="1"/>
  <c r="U59" i="14"/>
  <c r="AK59" i="14" s="1"/>
  <c r="V59" i="14"/>
  <c r="AL59" i="14" s="1"/>
  <c r="W59" i="14"/>
  <c r="AM59" i="14" s="1"/>
  <c r="X59" i="14"/>
  <c r="AN59" i="14" s="1"/>
  <c r="Y59" i="14"/>
  <c r="AO59" i="14" s="1"/>
  <c r="Z59" i="14"/>
  <c r="AP59" i="14" s="1"/>
  <c r="AA59" i="14"/>
  <c r="AQ59" i="14" s="1"/>
  <c r="AC59" i="14"/>
  <c r="AS59" i="14" s="1"/>
  <c r="AD59" i="14"/>
  <c r="AT59" i="14" s="1"/>
  <c r="AE59" i="14"/>
  <c r="AU59" i="14" s="1"/>
  <c r="AF59" i="14"/>
  <c r="AV59" i="14" s="1"/>
  <c r="T60" i="14"/>
  <c r="AJ60" i="14" s="1"/>
  <c r="U60" i="14"/>
  <c r="AK60" i="14" s="1"/>
  <c r="V60" i="14"/>
  <c r="AL60" i="14" s="1"/>
  <c r="W60" i="14"/>
  <c r="AM60" i="14" s="1"/>
  <c r="X60" i="14"/>
  <c r="AN60" i="14" s="1"/>
  <c r="Y60" i="14"/>
  <c r="AO60" i="14" s="1"/>
  <c r="Z60" i="14"/>
  <c r="AP60" i="14" s="1"/>
  <c r="AA60" i="14"/>
  <c r="AQ60" i="14" s="1"/>
  <c r="AC60" i="14"/>
  <c r="AS60" i="14" s="1"/>
  <c r="AD60" i="14"/>
  <c r="AT60" i="14" s="1"/>
  <c r="AE60" i="14"/>
  <c r="AU60" i="14" s="1"/>
  <c r="AF60" i="14"/>
  <c r="AV60" i="14" s="1"/>
  <c r="T61" i="14"/>
  <c r="AJ61" i="14" s="1"/>
  <c r="U61" i="14"/>
  <c r="AK61" i="14" s="1"/>
  <c r="V61" i="14"/>
  <c r="AL61" i="14" s="1"/>
  <c r="W61" i="14"/>
  <c r="AM61" i="14" s="1"/>
  <c r="X61" i="14"/>
  <c r="AN61" i="14" s="1"/>
  <c r="Y61" i="14"/>
  <c r="AO61" i="14" s="1"/>
  <c r="Z61" i="14"/>
  <c r="AP61" i="14" s="1"/>
  <c r="AA61" i="14"/>
  <c r="AQ61" i="14" s="1"/>
  <c r="AC61" i="14"/>
  <c r="AS61" i="14" s="1"/>
  <c r="AD61" i="14"/>
  <c r="AT61" i="14" s="1"/>
  <c r="AE61" i="14"/>
  <c r="AU61" i="14" s="1"/>
  <c r="AF61" i="14"/>
  <c r="AV61" i="14" s="1"/>
  <c r="T62" i="14"/>
  <c r="AJ62" i="14" s="1"/>
  <c r="U62" i="14"/>
  <c r="AK62" i="14" s="1"/>
  <c r="V62" i="14"/>
  <c r="AL62" i="14" s="1"/>
  <c r="W62" i="14"/>
  <c r="AM62" i="14" s="1"/>
  <c r="X62" i="14"/>
  <c r="AN62" i="14" s="1"/>
  <c r="Y62" i="14"/>
  <c r="AO62" i="14" s="1"/>
  <c r="Z62" i="14"/>
  <c r="AP62" i="14" s="1"/>
  <c r="AA62" i="14"/>
  <c r="AQ62" i="14" s="1"/>
  <c r="AC62" i="14"/>
  <c r="AS62" i="14" s="1"/>
  <c r="AD62" i="14"/>
  <c r="AT62" i="14" s="1"/>
  <c r="AE62" i="14"/>
  <c r="AU62" i="14" s="1"/>
  <c r="AF62" i="14"/>
  <c r="AV62" i="14" s="1"/>
  <c r="T63" i="14"/>
  <c r="AJ63" i="14" s="1"/>
  <c r="U63" i="14"/>
  <c r="AK63" i="14" s="1"/>
  <c r="V63" i="14"/>
  <c r="AL63" i="14" s="1"/>
  <c r="W63" i="14"/>
  <c r="AM63" i="14" s="1"/>
  <c r="X63" i="14"/>
  <c r="AN63" i="14" s="1"/>
  <c r="Y63" i="14"/>
  <c r="AO63" i="14" s="1"/>
  <c r="Z63" i="14"/>
  <c r="AP63" i="14" s="1"/>
  <c r="AA63" i="14"/>
  <c r="AQ63" i="14" s="1"/>
  <c r="AC63" i="14"/>
  <c r="AS63" i="14" s="1"/>
  <c r="AD63" i="14"/>
  <c r="AT63" i="14" s="1"/>
  <c r="AE63" i="14"/>
  <c r="AU63" i="14" s="1"/>
  <c r="AF63" i="14"/>
  <c r="AV63" i="14" s="1"/>
  <c r="T64" i="14"/>
  <c r="AJ64" i="14" s="1"/>
  <c r="U64" i="14"/>
  <c r="AK64" i="14" s="1"/>
  <c r="V64" i="14"/>
  <c r="AL64" i="14" s="1"/>
  <c r="W64" i="14"/>
  <c r="AM64" i="14" s="1"/>
  <c r="X64" i="14"/>
  <c r="AN64" i="14" s="1"/>
  <c r="Y64" i="14"/>
  <c r="AO64" i="14" s="1"/>
  <c r="Z64" i="14"/>
  <c r="AP64" i="14" s="1"/>
  <c r="AA64" i="14"/>
  <c r="AQ64" i="14" s="1"/>
  <c r="AC64" i="14"/>
  <c r="AS64" i="14" s="1"/>
  <c r="AD64" i="14"/>
  <c r="AT64" i="14" s="1"/>
  <c r="AE64" i="14"/>
  <c r="AU64" i="14" s="1"/>
  <c r="AF64" i="14"/>
  <c r="AV64" i="14" s="1"/>
  <c r="T65" i="14"/>
  <c r="AJ65" i="14" s="1"/>
  <c r="U65" i="14"/>
  <c r="AK65" i="14" s="1"/>
  <c r="V65" i="14"/>
  <c r="AL65" i="14" s="1"/>
  <c r="W65" i="14"/>
  <c r="AM65" i="14" s="1"/>
  <c r="X65" i="14"/>
  <c r="AN65" i="14" s="1"/>
  <c r="Y65" i="14"/>
  <c r="AO65" i="14" s="1"/>
  <c r="Z65" i="14"/>
  <c r="AP65" i="14" s="1"/>
  <c r="AA65" i="14"/>
  <c r="AQ65" i="14" s="1"/>
  <c r="AC65" i="14"/>
  <c r="AS65" i="14" s="1"/>
  <c r="AD65" i="14"/>
  <c r="AT65" i="14" s="1"/>
  <c r="AE65" i="14"/>
  <c r="AU65" i="14" s="1"/>
  <c r="AF65" i="14"/>
  <c r="AV65" i="14" s="1"/>
  <c r="T66" i="14"/>
  <c r="AJ66" i="14" s="1"/>
  <c r="U66" i="14"/>
  <c r="AK66" i="14" s="1"/>
  <c r="V66" i="14"/>
  <c r="AL66" i="14" s="1"/>
  <c r="W66" i="14"/>
  <c r="AM66" i="14" s="1"/>
  <c r="X66" i="14"/>
  <c r="AN66" i="14" s="1"/>
  <c r="Y66" i="14"/>
  <c r="AO66" i="14" s="1"/>
  <c r="Z66" i="14"/>
  <c r="AP66" i="14" s="1"/>
  <c r="AA66" i="14"/>
  <c r="AQ66" i="14" s="1"/>
  <c r="AC66" i="14"/>
  <c r="AS66" i="14" s="1"/>
  <c r="AD66" i="14"/>
  <c r="AT66" i="14" s="1"/>
  <c r="AE66" i="14"/>
  <c r="AU66" i="14" s="1"/>
  <c r="AF66" i="14"/>
  <c r="AV66" i="14" s="1"/>
  <c r="T56" i="15"/>
  <c r="AJ56" i="15" s="1"/>
  <c r="U56" i="15"/>
  <c r="AK56" i="15" s="1"/>
  <c r="V56" i="15"/>
  <c r="AL56" i="15" s="1"/>
  <c r="W56" i="15"/>
  <c r="AM56" i="15" s="1"/>
  <c r="X56" i="15"/>
  <c r="AN56" i="15" s="1"/>
  <c r="Y56" i="15"/>
  <c r="AO56" i="15" s="1"/>
  <c r="Z56" i="15"/>
  <c r="AP56" i="15" s="1"/>
  <c r="AA56" i="15"/>
  <c r="AQ56" i="15" s="1"/>
  <c r="AC56" i="15"/>
  <c r="AS56" i="15" s="1"/>
  <c r="AD56" i="15"/>
  <c r="AT56" i="15" s="1"/>
  <c r="AE56" i="15"/>
  <c r="AU56" i="15" s="1"/>
  <c r="AF56" i="15"/>
  <c r="AV56" i="15" s="1"/>
  <c r="AH56" i="15"/>
  <c r="AX56" i="15" s="1"/>
  <c r="T57" i="15"/>
  <c r="AJ57" i="15" s="1"/>
  <c r="U57" i="15"/>
  <c r="AK57" i="15" s="1"/>
  <c r="V57" i="15"/>
  <c r="AL57" i="15" s="1"/>
  <c r="W57" i="15"/>
  <c r="AM57" i="15" s="1"/>
  <c r="X57" i="15"/>
  <c r="AN57" i="15" s="1"/>
  <c r="Y57" i="15"/>
  <c r="AO57" i="15" s="1"/>
  <c r="Z57" i="15"/>
  <c r="AP57" i="15" s="1"/>
  <c r="AA57" i="15"/>
  <c r="AQ57" i="15" s="1"/>
  <c r="AC57" i="15"/>
  <c r="AS57" i="15" s="1"/>
  <c r="AD57" i="15"/>
  <c r="AT57" i="15" s="1"/>
  <c r="AE57" i="15"/>
  <c r="AU57" i="15" s="1"/>
  <c r="AF57" i="15"/>
  <c r="AV57" i="15" s="1"/>
  <c r="AH57" i="15"/>
  <c r="AX57" i="15" s="1"/>
  <c r="T58" i="15"/>
  <c r="AJ58" i="15" s="1"/>
  <c r="U58" i="15"/>
  <c r="AK58" i="15" s="1"/>
  <c r="V58" i="15"/>
  <c r="AL58" i="15" s="1"/>
  <c r="W58" i="15"/>
  <c r="AM58" i="15" s="1"/>
  <c r="X58" i="15"/>
  <c r="AN58" i="15" s="1"/>
  <c r="Y58" i="15"/>
  <c r="AO58" i="15" s="1"/>
  <c r="Z58" i="15"/>
  <c r="AP58" i="15" s="1"/>
  <c r="AA58" i="15"/>
  <c r="AQ58" i="15" s="1"/>
  <c r="AC58" i="15"/>
  <c r="AS58" i="15" s="1"/>
  <c r="AD58" i="15"/>
  <c r="AT58" i="15" s="1"/>
  <c r="AE58" i="15"/>
  <c r="AU58" i="15" s="1"/>
  <c r="AF58" i="15"/>
  <c r="AV58" i="15" s="1"/>
  <c r="AH58" i="15"/>
  <c r="AX58" i="15" s="1"/>
  <c r="T59" i="15"/>
  <c r="AJ59" i="15" s="1"/>
  <c r="U59" i="15"/>
  <c r="AK59" i="15" s="1"/>
  <c r="V59" i="15"/>
  <c r="AL59" i="15" s="1"/>
  <c r="W59" i="15"/>
  <c r="AM59" i="15" s="1"/>
  <c r="X59" i="15"/>
  <c r="AN59" i="15" s="1"/>
  <c r="Y59" i="15"/>
  <c r="AO59" i="15" s="1"/>
  <c r="Z59" i="15"/>
  <c r="AP59" i="15" s="1"/>
  <c r="AA59" i="15"/>
  <c r="AQ59" i="15" s="1"/>
  <c r="AC59" i="15"/>
  <c r="AS59" i="15" s="1"/>
  <c r="AD59" i="15"/>
  <c r="AT59" i="15" s="1"/>
  <c r="AE59" i="15"/>
  <c r="AU59" i="15" s="1"/>
  <c r="AF59" i="15"/>
  <c r="AV59" i="15" s="1"/>
  <c r="AH59" i="15"/>
  <c r="AX59" i="15" s="1"/>
  <c r="T60" i="15"/>
  <c r="AJ60" i="15" s="1"/>
  <c r="U60" i="15"/>
  <c r="AK60" i="15" s="1"/>
  <c r="V60" i="15"/>
  <c r="AL60" i="15" s="1"/>
  <c r="W60" i="15"/>
  <c r="AM60" i="15" s="1"/>
  <c r="X60" i="15"/>
  <c r="AN60" i="15" s="1"/>
  <c r="Y60" i="15"/>
  <c r="AO60" i="15" s="1"/>
  <c r="Z60" i="15"/>
  <c r="AP60" i="15" s="1"/>
  <c r="AA60" i="15"/>
  <c r="AQ60" i="15" s="1"/>
  <c r="AC60" i="15"/>
  <c r="AS60" i="15" s="1"/>
  <c r="AD60" i="15"/>
  <c r="AT60" i="15" s="1"/>
  <c r="AE60" i="15"/>
  <c r="AU60" i="15" s="1"/>
  <c r="AF60" i="15"/>
  <c r="AV60" i="15" s="1"/>
  <c r="AH60" i="15"/>
  <c r="AX60" i="15" s="1"/>
  <c r="T61" i="15"/>
  <c r="AJ61" i="15" s="1"/>
  <c r="U61" i="15"/>
  <c r="AK61" i="15" s="1"/>
  <c r="V61" i="15"/>
  <c r="AL61" i="15" s="1"/>
  <c r="W61" i="15"/>
  <c r="AM61" i="15" s="1"/>
  <c r="X61" i="15"/>
  <c r="AN61" i="15" s="1"/>
  <c r="Y61" i="15"/>
  <c r="AO61" i="15" s="1"/>
  <c r="Z61" i="15"/>
  <c r="AP61" i="15" s="1"/>
  <c r="AA61" i="15"/>
  <c r="AQ61" i="15" s="1"/>
  <c r="AC61" i="15"/>
  <c r="AS61" i="15" s="1"/>
  <c r="AD61" i="15"/>
  <c r="AT61" i="15" s="1"/>
  <c r="AE61" i="15"/>
  <c r="AU61" i="15" s="1"/>
  <c r="AF61" i="15"/>
  <c r="AV61" i="15" s="1"/>
  <c r="AH61" i="15"/>
  <c r="AX61" i="15" s="1"/>
  <c r="T62" i="15"/>
  <c r="AJ62" i="15" s="1"/>
  <c r="U62" i="15"/>
  <c r="AK62" i="15" s="1"/>
  <c r="V62" i="15"/>
  <c r="AL62" i="15" s="1"/>
  <c r="W62" i="15"/>
  <c r="AM62" i="15" s="1"/>
  <c r="X62" i="15"/>
  <c r="AN62" i="15" s="1"/>
  <c r="Y62" i="15"/>
  <c r="AO62" i="15" s="1"/>
  <c r="Z62" i="15"/>
  <c r="AP62" i="15" s="1"/>
  <c r="AA62" i="15"/>
  <c r="AQ62" i="15" s="1"/>
  <c r="AC62" i="15"/>
  <c r="AS62" i="15" s="1"/>
  <c r="AD62" i="15"/>
  <c r="AT62" i="15" s="1"/>
  <c r="AE62" i="15"/>
  <c r="AU62" i="15" s="1"/>
  <c r="AF62" i="15"/>
  <c r="AV62" i="15" s="1"/>
  <c r="AH62" i="15"/>
  <c r="AX62" i="15" s="1"/>
  <c r="T63" i="15"/>
  <c r="AJ63" i="15" s="1"/>
  <c r="U63" i="15"/>
  <c r="AK63" i="15" s="1"/>
  <c r="V63" i="15"/>
  <c r="AL63" i="15" s="1"/>
  <c r="W63" i="15"/>
  <c r="AM63" i="15" s="1"/>
  <c r="X63" i="15"/>
  <c r="AN63" i="15" s="1"/>
  <c r="Y63" i="15"/>
  <c r="AO63" i="15" s="1"/>
  <c r="Z63" i="15"/>
  <c r="AP63" i="15" s="1"/>
  <c r="AA63" i="15"/>
  <c r="AQ63" i="15" s="1"/>
  <c r="AC63" i="15"/>
  <c r="AS63" i="15" s="1"/>
  <c r="AD63" i="15"/>
  <c r="AT63" i="15" s="1"/>
  <c r="AE63" i="15"/>
  <c r="AU63" i="15" s="1"/>
  <c r="AF63" i="15"/>
  <c r="AV63" i="15" s="1"/>
  <c r="AH63" i="15"/>
  <c r="AX63" i="15" s="1"/>
  <c r="T64" i="15"/>
  <c r="AJ64" i="15" s="1"/>
  <c r="U64" i="15"/>
  <c r="AK64" i="15" s="1"/>
  <c r="V64" i="15"/>
  <c r="AL64" i="15" s="1"/>
  <c r="W64" i="15"/>
  <c r="AM64" i="15" s="1"/>
  <c r="X64" i="15"/>
  <c r="AN64" i="15" s="1"/>
  <c r="Y64" i="15"/>
  <c r="AO64" i="15" s="1"/>
  <c r="Z64" i="15"/>
  <c r="AP64" i="15" s="1"/>
  <c r="AA64" i="15"/>
  <c r="AQ64" i="15" s="1"/>
  <c r="AC64" i="15"/>
  <c r="AS64" i="15" s="1"/>
  <c r="AD64" i="15"/>
  <c r="AT64" i="15" s="1"/>
  <c r="AE64" i="15"/>
  <c r="AU64" i="15" s="1"/>
  <c r="AF64" i="15"/>
  <c r="AV64" i="15" s="1"/>
  <c r="AH64" i="15"/>
  <c r="AX64" i="15" s="1"/>
  <c r="T65" i="15"/>
  <c r="AJ65" i="15" s="1"/>
  <c r="U65" i="15"/>
  <c r="AK65" i="15" s="1"/>
  <c r="V65" i="15"/>
  <c r="AL65" i="15" s="1"/>
  <c r="W65" i="15"/>
  <c r="AM65" i="15" s="1"/>
  <c r="X65" i="15"/>
  <c r="AN65" i="15" s="1"/>
  <c r="Y65" i="15"/>
  <c r="AO65" i="15" s="1"/>
  <c r="Z65" i="15"/>
  <c r="AP65" i="15" s="1"/>
  <c r="AA65" i="15"/>
  <c r="AQ65" i="15" s="1"/>
  <c r="AC65" i="15"/>
  <c r="AS65" i="15" s="1"/>
  <c r="AD65" i="15"/>
  <c r="AT65" i="15" s="1"/>
  <c r="AE65" i="15"/>
  <c r="AU65" i="15" s="1"/>
  <c r="AF65" i="15"/>
  <c r="AV65" i="15" s="1"/>
  <c r="AH65" i="15"/>
  <c r="AX65" i="15" s="1"/>
  <c r="T66" i="15"/>
  <c r="AJ66" i="15" s="1"/>
  <c r="U66" i="15"/>
  <c r="AK66" i="15" s="1"/>
  <c r="V66" i="15"/>
  <c r="AL66" i="15" s="1"/>
  <c r="W66" i="15"/>
  <c r="AM66" i="15" s="1"/>
  <c r="X66" i="15"/>
  <c r="AN66" i="15" s="1"/>
  <c r="Y66" i="15"/>
  <c r="AO66" i="15" s="1"/>
  <c r="Z66" i="15"/>
  <c r="AP66" i="15" s="1"/>
  <c r="AA66" i="15"/>
  <c r="AQ66" i="15" s="1"/>
  <c r="AC66" i="15"/>
  <c r="AS66" i="15" s="1"/>
  <c r="AD66" i="15"/>
  <c r="AT66" i="15" s="1"/>
  <c r="AE66" i="15"/>
  <c r="AU66" i="15" s="1"/>
  <c r="AF66" i="15"/>
  <c r="AV66" i="15" s="1"/>
  <c r="AH66" i="15"/>
  <c r="AX66" i="15" s="1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7" i="15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7" i="31"/>
  <c r="C8" i="31"/>
  <c r="C9" i="31"/>
  <c r="C10" i="31"/>
  <c r="C11" i="31"/>
  <c r="C12" i="31"/>
  <c r="C13" i="31"/>
  <c r="C14" i="31"/>
  <c r="U6" i="30"/>
  <c r="AL6" i="30" s="1"/>
  <c r="V6" i="30"/>
  <c r="AM6" i="30" s="1"/>
  <c r="W6" i="30"/>
  <c r="AN6" i="30" s="1"/>
  <c r="X6" i="30"/>
  <c r="AO6" i="30" s="1"/>
  <c r="Y6" i="30"/>
  <c r="AP6" i="30" s="1"/>
  <c r="Z6" i="30"/>
  <c r="AQ6" i="30" s="1"/>
  <c r="AA6" i="30"/>
  <c r="AR6" i="30" s="1"/>
  <c r="AC6" i="30"/>
  <c r="AT6" i="30" s="1"/>
  <c r="AD6" i="30"/>
  <c r="AU6" i="30" s="1"/>
  <c r="AE6" i="30"/>
  <c r="AV6" i="30" s="1"/>
  <c r="AF6" i="30"/>
  <c r="AW6" i="30" s="1"/>
  <c r="T6" i="30"/>
  <c r="AK6" i="30" s="1"/>
  <c r="E6" i="30"/>
  <c r="F6" i="30"/>
  <c r="G6" i="30"/>
  <c r="H6" i="30"/>
  <c r="I6" i="30"/>
  <c r="J6" i="30"/>
  <c r="K6" i="30"/>
  <c r="M6" i="30"/>
  <c r="N6" i="30"/>
  <c r="O6" i="30"/>
  <c r="P6" i="30"/>
  <c r="D6" i="30"/>
  <c r="AK6" i="18"/>
  <c r="AL6" i="18"/>
  <c r="AM6" i="18"/>
  <c r="AN6" i="18"/>
  <c r="AO6" i="18"/>
  <c r="AP6" i="18"/>
  <c r="AQ6" i="18"/>
  <c r="AS6" i="18"/>
  <c r="AT6" i="18"/>
  <c r="AU6" i="18"/>
  <c r="AV6" i="18"/>
  <c r="AJ6" i="18"/>
  <c r="U6" i="18"/>
  <c r="V6" i="18"/>
  <c r="W6" i="18"/>
  <c r="X6" i="18"/>
  <c r="Y6" i="18"/>
  <c r="Z6" i="18"/>
  <c r="AA6" i="18"/>
  <c r="AC6" i="18"/>
  <c r="AD6" i="18"/>
  <c r="AE6" i="18"/>
  <c r="AF6" i="18"/>
  <c r="T6" i="18"/>
  <c r="E6" i="18"/>
  <c r="F6" i="18"/>
  <c r="G6" i="18"/>
  <c r="H6" i="18"/>
  <c r="I6" i="18"/>
  <c r="J6" i="18"/>
  <c r="K6" i="18"/>
  <c r="M6" i="18"/>
  <c r="N6" i="18"/>
  <c r="O6" i="18"/>
  <c r="P6" i="18"/>
  <c r="D6" i="18"/>
  <c r="AK6" i="17"/>
  <c r="AL6" i="17"/>
  <c r="AM6" i="17"/>
  <c r="AN6" i="17"/>
  <c r="AO6" i="17"/>
  <c r="AP6" i="17"/>
  <c r="AQ6" i="17"/>
  <c r="AS6" i="17"/>
  <c r="AT6" i="17"/>
  <c r="AU6" i="17"/>
  <c r="AV6" i="17"/>
  <c r="AJ6" i="17"/>
  <c r="AK6" i="14" l="1"/>
  <c r="AL6" i="14"/>
  <c r="AM6" i="14"/>
  <c r="AN6" i="14"/>
  <c r="AO6" i="14"/>
  <c r="AP6" i="14"/>
  <c r="AQ6" i="14"/>
  <c r="AS6" i="14"/>
  <c r="AT6" i="14"/>
  <c r="AU6" i="14"/>
  <c r="AV6" i="14"/>
  <c r="AJ6" i="14"/>
  <c r="U6" i="14"/>
  <c r="V6" i="14"/>
  <c r="W6" i="14"/>
  <c r="X6" i="14"/>
  <c r="Y6" i="14"/>
  <c r="Z6" i="14"/>
  <c r="AA6" i="14"/>
  <c r="AC6" i="14"/>
  <c r="AD6" i="14"/>
  <c r="AE6" i="14"/>
  <c r="AF6" i="14"/>
  <c r="T6" i="14"/>
  <c r="E6" i="14"/>
  <c r="F6" i="14"/>
  <c r="G6" i="14"/>
  <c r="H6" i="14"/>
  <c r="I6" i="14"/>
  <c r="J6" i="14"/>
  <c r="K6" i="14"/>
  <c r="M6" i="14"/>
  <c r="N6" i="14"/>
  <c r="O6" i="14"/>
  <c r="P6" i="14"/>
  <c r="D6" i="14"/>
  <c r="AK6" i="15"/>
  <c r="AL6" i="15"/>
  <c r="AM6" i="15"/>
  <c r="AN6" i="15"/>
  <c r="AO6" i="15"/>
  <c r="AP6" i="15"/>
  <c r="AQ6" i="15"/>
  <c r="AS6" i="15"/>
  <c r="AT6" i="15"/>
  <c r="AU6" i="15"/>
  <c r="AV6" i="15"/>
  <c r="AJ6" i="15"/>
  <c r="AK6" i="13"/>
  <c r="AL6" i="13"/>
  <c r="AM6" i="13"/>
  <c r="AN6" i="13"/>
  <c r="AO6" i="13"/>
  <c r="AP6" i="13"/>
  <c r="AQ6" i="13"/>
  <c r="AS6" i="13"/>
  <c r="AT6" i="13"/>
  <c r="AU6" i="13"/>
  <c r="AV6" i="13"/>
  <c r="AJ6" i="13"/>
  <c r="U6" i="13"/>
  <c r="V6" i="13"/>
  <c r="W6" i="13"/>
  <c r="X6" i="13"/>
  <c r="Y6" i="13"/>
  <c r="Z6" i="13"/>
  <c r="AA6" i="13"/>
  <c r="AC6" i="13"/>
  <c r="AD6" i="13"/>
  <c r="AE6" i="13"/>
  <c r="AF6" i="13"/>
  <c r="T6" i="13"/>
  <c r="E6" i="13"/>
  <c r="F6" i="13"/>
  <c r="G6" i="13"/>
  <c r="H6" i="13"/>
  <c r="I6" i="13"/>
  <c r="J6" i="13"/>
  <c r="K6" i="13"/>
  <c r="N6" i="13"/>
  <c r="O6" i="13"/>
  <c r="P6" i="13"/>
  <c r="D6" i="13"/>
  <c r="D56" i="5"/>
  <c r="D57" i="5"/>
  <c r="D58" i="5"/>
  <c r="D59" i="5"/>
  <c r="D60" i="5"/>
  <c r="D61" i="5"/>
  <c r="D62" i="5"/>
  <c r="D63" i="5"/>
  <c r="D64" i="5"/>
  <c r="D65" i="5"/>
  <c r="D66" i="5"/>
  <c r="BT6" i="5"/>
  <c r="BU6" i="5"/>
  <c r="BV6" i="5"/>
  <c r="BW6" i="5"/>
  <c r="BX6" i="5"/>
  <c r="BY6" i="5"/>
  <c r="BZ6" i="5"/>
  <c r="CB6" i="5"/>
  <c r="CC6" i="5"/>
  <c r="CD6" i="5"/>
  <c r="CE6" i="5"/>
  <c r="BS6" i="5"/>
  <c r="BB6" i="5"/>
  <c r="BA6" i="31" s="1"/>
  <c r="BC6" i="5"/>
  <c r="BB6" i="31" s="1"/>
  <c r="BD6" i="5"/>
  <c r="BC6" i="31" s="1"/>
  <c r="BE6" i="5"/>
  <c r="BD6" i="31" s="1"/>
  <c r="BF6" i="5"/>
  <c r="BE6" i="31" s="1"/>
  <c r="BG6" i="5"/>
  <c r="BF6" i="31" s="1"/>
  <c r="BH6" i="5"/>
  <c r="BG6" i="31" s="1"/>
  <c r="BJ6" i="5"/>
  <c r="BI6" i="31" s="1"/>
  <c r="BK6" i="5"/>
  <c r="BJ6" i="31" s="1"/>
  <c r="BL6" i="5"/>
  <c r="BK6" i="31" s="1"/>
  <c r="BM6" i="5"/>
  <c r="BL6" i="31" s="1"/>
  <c r="BN6" i="31"/>
  <c r="BA6" i="5"/>
  <c r="AZ6" i="31" s="1"/>
  <c r="V6" i="5"/>
  <c r="U6" i="31" s="1"/>
  <c r="W6" i="5"/>
  <c r="V6" i="31" s="1"/>
  <c r="X6" i="5"/>
  <c r="W6" i="31" s="1"/>
  <c r="Y6" i="5"/>
  <c r="X6" i="31" s="1"/>
  <c r="Z6" i="5"/>
  <c r="Y6" i="31" s="1"/>
  <c r="AA6" i="5"/>
  <c r="Z6" i="31" s="1"/>
  <c r="AB6" i="5"/>
  <c r="AA6" i="31" s="1"/>
  <c r="AD6" i="5"/>
  <c r="AC6" i="31" s="1"/>
  <c r="AE6" i="5"/>
  <c r="AD6" i="31" s="1"/>
  <c r="AF6" i="5"/>
  <c r="AE6" i="31" s="1"/>
  <c r="AG6" i="5"/>
  <c r="AF6" i="31" s="1"/>
  <c r="U6" i="5"/>
  <c r="T6" i="31" s="1"/>
  <c r="AL6" i="5"/>
  <c r="AK6" i="31" s="1"/>
  <c r="AM6" i="5"/>
  <c r="AL6" i="31" s="1"/>
  <c r="AN6" i="5"/>
  <c r="AM6" i="31" s="1"/>
  <c r="AO6" i="5"/>
  <c r="AN6" i="31" s="1"/>
  <c r="AP6" i="5"/>
  <c r="AO6" i="31" s="1"/>
  <c r="AQ6" i="5"/>
  <c r="AP6" i="31" s="1"/>
  <c r="AR6" i="5"/>
  <c r="AQ6" i="31" s="1"/>
  <c r="AT6" i="5"/>
  <c r="AS6" i="31" s="1"/>
  <c r="AU6" i="5"/>
  <c r="AT6" i="31" s="1"/>
  <c r="AV6" i="5"/>
  <c r="AU6" i="31" s="1"/>
  <c r="AW6" i="5"/>
  <c r="AV6" i="31" s="1"/>
  <c r="AK6" i="5"/>
  <c r="AJ6" i="31" s="1"/>
  <c r="H18" i="4" l="1"/>
  <c r="B134" i="4"/>
  <c r="B133" i="4"/>
  <c r="B132" i="4"/>
  <c r="B131" i="4"/>
  <c r="B130" i="4"/>
  <c r="E11" i="4" l="1"/>
  <c r="E10" i="4"/>
  <c r="E9" i="4"/>
  <c r="E8" i="4"/>
  <c r="T30" i="42" s="1"/>
  <c r="E7" i="4"/>
  <c r="H17" i="4"/>
  <c r="H19" i="4"/>
  <c r="F85" i="4" l="1"/>
  <c r="F84" i="4"/>
  <c r="F86" i="4"/>
  <c r="F87" i="4"/>
  <c r="F88" i="4"/>
  <c r="T8" i="42"/>
  <c r="B4" i="43"/>
  <c r="T5" i="30"/>
  <c r="D4" i="42"/>
  <c r="D2" i="9"/>
  <c r="I9" i="35"/>
  <c r="I28" i="35" s="1"/>
  <c r="BS4" i="5"/>
  <c r="D5" i="30"/>
  <c r="B3" i="15"/>
  <c r="C19" i="9"/>
  <c r="B3" i="30"/>
  <c r="B3" i="5"/>
  <c r="T5" i="15"/>
  <c r="B3" i="9"/>
  <c r="D19" i="9"/>
  <c r="AJ5" i="17"/>
  <c r="BA4" i="5"/>
  <c r="T5" i="17"/>
  <c r="U4" i="5"/>
  <c r="D5" i="17"/>
  <c r="E4" i="5"/>
  <c r="AJ5" i="15"/>
  <c r="AK5" i="30"/>
  <c r="D5" i="15"/>
  <c r="G9" i="34"/>
  <c r="G28" i="34" s="1"/>
  <c r="G9" i="35"/>
  <c r="J9" i="35"/>
  <c r="J28" i="35" s="1"/>
  <c r="C6" i="35"/>
  <c r="H9" i="34"/>
  <c r="H8" i="34" s="1"/>
  <c r="H9" i="35"/>
  <c r="J9" i="34"/>
  <c r="J28" i="34" s="1"/>
  <c r="C6" i="34"/>
  <c r="D110" i="4"/>
  <c r="D101" i="4"/>
  <c r="B117" i="4"/>
  <c r="K9" i="2"/>
  <c r="K28" i="2" s="1"/>
  <c r="I9" i="34"/>
  <c r="I28" i="34" s="1"/>
  <c r="J9" i="2"/>
  <c r="D92" i="4"/>
  <c r="B99" i="4" s="1"/>
  <c r="I9" i="2"/>
  <c r="L9" i="2"/>
  <c r="L28" i="2" s="1"/>
  <c r="B155" i="4"/>
  <c r="B146" i="4"/>
  <c r="D148" i="4"/>
  <c r="D153" i="4" s="1"/>
  <c r="D139" i="4"/>
  <c r="D143" i="4" s="1"/>
  <c r="E6" i="2"/>
  <c r="B126" i="4"/>
  <c r="B81" i="4"/>
  <c r="C6" i="2"/>
  <c r="B63" i="4"/>
  <c r="D74" i="4"/>
  <c r="C129" i="4"/>
  <c r="D129" i="4"/>
  <c r="E129" i="4"/>
  <c r="B41" i="4"/>
  <c r="B28" i="4"/>
  <c r="B42" i="4"/>
  <c r="B43" i="4"/>
  <c r="D119" i="4"/>
  <c r="B53" i="4"/>
  <c r="B72" i="4"/>
  <c r="D83" i="4"/>
  <c r="B90" i="4"/>
  <c r="D56" i="4"/>
  <c r="B46" i="4"/>
  <c r="D47" i="4" s="1"/>
  <c r="B40" i="4"/>
  <c r="D65" i="4"/>
  <c r="B33" i="4"/>
  <c r="D104" i="4" l="1"/>
  <c r="D106" i="4"/>
  <c r="D105" i="4"/>
  <c r="H28" i="34"/>
  <c r="H27" i="34" s="1"/>
  <c r="G10" i="34"/>
  <c r="G28" i="35"/>
  <c r="G10" i="35"/>
  <c r="H28" i="35"/>
  <c r="H27" i="35" s="1"/>
  <c r="H8" i="35"/>
  <c r="B108" i="4"/>
  <c r="D115" i="4"/>
  <c r="D114" i="4"/>
  <c r="D113" i="4"/>
  <c r="D112" i="4"/>
  <c r="D111" i="4"/>
  <c r="D144" i="4"/>
  <c r="D141" i="4"/>
  <c r="I10" i="2"/>
  <c r="I28" i="2"/>
  <c r="I35" i="2" s="1"/>
  <c r="D142" i="4"/>
  <c r="D151" i="4"/>
  <c r="D140" i="4"/>
  <c r="D150" i="4"/>
  <c r="D152" i="4"/>
  <c r="D49" i="4"/>
  <c r="D149" i="4"/>
  <c r="J28" i="2"/>
  <c r="J35" i="2" s="1"/>
  <c r="J8" i="2"/>
  <c r="D75" i="4"/>
  <c r="D79" i="4"/>
  <c r="D76" i="4"/>
  <c r="D78" i="4"/>
  <c r="D77" i="4"/>
  <c r="D51" i="4"/>
  <c r="E130" i="4"/>
  <c r="E134" i="4"/>
  <c r="E133" i="4"/>
  <c r="E132" i="4"/>
  <c r="E131" i="4"/>
  <c r="D133" i="4"/>
  <c r="D132" i="4"/>
  <c r="D134" i="4"/>
  <c r="D131" i="4"/>
  <c r="D130" i="4"/>
  <c r="D48" i="4"/>
  <c r="D50" i="4"/>
  <c r="C132" i="4"/>
  <c r="C131" i="4"/>
  <c r="C130" i="4"/>
  <c r="B136" i="4"/>
  <c r="C134" i="4"/>
  <c r="C133" i="4"/>
  <c r="J27" i="2" l="1"/>
  <c r="H20" i="4"/>
  <c r="H23" i="4" l="1"/>
  <c r="H22" i="4" l="1"/>
  <c r="H21" i="4"/>
  <c r="AK7" i="5"/>
  <c r="BS7" i="5" s="1"/>
  <c r="AL7" i="5"/>
  <c r="BT7" i="5" s="1"/>
  <c r="AM7" i="5"/>
  <c r="BU7" i="5" s="1"/>
  <c r="AN7" i="5"/>
  <c r="BV7" i="5" s="1"/>
  <c r="AO7" i="5"/>
  <c r="BW7" i="5" s="1"/>
  <c r="AP7" i="5"/>
  <c r="BX7" i="5" s="1"/>
  <c r="AQ7" i="5"/>
  <c r="BY7" i="5" s="1"/>
  <c r="AR7" i="5"/>
  <c r="BZ7" i="5" s="1"/>
  <c r="AT7" i="5"/>
  <c r="CB7" i="5" s="1"/>
  <c r="AU7" i="5"/>
  <c r="CC7" i="5" s="1"/>
  <c r="AV7" i="5"/>
  <c r="CD7" i="5" s="1"/>
  <c r="AW7" i="5"/>
  <c r="CE7" i="5" s="1"/>
  <c r="AY7" i="5"/>
  <c r="CG7" i="5" s="1"/>
  <c r="AK8" i="5"/>
  <c r="BS8" i="5" s="1"/>
  <c r="AL8" i="5"/>
  <c r="BT8" i="5" s="1"/>
  <c r="AM8" i="5"/>
  <c r="BU8" i="5" s="1"/>
  <c r="AN8" i="5"/>
  <c r="BV8" i="5" s="1"/>
  <c r="AO8" i="5"/>
  <c r="BW8" i="5" s="1"/>
  <c r="AP8" i="5"/>
  <c r="BX8" i="5" s="1"/>
  <c r="AQ8" i="5"/>
  <c r="BY8" i="5" s="1"/>
  <c r="AR8" i="5"/>
  <c r="BZ8" i="5" s="1"/>
  <c r="AT8" i="5"/>
  <c r="CB8" i="5" s="1"/>
  <c r="AU8" i="5"/>
  <c r="CC8" i="5" s="1"/>
  <c r="AV8" i="5"/>
  <c r="CD8" i="5" s="1"/>
  <c r="AW8" i="5"/>
  <c r="CE8" i="5" s="1"/>
  <c r="AY8" i="5"/>
  <c r="CG8" i="5" s="1"/>
  <c r="AK9" i="5"/>
  <c r="BS9" i="5" s="1"/>
  <c r="AL9" i="5"/>
  <c r="BT9" i="5" s="1"/>
  <c r="AM9" i="5"/>
  <c r="BU9" i="5" s="1"/>
  <c r="AN9" i="5"/>
  <c r="BV9" i="5" s="1"/>
  <c r="AO9" i="5"/>
  <c r="BW9" i="5" s="1"/>
  <c r="AP9" i="5"/>
  <c r="BX9" i="5" s="1"/>
  <c r="AQ9" i="5"/>
  <c r="BY9" i="5" s="1"/>
  <c r="AR9" i="5"/>
  <c r="BZ9" i="5" s="1"/>
  <c r="AT9" i="5"/>
  <c r="CB9" i="5" s="1"/>
  <c r="AU9" i="5"/>
  <c r="CC9" i="5" s="1"/>
  <c r="AV9" i="5"/>
  <c r="CD9" i="5" s="1"/>
  <c r="AW9" i="5"/>
  <c r="CE9" i="5" s="1"/>
  <c r="AY9" i="5"/>
  <c r="CG9" i="5" s="1"/>
  <c r="AK10" i="5"/>
  <c r="BS10" i="5" s="1"/>
  <c r="AL10" i="5"/>
  <c r="BT10" i="5" s="1"/>
  <c r="AM10" i="5"/>
  <c r="BU10" i="5" s="1"/>
  <c r="AN10" i="5"/>
  <c r="BV10" i="5" s="1"/>
  <c r="AO10" i="5"/>
  <c r="BW10" i="5" s="1"/>
  <c r="AP10" i="5"/>
  <c r="BX10" i="5" s="1"/>
  <c r="AQ10" i="5"/>
  <c r="BY10" i="5" s="1"/>
  <c r="AR10" i="5"/>
  <c r="BZ10" i="5" s="1"/>
  <c r="AT10" i="5"/>
  <c r="CB10" i="5" s="1"/>
  <c r="AU10" i="5"/>
  <c r="CC10" i="5" s="1"/>
  <c r="AV10" i="5"/>
  <c r="CD10" i="5" s="1"/>
  <c r="AW10" i="5"/>
  <c r="CE10" i="5" s="1"/>
  <c r="AY10" i="5"/>
  <c r="CG10" i="5" s="1"/>
  <c r="AK11" i="5"/>
  <c r="BS11" i="5" s="1"/>
  <c r="AL11" i="5"/>
  <c r="BT11" i="5" s="1"/>
  <c r="AM11" i="5"/>
  <c r="BU11" i="5" s="1"/>
  <c r="AN11" i="5"/>
  <c r="BV11" i="5" s="1"/>
  <c r="AO11" i="5"/>
  <c r="BW11" i="5" s="1"/>
  <c r="AP11" i="5"/>
  <c r="BX11" i="5" s="1"/>
  <c r="AQ11" i="5"/>
  <c r="BY11" i="5" s="1"/>
  <c r="AR11" i="5"/>
  <c r="BZ11" i="5" s="1"/>
  <c r="AT11" i="5"/>
  <c r="CB11" i="5" s="1"/>
  <c r="AU11" i="5"/>
  <c r="CC11" i="5" s="1"/>
  <c r="AV11" i="5"/>
  <c r="CD11" i="5" s="1"/>
  <c r="AW11" i="5"/>
  <c r="CE11" i="5" s="1"/>
  <c r="AY11" i="5"/>
  <c r="CG11" i="5" s="1"/>
  <c r="AK12" i="5"/>
  <c r="BS12" i="5" s="1"/>
  <c r="AL12" i="5"/>
  <c r="BT12" i="5" s="1"/>
  <c r="AM12" i="5"/>
  <c r="BU12" i="5" s="1"/>
  <c r="AN12" i="5"/>
  <c r="BV12" i="5" s="1"/>
  <c r="AO12" i="5"/>
  <c r="BW12" i="5" s="1"/>
  <c r="AP12" i="5"/>
  <c r="BX12" i="5" s="1"/>
  <c r="AQ12" i="5"/>
  <c r="BY12" i="5" s="1"/>
  <c r="AR12" i="5"/>
  <c r="BZ12" i="5" s="1"/>
  <c r="AT12" i="5"/>
  <c r="CB12" i="5" s="1"/>
  <c r="AU12" i="5"/>
  <c r="CC12" i="5" s="1"/>
  <c r="AV12" i="5"/>
  <c r="CD12" i="5" s="1"/>
  <c r="AW12" i="5"/>
  <c r="CE12" i="5" s="1"/>
  <c r="AY12" i="5"/>
  <c r="CG12" i="5" s="1"/>
  <c r="AK13" i="5"/>
  <c r="BS13" i="5" s="1"/>
  <c r="AL13" i="5"/>
  <c r="BT13" i="5" s="1"/>
  <c r="AM13" i="5"/>
  <c r="BU13" i="5" s="1"/>
  <c r="AN13" i="5"/>
  <c r="BV13" i="5" s="1"/>
  <c r="AO13" i="5"/>
  <c r="BW13" i="5" s="1"/>
  <c r="AP13" i="5"/>
  <c r="BX13" i="5" s="1"/>
  <c r="AQ13" i="5"/>
  <c r="BY13" i="5" s="1"/>
  <c r="AR13" i="5"/>
  <c r="BZ13" i="5" s="1"/>
  <c r="AT13" i="5"/>
  <c r="CB13" i="5" s="1"/>
  <c r="AU13" i="5"/>
  <c r="CC13" i="5" s="1"/>
  <c r="AV13" i="5"/>
  <c r="CD13" i="5" s="1"/>
  <c r="AW13" i="5"/>
  <c r="CE13" i="5" s="1"/>
  <c r="AY13" i="5"/>
  <c r="CG13" i="5" s="1"/>
  <c r="AK14" i="5"/>
  <c r="BS14" i="5" s="1"/>
  <c r="AL14" i="5"/>
  <c r="BT14" i="5" s="1"/>
  <c r="AM14" i="5"/>
  <c r="BU14" i="5" s="1"/>
  <c r="AN14" i="5"/>
  <c r="BV14" i="5" s="1"/>
  <c r="AO14" i="5"/>
  <c r="BW14" i="5" s="1"/>
  <c r="AP14" i="5"/>
  <c r="BX14" i="5" s="1"/>
  <c r="AQ14" i="5"/>
  <c r="BY14" i="5" s="1"/>
  <c r="AR14" i="5"/>
  <c r="BZ14" i="5" s="1"/>
  <c r="AT14" i="5"/>
  <c r="CB14" i="5" s="1"/>
  <c r="AU14" i="5"/>
  <c r="CC14" i="5" s="1"/>
  <c r="AV14" i="5"/>
  <c r="CD14" i="5" s="1"/>
  <c r="AW14" i="5"/>
  <c r="CE14" i="5" s="1"/>
  <c r="AY14" i="5"/>
  <c r="CG14" i="5" s="1"/>
  <c r="AK15" i="5"/>
  <c r="BS15" i="5" s="1"/>
  <c r="AL15" i="5"/>
  <c r="BT15" i="5" s="1"/>
  <c r="AM15" i="5"/>
  <c r="BU15" i="5" s="1"/>
  <c r="AN15" i="5"/>
  <c r="BV15" i="5" s="1"/>
  <c r="AO15" i="5"/>
  <c r="BW15" i="5" s="1"/>
  <c r="AP15" i="5"/>
  <c r="BX15" i="5" s="1"/>
  <c r="AQ15" i="5"/>
  <c r="BY15" i="5" s="1"/>
  <c r="AR15" i="5"/>
  <c r="BZ15" i="5" s="1"/>
  <c r="AT15" i="5"/>
  <c r="CB15" i="5" s="1"/>
  <c r="AU15" i="5"/>
  <c r="CC15" i="5" s="1"/>
  <c r="AV15" i="5"/>
  <c r="CD15" i="5" s="1"/>
  <c r="AW15" i="5"/>
  <c r="CE15" i="5" s="1"/>
  <c r="AY15" i="5"/>
  <c r="CG15" i="5" s="1"/>
  <c r="AK16" i="5"/>
  <c r="BS16" i="5" s="1"/>
  <c r="AL16" i="5"/>
  <c r="BT16" i="5" s="1"/>
  <c r="AM16" i="5"/>
  <c r="BU16" i="5" s="1"/>
  <c r="AN16" i="5"/>
  <c r="BV16" i="5" s="1"/>
  <c r="AO16" i="5"/>
  <c r="BW16" i="5" s="1"/>
  <c r="AP16" i="5"/>
  <c r="BX16" i="5" s="1"/>
  <c r="AQ16" i="5"/>
  <c r="BY16" i="5" s="1"/>
  <c r="AR16" i="5"/>
  <c r="BZ16" i="5" s="1"/>
  <c r="AT16" i="5"/>
  <c r="CB16" i="5" s="1"/>
  <c r="AU16" i="5"/>
  <c r="CC16" i="5" s="1"/>
  <c r="AV16" i="5"/>
  <c r="CD16" i="5" s="1"/>
  <c r="AW16" i="5"/>
  <c r="CE16" i="5" s="1"/>
  <c r="AY16" i="5"/>
  <c r="CG16" i="5" s="1"/>
  <c r="AK17" i="5"/>
  <c r="BS17" i="5" s="1"/>
  <c r="AL17" i="5"/>
  <c r="BT17" i="5" s="1"/>
  <c r="AM17" i="5"/>
  <c r="BU17" i="5" s="1"/>
  <c r="AN17" i="5"/>
  <c r="BV17" i="5" s="1"/>
  <c r="AO17" i="5"/>
  <c r="BW17" i="5" s="1"/>
  <c r="AP17" i="5"/>
  <c r="BX17" i="5" s="1"/>
  <c r="AQ17" i="5"/>
  <c r="BY17" i="5" s="1"/>
  <c r="AR17" i="5"/>
  <c r="BZ17" i="5" s="1"/>
  <c r="AT17" i="5"/>
  <c r="CB17" i="5" s="1"/>
  <c r="AU17" i="5"/>
  <c r="CC17" i="5" s="1"/>
  <c r="AV17" i="5"/>
  <c r="CD17" i="5" s="1"/>
  <c r="AW17" i="5"/>
  <c r="CE17" i="5" s="1"/>
  <c r="AY17" i="5"/>
  <c r="CG17" i="5" s="1"/>
  <c r="AK18" i="5"/>
  <c r="BS18" i="5" s="1"/>
  <c r="AL18" i="5"/>
  <c r="BT18" i="5" s="1"/>
  <c r="AM18" i="5"/>
  <c r="BU18" i="5" s="1"/>
  <c r="AN18" i="5"/>
  <c r="BV18" i="5" s="1"/>
  <c r="AO18" i="5"/>
  <c r="BW18" i="5" s="1"/>
  <c r="AP18" i="5"/>
  <c r="BX18" i="5" s="1"/>
  <c r="AQ18" i="5"/>
  <c r="BY18" i="5" s="1"/>
  <c r="AR18" i="5"/>
  <c r="BZ18" i="5" s="1"/>
  <c r="AT18" i="5"/>
  <c r="CB18" i="5" s="1"/>
  <c r="AU18" i="5"/>
  <c r="CC18" i="5" s="1"/>
  <c r="AV18" i="5"/>
  <c r="CD18" i="5" s="1"/>
  <c r="AW18" i="5"/>
  <c r="CE18" i="5" s="1"/>
  <c r="AY18" i="5"/>
  <c r="CG18" i="5" s="1"/>
  <c r="AK19" i="5"/>
  <c r="BS19" i="5" s="1"/>
  <c r="AL19" i="5"/>
  <c r="BT19" i="5" s="1"/>
  <c r="AM19" i="5"/>
  <c r="BU19" i="5" s="1"/>
  <c r="AN19" i="5"/>
  <c r="BV19" i="5" s="1"/>
  <c r="AO19" i="5"/>
  <c r="BW19" i="5" s="1"/>
  <c r="AP19" i="5"/>
  <c r="BX19" i="5" s="1"/>
  <c r="AQ19" i="5"/>
  <c r="BY19" i="5" s="1"/>
  <c r="AR19" i="5"/>
  <c r="BZ19" i="5" s="1"/>
  <c r="AT19" i="5"/>
  <c r="CB19" i="5" s="1"/>
  <c r="AU19" i="5"/>
  <c r="CC19" i="5" s="1"/>
  <c r="AV19" i="5"/>
  <c r="CD19" i="5" s="1"/>
  <c r="AW19" i="5"/>
  <c r="CE19" i="5" s="1"/>
  <c r="AY19" i="5"/>
  <c r="CG19" i="5" s="1"/>
  <c r="AK20" i="5"/>
  <c r="BS20" i="5" s="1"/>
  <c r="AL20" i="5"/>
  <c r="BT20" i="5" s="1"/>
  <c r="AM20" i="5"/>
  <c r="BU20" i="5" s="1"/>
  <c r="AN20" i="5"/>
  <c r="BV20" i="5" s="1"/>
  <c r="AO20" i="5"/>
  <c r="BW20" i="5" s="1"/>
  <c r="AP20" i="5"/>
  <c r="BX20" i="5" s="1"/>
  <c r="AQ20" i="5"/>
  <c r="BY20" i="5" s="1"/>
  <c r="AR20" i="5"/>
  <c r="BZ20" i="5" s="1"/>
  <c r="AT20" i="5"/>
  <c r="CB20" i="5" s="1"/>
  <c r="AU20" i="5"/>
  <c r="CC20" i="5" s="1"/>
  <c r="AV20" i="5"/>
  <c r="CD20" i="5" s="1"/>
  <c r="AW20" i="5"/>
  <c r="CE20" i="5" s="1"/>
  <c r="AY20" i="5"/>
  <c r="CG20" i="5" s="1"/>
  <c r="AK21" i="5"/>
  <c r="BS21" i="5" s="1"/>
  <c r="AL21" i="5"/>
  <c r="BT21" i="5" s="1"/>
  <c r="AM21" i="5"/>
  <c r="BU21" i="5" s="1"/>
  <c r="AN21" i="5"/>
  <c r="BV21" i="5" s="1"/>
  <c r="AO21" i="5"/>
  <c r="BW21" i="5" s="1"/>
  <c r="AP21" i="5"/>
  <c r="BX21" i="5" s="1"/>
  <c r="AQ21" i="5"/>
  <c r="BY21" i="5" s="1"/>
  <c r="AR21" i="5"/>
  <c r="BZ21" i="5" s="1"/>
  <c r="AT21" i="5"/>
  <c r="CB21" i="5" s="1"/>
  <c r="AU21" i="5"/>
  <c r="CC21" i="5" s="1"/>
  <c r="AV21" i="5"/>
  <c r="CD21" i="5" s="1"/>
  <c r="AW21" i="5"/>
  <c r="CE21" i="5" s="1"/>
  <c r="AY21" i="5"/>
  <c r="CG21" i="5" s="1"/>
  <c r="AK22" i="5"/>
  <c r="BS22" i="5" s="1"/>
  <c r="AL22" i="5"/>
  <c r="BT22" i="5" s="1"/>
  <c r="AM22" i="5"/>
  <c r="BU22" i="5" s="1"/>
  <c r="AN22" i="5"/>
  <c r="BV22" i="5" s="1"/>
  <c r="AO22" i="5"/>
  <c r="BW22" i="5" s="1"/>
  <c r="AP22" i="5"/>
  <c r="BX22" i="5" s="1"/>
  <c r="AQ22" i="5"/>
  <c r="BY22" i="5" s="1"/>
  <c r="AR22" i="5"/>
  <c r="BZ22" i="5" s="1"/>
  <c r="AT22" i="5"/>
  <c r="CB22" i="5" s="1"/>
  <c r="AU22" i="5"/>
  <c r="CC22" i="5" s="1"/>
  <c r="AV22" i="5"/>
  <c r="CD22" i="5" s="1"/>
  <c r="AW22" i="5"/>
  <c r="CE22" i="5" s="1"/>
  <c r="AY22" i="5"/>
  <c r="CG22" i="5" s="1"/>
  <c r="AK23" i="5"/>
  <c r="BS23" i="5" s="1"/>
  <c r="AL23" i="5"/>
  <c r="BT23" i="5" s="1"/>
  <c r="AM23" i="5"/>
  <c r="BU23" i="5" s="1"/>
  <c r="AN23" i="5"/>
  <c r="BV23" i="5" s="1"/>
  <c r="AO23" i="5"/>
  <c r="BW23" i="5" s="1"/>
  <c r="AP23" i="5"/>
  <c r="BX23" i="5" s="1"/>
  <c r="AQ23" i="5"/>
  <c r="BY23" i="5" s="1"/>
  <c r="AR23" i="5"/>
  <c r="BZ23" i="5" s="1"/>
  <c r="AT23" i="5"/>
  <c r="CB23" i="5" s="1"/>
  <c r="AU23" i="5"/>
  <c r="CC23" i="5" s="1"/>
  <c r="AV23" i="5"/>
  <c r="CD23" i="5" s="1"/>
  <c r="AW23" i="5"/>
  <c r="CE23" i="5" s="1"/>
  <c r="AY23" i="5"/>
  <c r="CG23" i="5" s="1"/>
  <c r="AK24" i="5"/>
  <c r="BS24" i="5" s="1"/>
  <c r="AL24" i="5"/>
  <c r="BT24" i="5" s="1"/>
  <c r="AM24" i="5"/>
  <c r="BU24" i="5" s="1"/>
  <c r="AN24" i="5"/>
  <c r="BV24" i="5" s="1"/>
  <c r="AO24" i="5"/>
  <c r="BW24" i="5" s="1"/>
  <c r="AP24" i="5"/>
  <c r="BX24" i="5" s="1"/>
  <c r="AQ24" i="5"/>
  <c r="BY24" i="5" s="1"/>
  <c r="AR24" i="5"/>
  <c r="BZ24" i="5" s="1"/>
  <c r="AT24" i="5"/>
  <c r="CB24" i="5" s="1"/>
  <c r="AU24" i="5"/>
  <c r="CC24" i="5" s="1"/>
  <c r="AV24" i="5"/>
  <c r="CD24" i="5" s="1"/>
  <c r="AW24" i="5"/>
  <c r="CE24" i="5" s="1"/>
  <c r="AY24" i="5"/>
  <c r="CG24" i="5" s="1"/>
  <c r="AK25" i="5"/>
  <c r="BS25" i="5" s="1"/>
  <c r="AL25" i="5"/>
  <c r="BT25" i="5" s="1"/>
  <c r="AM25" i="5"/>
  <c r="BU25" i="5" s="1"/>
  <c r="AN25" i="5"/>
  <c r="BV25" i="5" s="1"/>
  <c r="AO25" i="5"/>
  <c r="BW25" i="5" s="1"/>
  <c r="AP25" i="5"/>
  <c r="BX25" i="5" s="1"/>
  <c r="AQ25" i="5"/>
  <c r="BY25" i="5" s="1"/>
  <c r="AR25" i="5"/>
  <c r="BZ25" i="5" s="1"/>
  <c r="AT25" i="5"/>
  <c r="CB25" i="5" s="1"/>
  <c r="AU25" i="5"/>
  <c r="CC25" i="5" s="1"/>
  <c r="AV25" i="5"/>
  <c r="CD25" i="5" s="1"/>
  <c r="AW25" i="5"/>
  <c r="CE25" i="5" s="1"/>
  <c r="AY25" i="5"/>
  <c r="CG25" i="5" s="1"/>
  <c r="AK26" i="5"/>
  <c r="BS26" i="5" s="1"/>
  <c r="AL26" i="5"/>
  <c r="BT26" i="5" s="1"/>
  <c r="AM26" i="5"/>
  <c r="BU26" i="5" s="1"/>
  <c r="AN26" i="5"/>
  <c r="BV26" i="5" s="1"/>
  <c r="AO26" i="5"/>
  <c r="BW26" i="5" s="1"/>
  <c r="AP26" i="5"/>
  <c r="BX26" i="5" s="1"/>
  <c r="AQ26" i="5"/>
  <c r="BY26" i="5" s="1"/>
  <c r="AR26" i="5"/>
  <c r="BZ26" i="5" s="1"/>
  <c r="AT26" i="5"/>
  <c r="CB26" i="5" s="1"/>
  <c r="AU26" i="5"/>
  <c r="CC26" i="5" s="1"/>
  <c r="AV26" i="5"/>
  <c r="CD26" i="5" s="1"/>
  <c r="AW26" i="5"/>
  <c r="CE26" i="5" s="1"/>
  <c r="AY26" i="5"/>
  <c r="CG26" i="5" s="1"/>
  <c r="AK27" i="5"/>
  <c r="BS27" i="5" s="1"/>
  <c r="AL27" i="5"/>
  <c r="BT27" i="5" s="1"/>
  <c r="AM27" i="5"/>
  <c r="BU27" i="5" s="1"/>
  <c r="AN27" i="5"/>
  <c r="BV27" i="5" s="1"/>
  <c r="AO27" i="5"/>
  <c r="BW27" i="5" s="1"/>
  <c r="AP27" i="5"/>
  <c r="BX27" i="5" s="1"/>
  <c r="AQ27" i="5"/>
  <c r="BY27" i="5" s="1"/>
  <c r="AR27" i="5"/>
  <c r="BZ27" i="5" s="1"/>
  <c r="AT27" i="5"/>
  <c r="CB27" i="5" s="1"/>
  <c r="AU27" i="5"/>
  <c r="CC27" i="5" s="1"/>
  <c r="AV27" i="5"/>
  <c r="CD27" i="5" s="1"/>
  <c r="AW27" i="5"/>
  <c r="CE27" i="5" s="1"/>
  <c r="AY27" i="5"/>
  <c r="CG27" i="5" s="1"/>
  <c r="AK28" i="5"/>
  <c r="BS28" i="5" s="1"/>
  <c r="AL28" i="5"/>
  <c r="BT28" i="5" s="1"/>
  <c r="AM28" i="5"/>
  <c r="BU28" i="5" s="1"/>
  <c r="AN28" i="5"/>
  <c r="BV28" i="5" s="1"/>
  <c r="AO28" i="5"/>
  <c r="BW28" i="5" s="1"/>
  <c r="AP28" i="5"/>
  <c r="BX28" i="5" s="1"/>
  <c r="AQ28" i="5"/>
  <c r="BY28" i="5" s="1"/>
  <c r="AR28" i="5"/>
  <c r="BZ28" i="5" s="1"/>
  <c r="AT28" i="5"/>
  <c r="CB28" i="5" s="1"/>
  <c r="AU28" i="5"/>
  <c r="CC28" i="5" s="1"/>
  <c r="AV28" i="5"/>
  <c r="CD28" i="5" s="1"/>
  <c r="AW28" i="5"/>
  <c r="CE28" i="5" s="1"/>
  <c r="AY28" i="5"/>
  <c r="CG28" i="5" s="1"/>
  <c r="AK29" i="5"/>
  <c r="BS29" i="5" s="1"/>
  <c r="AL29" i="5"/>
  <c r="BT29" i="5" s="1"/>
  <c r="AM29" i="5"/>
  <c r="BU29" i="5" s="1"/>
  <c r="AN29" i="5"/>
  <c r="BV29" i="5" s="1"/>
  <c r="AO29" i="5"/>
  <c r="BW29" i="5" s="1"/>
  <c r="AP29" i="5"/>
  <c r="BX29" i="5" s="1"/>
  <c r="AQ29" i="5"/>
  <c r="BY29" i="5" s="1"/>
  <c r="AR29" i="5"/>
  <c r="BZ29" i="5" s="1"/>
  <c r="AT29" i="5"/>
  <c r="CB29" i="5" s="1"/>
  <c r="AU29" i="5"/>
  <c r="CC29" i="5" s="1"/>
  <c r="AV29" i="5"/>
  <c r="CD29" i="5" s="1"/>
  <c r="AW29" i="5"/>
  <c r="CE29" i="5" s="1"/>
  <c r="AY29" i="5"/>
  <c r="CG29" i="5" s="1"/>
  <c r="AK30" i="5"/>
  <c r="BS30" i="5" s="1"/>
  <c r="AL30" i="5"/>
  <c r="BT30" i="5" s="1"/>
  <c r="AM30" i="5"/>
  <c r="BU30" i="5" s="1"/>
  <c r="AN30" i="5"/>
  <c r="BV30" i="5" s="1"/>
  <c r="AO30" i="5"/>
  <c r="BW30" i="5" s="1"/>
  <c r="AP30" i="5"/>
  <c r="BX30" i="5" s="1"/>
  <c r="AQ30" i="5"/>
  <c r="BY30" i="5" s="1"/>
  <c r="AR30" i="5"/>
  <c r="BZ30" i="5" s="1"/>
  <c r="AT30" i="5"/>
  <c r="CB30" i="5" s="1"/>
  <c r="AU30" i="5"/>
  <c r="CC30" i="5" s="1"/>
  <c r="AV30" i="5"/>
  <c r="CD30" i="5" s="1"/>
  <c r="AW30" i="5"/>
  <c r="CE30" i="5" s="1"/>
  <c r="AY30" i="5"/>
  <c r="CG30" i="5" s="1"/>
  <c r="AK31" i="5"/>
  <c r="BS31" i="5" s="1"/>
  <c r="AL31" i="5"/>
  <c r="BT31" i="5" s="1"/>
  <c r="AM31" i="5"/>
  <c r="BU31" i="5" s="1"/>
  <c r="AN31" i="5"/>
  <c r="BV31" i="5" s="1"/>
  <c r="AO31" i="5"/>
  <c r="BW31" i="5" s="1"/>
  <c r="AP31" i="5"/>
  <c r="BX31" i="5" s="1"/>
  <c r="AQ31" i="5"/>
  <c r="BY31" i="5" s="1"/>
  <c r="AR31" i="5"/>
  <c r="BZ31" i="5" s="1"/>
  <c r="AT31" i="5"/>
  <c r="CB31" i="5" s="1"/>
  <c r="AU31" i="5"/>
  <c r="CC31" i="5" s="1"/>
  <c r="AV31" i="5"/>
  <c r="CD31" i="5" s="1"/>
  <c r="AW31" i="5"/>
  <c r="CE31" i="5" s="1"/>
  <c r="AY31" i="5"/>
  <c r="CG31" i="5" s="1"/>
  <c r="AK32" i="5"/>
  <c r="BS32" i="5" s="1"/>
  <c r="AL32" i="5"/>
  <c r="BT32" i="5" s="1"/>
  <c r="AM32" i="5"/>
  <c r="BU32" i="5" s="1"/>
  <c r="AN32" i="5"/>
  <c r="BV32" i="5" s="1"/>
  <c r="AO32" i="5"/>
  <c r="BW32" i="5" s="1"/>
  <c r="AP32" i="5"/>
  <c r="BX32" i="5" s="1"/>
  <c r="AQ32" i="5"/>
  <c r="BY32" i="5" s="1"/>
  <c r="AR32" i="5"/>
  <c r="BZ32" i="5" s="1"/>
  <c r="AT32" i="5"/>
  <c r="CB32" i="5" s="1"/>
  <c r="AU32" i="5"/>
  <c r="CC32" i="5" s="1"/>
  <c r="AV32" i="5"/>
  <c r="CD32" i="5" s="1"/>
  <c r="AW32" i="5"/>
  <c r="CE32" i="5" s="1"/>
  <c r="AY32" i="5"/>
  <c r="CG32" i="5" s="1"/>
  <c r="AK33" i="5"/>
  <c r="BS33" i="5" s="1"/>
  <c r="AL33" i="5"/>
  <c r="BT33" i="5" s="1"/>
  <c r="AM33" i="5"/>
  <c r="BU33" i="5" s="1"/>
  <c r="AN33" i="5"/>
  <c r="BV33" i="5" s="1"/>
  <c r="AO33" i="5"/>
  <c r="BW33" i="5" s="1"/>
  <c r="AP33" i="5"/>
  <c r="BX33" i="5" s="1"/>
  <c r="AQ33" i="5"/>
  <c r="BY33" i="5" s="1"/>
  <c r="AR33" i="5"/>
  <c r="BZ33" i="5" s="1"/>
  <c r="AT33" i="5"/>
  <c r="CB33" i="5" s="1"/>
  <c r="AU33" i="5"/>
  <c r="CC33" i="5" s="1"/>
  <c r="AV33" i="5"/>
  <c r="CD33" i="5" s="1"/>
  <c r="AW33" i="5"/>
  <c r="CE33" i="5" s="1"/>
  <c r="AY33" i="5"/>
  <c r="CG33" i="5" s="1"/>
  <c r="AK34" i="5"/>
  <c r="BS34" i="5" s="1"/>
  <c r="AL34" i="5"/>
  <c r="BT34" i="5" s="1"/>
  <c r="AM34" i="5"/>
  <c r="BU34" i="5" s="1"/>
  <c r="AN34" i="5"/>
  <c r="BV34" i="5" s="1"/>
  <c r="AO34" i="5"/>
  <c r="BW34" i="5" s="1"/>
  <c r="AP34" i="5"/>
  <c r="BX34" i="5" s="1"/>
  <c r="AQ34" i="5"/>
  <c r="BY34" i="5" s="1"/>
  <c r="AR34" i="5"/>
  <c r="BZ34" i="5" s="1"/>
  <c r="AT34" i="5"/>
  <c r="CB34" i="5" s="1"/>
  <c r="AU34" i="5"/>
  <c r="CC34" i="5" s="1"/>
  <c r="AV34" i="5"/>
  <c r="CD34" i="5" s="1"/>
  <c r="AW34" i="5"/>
  <c r="CE34" i="5" s="1"/>
  <c r="AY34" i="5"/>
  <c r="CG34" i="5" s="1"/>
  <c r="AK35" i="5"/>
  <c r="BS35" i="5" s="1"/>
  <c r="AL35" i="5"/>
  <c r="BT35" i="5" s="1"/>
  <c r="AM35" i="5"/>
  <c r="BU35" i="5" s="1"/>
  <c r="AN35" i="5"/>
  <c r="BV35" i="5" s="1"/>
  <c r="AO35" i="5"/>
  <c r="BW35" i="5" s="1"/>
  <c r="AP35" i="5"/>
  <c r="BX35" i="5" s="1"/>
  <c r="AQ35" i="5"/>
  <c r="BY35" i="5" s="1"/>
  <c r="AR35" i="5"/>
  <c r="BZ35" i="5" s="1"/>
  <c r="AT35" i="5"/>
  <c r="CB35" i="5" s="1"/>
  <c r="AU35" i="5"/>
  <c r="CC35" i="5" s="1"/>
  <c r="AV35" i="5"/>
  <c r="CD35" i="5" s="1"/>
  <c r="AW35" i="5"/>
  <c r="CE35" i="5" s="1"/>
  <c r="AY35" i="5"/>
  <c r="CG35" i="5" s="1"/>
  <c r="AK36" i="5"/>
  <c r="BS36" i="5" s="1"/>
  <c r="AL36" i="5"/>
  <c r="BT36" i="5" s="1"/>
  <c r="AM36" i="5"/>
  <c r="BU36" i="5" s="1"/>
  <c r="AN36" i="5"/>
  <c r="BV36" i="5" s="1"/>
  <c r="AO36" i="5"/>
  <c r="BW36" i="5" s="1"/>
  <c r="AP36" i="5"/>
  <c r="BX36" i="5" s="1"/>
  <c r="AQ36" i="5"/>
  <c r="BY36" i="5" s="1"/>
  <c r="AR36" i="5"/>
  <c r="BZ36" i="5" s="1"/>
  <c r="AT36" i="5"/>
  <c r="CB36" i="5" s="1"/>
  <c r="AU36" i="5"/>
  <c r="CC36" i="5" s="1"/>
  <c r="AV36" i="5"/>
  <c r="CD36" i="5" s="1"/>
  <c r="AW36" i="5"/>
  <c r="CE36" i="5" s="1"/>
  <c r="AY36" i="5"/>
  <c r="CG36" i="5" s="1"/>
  <c r="AK37" i="5"/>
  <c r="BS37" i="5" s="1"/>
  <c r="AL37" i="5"/>
  <c r="BT37" i="5" s="1"/>
  <c r="AM37" i="5"/>
  <c r="BU37" i="5" s="1"/>
  <c r="AN37" i="5"/>
  <c r="BV37" i="5" s="1"/>
  <c r="AO37" i="5"/>
  <c r="BW37" i="5" s="1"/>
  <c r="AP37" i="5"/>
  <c r="BX37" i="5" s="1"/>
  <c r="AQ37" i="5"/>
  <c r="BY37" i="5" s="1"/>
  <c r="AR37" i="5"/>
  <c r="BZ37" i="5" s="1"/>
  <c r="AT37" i="5"/>
  <c r="CB37" i="5" s="1"/>
  <c r="AU37" i="5"/>
  <c r="CC37" i="5" s="1"/>
  <c r="AV37" i="5"/>
  <c r="CD37" i="5" s="1"/>
  <c r="AW37" i="5"/>
  <c r="CE37" i="5" s="1"/>
  <c r="AY37" i="5"/>
  <c r="CG37" i="5" s="1"/>
  <c r="AK38" i="5"/>
  <c r="BS38" i="5" s="1"/>
  <c r="AL38" i="5"/>
  <c r="BT38" i="5" s="1"/>
  <c r="AM38" i="5"/>
  <c r="BU38" i="5" s="1"/>
  <c r="AN38" i="5"/>
  <c r="BV38" i="5" s="1"/>
  <c r="AO38" i="5"/>
  <c r="BW38" i="5" s="1"/>
  <c r="AP38" i="5"/>
  <c r="BX38" i="5" s="1"/>
  <c r="AQ38" i="5"/>
  <c r="BY38" i="5" s="1"/>
  <c r="AR38" i="5"/>
  <c r="BZ38" i="5" s="1"/>
  <c r="AT38" i="5"/>
  <c r="CB38" i="5" s="1"/>
  <c r="AU38" i="5"/>
  <c r="CC38" i="5" s="1"/>
  <c r="AV38" i="5"/>
  <c r="CD38" i="5" s="1"/>
  <c r="AW38" i="5"/>
  <c r="CE38" i="5" s="1"/>
  <c r="AY38" i="5"/>
  <c r="CG38" i="5" s="1"/>
  <c r="AK39" i="5"/>
  <c r="BS39" i="5" s="1"/>
  <c r="AL39" i="5"/>
  <c r="BT39" i="5" s="1"/>
  <c r="AM39" i="5"/>
  <c r="BU39" i="5" s="1"/>
  <c r="AN39" i="5"/>
  <c r="BV39" i="5" s="1"/>
  <c r="AO39" i="5"/>
  <c r="BW39" i="5" s="1"/>
  <c r="AP39" i="5"/>
  <c r="BX39" i="5" s="1"/>
  <c r="AQ39" i="5"/>
  <c r="BY39" i="5" s="1"/>
  <c r="AR39" i="5"/>
  <c r="BZ39" i="5" s="1"/>
  <c r="AT39" i="5"/>
  <c r="CB39" i="5" s="1"/>
  <c r="AU39" i="5"/>
  <c r="CC39" i="5" s="1"/>
  <c r="AV39" i="5"/>
  <c r="CD39" i="5" s="1"/>
  <c r="AW39" i="5"/>
  <c r="CE39" i="5" s="1"/>
  <c r="AY39" i="5"/>
  <c r="CG39" i="5" s="1"/>
  <c r="AK40" i="5"/>
  <c r="BS40" i="5" s="1"/>
  <c r="AL40" i="5"/>
  <c r="BT40" i="5" s="1"/>
  <c r="AM40" i="5"/>
  <c r="BU40" i="5" s="1"/>
  <c r="AN40" i="5"/>
  <c r="BV40" i="5" s="1"/>
  <c r="AO40" i="5"/>
  <c r="BW40" i="5" s="1"/>
  <c r="AP40" i="5"/>
  <c r="BX40" i="5" s="1"/>
  <c r="AQ40" i="5"/>
  <c r="BY40" i="5" s="1"/>
  <c r="AR40" i="5"/>
  <c r="BZ40" i="5" s="1"/>
  <c r="AT40" i="5"/>
  <c r="CB40" i="5" s="1"/>
  <c r="AU40" i="5"/>
  <c r="CC40" i="5" s="1"/>
  <c r="AV40" i="5"/>
  <c r="CD40" i="5" s="1"/>
  <c r="AW40" i="5"/>
  <c r="CE40" i="5" s="1"/>
  <c r="AY40" i="5"/>
  <c r="CG40" i="5" s="1"/>
  <c r="AK41" i="5"/>
  <c r="BS41" i="5" s="1"/>
  <c r="AL41" i="5"/>
  <c r="BT41" i="5" s="1"/>
  <c r="AM41" i="5"/>
  <c r="BU41" i="5" s="1"/>
  <c r="AN41" i="5"/>
  <c r="BV41" i="5" s="1"/>
  <c r="AO41" i="5"/>
  <c r="BW41" i="5" s="1"/>
  <c r="AP41" i="5"/>
  <c r="BX41" i="5" s="1"/>
  <c r="AQ41" i="5"/>
  <c r="BY41" i="5" s="1"/>
  <c r="AR41" i="5"/>
  <c r="BZ41" i="5" s="1"/>
  <c r="AT41" i="5"/>
  <c r="CB41" i="5" s="1"/>
  <c r="AU41" i="5"/>
  <c r="CC41" i="5" s="1"/>
  <c r="AV41" i="5"/>
  <c r="CD41" i="5" s="1"/>
  <c r="AW41" i="5"/>
  <c r="CE41" i="5" s="1"/>
  <c r="AY41" i="5"/>
  <c r="CG41" i="5" s="1"/>
  <c r="AK42" i="5"/>
  <c r="BS42" i="5" s="1"/>
  <c r="AL42" i="5"/>
  <c r="BT42" i="5" s="1"/>
  <c r="AM42" i="5"/>
  <c r="BU42" i="5" s="1"/>
  <c r="AN42" i="5"/>
  <c r="BV42" i="5" s="1"/>
  <c r="AO42" i="5"/>
  <c r="BW42" i="5" s="1"/>
  <c r="AP42" i="5"/>
  <c r="BX42" i="5" s="1"/>
  <c r="AQ42" i="5"/>
  <c r="BY42" i="5" s="1"/>
  <c r="AR42" i="5"/>
  <c r="BZ42" i="5" s="1"/>
  <c r="AT42" i="5"/>
  <c r="CB42" i="5" s="1"/>
  <c r="AU42" i="5"/>
  <c r="CC42" i="5" s="1"/>
  <c r="AV42" i="5"/>
  <c r="CD42" i="5" s="1"/>
  <c r="AW42" i="5"/>
  <c r="CE42" i="5" s="1"/>
  <c r="AY42" i="5"/>
  <c r="CG42" i="5" s="1"/>
  <c r="AK43" i="5"/>
  <c r="BS43" i="5" s="1"/>
  <c r="AL43" i="5"/>
  <c r="BT43" i="5" s="1"/>
  <c r="AM43" i="5"/>
  <c r="BU43" i="5" s="1"/>
  <c r="AN43" i="5"/>
  <c r="BV43" i="5" s="1"/>
  <c r="AO43" i="5"/>
  <c r="BW43" i="5" s="1"/>
  <c r="AP43" i="5"/>
  <c r="BX43" i="5" s="1"/>
  <c r="AQ43" i="5"/>
  <c r="BY43" i="5" s="1"/>
  <c r="AR43" i="5"/>
  <c r="BZ43" i="5" s="1"/>
  <c r="AT43" i="5"/>
  <c r="CB43" i="5" s="1"/>
  <c r="AU43" i="5"/>
  <c r="CC43" i="5" s="1"/>
  <c r="AV43" i="5"/>
  <c r="CD43" i="5" s="1"/>
  <c r="AW43" i="5"/>
  <c r="CE43" i="5" s="1"/>
  <c r="AY43" i="5"/>
  <c r="CG43" i="5" s="1"/>
  <c r="AK44" i="5"/>
  <c r="BS44" i="5" s="1"/>
  <c r="AL44" i="5"/>
  <c r="BT44" i="5" s="1"/>
  <c r="AM44" i="5"/>
  <c r="BU44" i="5" s="1"/>
  <c r="AN44" i="5"/>
  <c r="BV44" i="5" s="1"/>
  <c r="AO44" i="5"/>
  <c r="BW44" i="5" s="1"/>
  <c r="AP44" i="5"/>
  <c r="BX44" i="5" s="1"/>
  <c r="AQ44" i="5"/>
  <c r="BY44" i="5" s="1"/>
  <c r="AR44" i="5"/>
  <c r="BZ44" i="5" s="1"/>
  <c r="AT44" i="5"/>
  <c r="CB44" i="5" s="1"/>
  <c r="AU44" i="5"/>
  <c r="CC44" i="5" s="1"/>
  <c r="AV44" i="5"/>
  <c r="CD44" i="5" s="1"/>
  <c r="AW44" i="5"/>
  <c r="CE44" i="5" s="1"/>
  <c r="AY44" i="5"/>
  <c r="CG44" i="5" s="1"/>
  <c r="AK45" i="5"/>
  <c r="BS45" i="5" s="1"/>
  <c r="AL45" i="5"/>
  <c r="BT45" i="5" s="1"/>
  <c r="AM45" i="5"/>
  <c r="BU45" i="5" s="1"/>
  <c r="AN45" i="5"/>
  <c r="BV45" i="5" s="1"/>
  <c r="AO45" i="5"/>
  <c r="BW45" i="5" s="1"/>
  <c r="AP45" i="5"/>
  <c r="BX45" i="5" s="1"/>
  <c r="AQ45" i="5"/>
  <c r="BY45" i="5" s="1"/>
  <c r="AR45" i="5"/>
  <c r="BZ45" i="5" s="1"/>
  <c r="AT45" i="5"/>
  <c r="CB45" i="5" s="1"/>
  <c r="AU45" i="5"/>
  <c r="CC45" i="5" s="1"/>
  <c r="AV45" i="5"/>
  <c r="CD45" i="5" s="1"/>
  <c r="AW45" i="5"/>
  <c r="CE45" i="5" s="1"/>
  <c r="AY45" i="5"/>
  <c r="CG45" i="5" s="1"/>
  <c r="AK46" i="5"/>
  <c r="BS46" i="5" s="1"/>
  <c r="AL46" i="5"/>
  <c r="BT46" i="5" s="1"/>
  <c r="AM46" i="5"/>
  <c r="BU46" i="5" s="1"/>
  <c r="AN46" i="5"/>
  <c r="BV46" i="5" s="1"/>
  <c r="AO46" i="5"/>
  <c r="BW46" i="5" s="1"/>
  <c r="AP46" i="5"/>
  <c r="BX46" i="5" s="1"/>
  <c r="AQ46" i="5"/>
  <c r="BY46" i="5" s="1"/>
  <c r="AR46" i="5"/>
  <c r="BZ46" i="5" s="1"/>
  <c r="AT46" i="5"/>
  <c r="CB46" i="5" s="1"/>
  <c r="AU46" i="5"/>
  <c r="CC46" i="5" s="1"/>
  <c r="AV46" i="5"/>
  <c r="CD46" i="5" s="1"/>
  <c r="AW46" i="5"/>
  <c r="CE46" i="5" s="1"/>
  <c r="AY46" i="5"/>
  <c r="CG46" i="5" s="1"/>
  <c r="AK47" i="5"/>
  <c r="BS47" i="5" s="1"/>
  <c r="AL47" i="5"/>
  <c r="BT47" i="5" s="1"/>
  <c r="AM47" i="5"/>
  <c r="BU47" i="5" s="1"/>
  <c r="AN47" i="5"/>
  <c r="BV47" i="5" s="1"/>
  <c r="AO47" i="5"/>
  <c r="BW47" i="5" s="1"/>
  <c r="AP47" i="5"/>
  <c r="BX47" i="5" s="1"/>
  <c r="AQ47" i="5"/>
  <c r="BY47" i="5" s="1"/>
  <c r="AR47" i="5"/>
  <c r="BZ47" i="5" s="1"/>
  <c r="AT47" i="5"/>
  <c r="CB47" i="5" s="1"/>
  <c r="AU47" i="5"/>
  <c r="CC47" i="5" s="1"/>
  <c r="AV47" i="5"/>
  <c r="CD47" i="5" s="1"/>
  <c r="AW47" i="5"/>
  <c r="CE47" i="5" s="1"/>
  <c r="AY47" i="5"/>
  <c r="CG47" i="5" s="1"/>
  <c r="AK48" i="5"/>
  <c r="BS48" i="5" s="1"/>
  <c r="AL48" i="5"/>
  <c r="BT48" i="5" s="1"/>
  <c r="AM48" i="5"/>
  <c r="BU48" i="5" s="1"/>
  <c r="AN48" i="5"/>
  <c r="BV48" i="5" s="1"/>
  <c r="AO48" i="5"/>
  <c r="BW48" i="5" s="1"/>
  <c r="AP48" i="5"/>
  <c r="BX48" i="5" s="1"/>
  <c r="AQ48" i="5"/>
  <c r="BY48" i="5" s="1"/>
  <c r="AR48" i="5"/>
  <c r="BZ48" i="5" s="1"/>
  <c r="AT48" i="5"/>
  <c r="CB48" i="5" s="1"/>
  <c r="AU48" i="5"/>
  <c r="CC48" i="5" s="1"/>
  <c r="AV48" i="5"/>
  <c r="CD48" i="5" s="1"/>
  <c r="AW48" i="5"/>
  <c r="CE48" i="5" s="1"/>
  <c r="AY48" i="5"/>
  <c r="CG48" i="5" s="1"/>
  <c r="AK49" i="5"/>
  <c r="BS49" i="5" s="1"/>
  <c r="AL49" i="5"/>
  <c r="BT49" i="5" s="1"/>
  <c r="AM49" i="5"/>
  <c r="BU49" i="5" s="1"/>
  <c r="AN49" i="5"/>
  <c r="BV49" i="5" s="1"/>
  <c r="AO49" i="5"/>
  <c r="BW49" i="5" s="1"/>
  <c r="AP49" i="5"/>
  <c r="BX49" i="5" s="1"/>
  <c r="AQ49" i="5"/>
  <c r="BY49" i="5" s="1"/>
  <c r="AR49" i="5"/>
  <c r="BZ49" i="5" s="1"/>
  <c r="AT49" i="5"/>
  <c r="CB49" i="5" s="1"/>
  <c r="AU49" i="5"/>
  <c r="CC49" i="5" s="1"/>
  <c r="AV49" i="5"/>
  <c r="CD49" i="5" s="1"/>
  <c r="AW49" i="5"/>
  <c r="CE49" i="5" s="1"/>
  <c r="AY49" i="5"/>
  <c r="CG49" i="5" s="1"/>
  <c r="AK50" i="5"/>
  <c r="BS50" i="5" s="1"/>
  <c r="AL50" i="5"/>
  <c r="BT50" i="5" s="1"/>
  <c r="AM50" i="5"/>
  <c r="BU50" i="5" s="1"/>
  <c r="AN50" i="5"/>
  <c r="BV50" i="5" s="1"/>
  <c r="AO50" i="5"/>
  <c r="BW50" i="5" s="1"/>
  <c r="AP50" i="5"/>
  <c r="BX50" i="5" s="1"/>
  <c r="AQ50" i="5"/>
  <c r="BY50" i="5" s="1"/>
  <c r="AR50" i="5"/>
  <c r="BZ50" i="5" s="1"/>
  <c r="AT50" i="5"/>
  <c r="CB50" i="5" s="1"/>
  <c r="AU50" i="5"/>
  <c r="CC50" i="5" s="1"/>
  <c r="AV50" i="5"/>
  <c r="CD50" i="5" s="1"/>
  <c r="AW50" i="5"/>
  <c r="CE50" i="5" s="1"/>
  <c r="AY50" i="5"/>
  <c r="CG50" i="5" s="1"/>
  <c r="AK51" i="5"/>
  <c r="BS51" i="5" s="1"/>
  <c r="AL51" i="5"/>
  <c r="BT51" i="5" s="1"/>
  <c r="AM51" i="5"/>
  <c r="BU51" i="5" s="1"/>
  <c r="AN51" i="5"/>
  <c r="BV51" i="5" s="1"/>
  <c r="AO51" i="5"/>
  <c r="BW51" i="5" s="1"/>
  <c r="AP51" i="5"/>
  <c r="BX51" i="5" s="1"/>
  <c r="AQ51" i="5"/>
  <c r="BY51" i="5" s="1"/>
  <c r="AR51" i="5"/>
  <c r="BZ51" i="5" s="1"/>
  <c r="AT51" i="5"/>
  <c r="CB51" i="5" s="1"/>
  <c r="AU51" i="5"/>
  <c r="CC51" i="5" s="1"/>
  <c r="AV51" i="5"/>
  <c r="CD51" i="5" s="1"/>
  <c r="AW51" i="5"/>
  <c r="CE51" i="5" s="1"/>
  <c r="AY51" i="5"/>
  <c r="CG51" i="5" s="1"/>
  <c r="AK52" i="5"/>
  <c r="BS52" i="5" s="1"/>
  <c r="AL52" i="5"/>
  <c r="BT52" i="5" s="1"/>
  <c r="AM52" i="5"/>
  <c r="BU52" i="5" s="1"/>
  <c r="AN52" i="5"/>
  <c r="BV52" i="5" s="1"/>
  <c r="AO52" i="5"/>
  <c r="BW52" i="5" s="1"/>
  <c r="AP52" i="5"/>
  <c r="BX52" i="5" s="1"/>
  <c r="AQ52" i="5"/>
  <c r="BY52" i="5" s="1"/>
  <c r="AR52" i="5"/>
  <c r="BZ52" i="5" s="1"/>
  <c r="AT52" i="5"/>
  <c r="CB52" i="5" s="1"/>
  <c r="AU52" i="5"/>
  <c r="CC52" i="5" s="1"/>
  <c r="AV52" i="5"/>
  <c r="CD52" i="5" s="1"/>
  <c r="AW52" i="5"/>
  <c r="CE52" i="5" s="1"/>
  <c r="AY52" i="5"/>
  <c r="CG52" i="5" s="1"/>
  <c r="AK53" i="5"/>
  <c r="BS53" i="5" s="1"/>
  <c r="AL53" i="5"/>
  <c r="BT53" i="5" s="1"/>
  <c r="AM53" i="5"/>
  <c r="BU53" i="5" s="1"/>
  <c r="AN53" i="5"/>
  <c r="BV53" i="5" s="1"/>
  <c r="AO53" i="5"/>
  <c r="BW53" i="5" s="1"/>
  <c r="AP53" i="5"/>
  <c r="BX53" i="5" s="1"/>
  <c r="AQ53" i="5"/>
  <c r="BY53" i="5" s="1"/>
  <c r="AR53" i="5"/>
  <c r="BZ53" i="5" s="1"/>
  <c r="AT53" i="5"/>
  <c r="CB53" i="5" s="1"/>
  <c r="AU53" i="5"/>
  <c r="CC53" i="5" s="1"/>
  <c r="AV53" i="5"/>
  <c r="CD53" i="5" s="1"/>
  <c r="AW53" i="5"/>
  <c r="CE53" i="5" s="1"/>
  <c r="AY53" i="5"/>
  <c r="CG53" i="5" s="1"/>
  <c r="AK54" i="5"/>
  <c r="BS54" i="5" s="1"/>
  <c r="AL54" i="5"/>
  <c r="BT54" i="5" s="1"/>
  <c r="AM54" i="5"/>
  <c r="BU54" i="5" s="1"/>
  <c r="AN54" i="5"/>
  <c r="BV54" i="5" s="1"/>
  <c r="AO54" i="5"/>
  <c r="BW54" i="5" s="1"/>
  <c r="AP54" i="5"/>
  <c r="BX54" i="5" s="1"/>
  <c r="AQ54" i="5"/>
  <c r="BY54" i="5" s="1"/>
  <c r="AR54" i="5"/>
  <c r="BZ54" i="5" s="1"/>
  <c r="AT54" i="5"/>
  <c r="CB54" i="5" s="1"/>
  <c r="AU54" i="5"/>
  <c r="CC54" i="5" s="1"/>
  <c r="AV54" i="5"/>
  <c r="CD54" i="5" s="1"/>
  <c r="AW54" i="5"/>
  <c r="CE54" i="5" s="1"/>
  <c r="AY54" i="5"/>
  <c r="CG54" i="5" s="1"/>
  <c r="AK55" i="5"/>
  <c r="BS55" i="5" s="1"/>
  <c r="AL55" i="5"/>
  <c r="BT55" i="5" s="1"/>
  <c r="AM55" i="5"/>
  <c r="BU55" i="5" s="1"/>
  <c r="AN55" i="5"/>
  <c r="BV55" i="5" s="1"/>
  <c r="AO55" i="5"/>
  <c r="BW55" i="5" s="1"/>
  <c r="AP55" i="5"/>
  <c r="BX55" i="5" s="1"/>
  <c r="AQ55" i="5"/>
  <c r="BY55" i="5" s="1"/>
  <c r="AR55" i="5"/>
  <c r="BZ55" i="5" s="1"/>
  <c r="AT55" i="5"/>
  <c r="CB55" i="5" s="1"/>
  <c r="AU55" i="5"/>
  <c r="CC55" i="5" s="1"/>
  <c r="AV55" i="5"/>
  <c r="CD55" i="5" s="1"/>
  <c r="AW55" i="5"/>
  <c r="CE55" i="5" s="1"/>
  <c r="AY55" i="5"/>
  <c r="CG55" i="5" s="1"/>
  <c r="D37" i="30" l="1"/>
  <c r="E37" i="30"/>
  <c r="F37" i="30"/>
  <c r="G37" i="30"/>
  <c r="H37" i="30"/>
  <c r="I37" i="30"/>
  <c r="J37" i="30"/>
  <c r="K37" i="30"/>
  <c r="M37" i="30"/>
  <c r="N37" i="30"/>
  <c r="O37" i="30"/>
  <c r="P37" i="30"/>
  <c r="D38" i="30"/>
  <c r="E38" i="30"/>
  <c r="F38" i="30"/>
  <c r="G38" i="30"/>
  <c r="H38" i="30"/>
  <c r="I38" i="30"/>
  <c r="J38" i="30"/>
  <c r="K38" i="30"/>
  <c r="M38" i="30"/>
  <c r="N38" i="30"/>
  <c r="O38" i="30"/>
  <c r="P38" i="30"/>
  <c r="D39" i="30"/>
  <c r="E39" i="30"/>
  <c r="F39" i="30"/>
  <c r="G39" i="30"/>
  <c r="H39" i="30"/>
  <c r="I39" i="30"/>
  <c r="J39" i="30"/>
  <c r="K39" i="30"/>
  <c r="M39" i="30"/>
  <c r="N39" i="30"/>
  <c r="O39" i="30"/>
  <c r="P39" i="30"/>
  <c r="D40" i="30"/>
  <c r="E40" i="30"/>
  <c r="F40" i="30"/>
  <c r="G40" i="30"/>
  <c r="H40" i="30"/>
  <c r="I40" i="30"/>
  <c r="J40" i="30"/>
  <c r="K40" i="30"/>
  <c r="M40" i="30"/>
  <c r="N40" i="30"/>
  <c r="O40" i="30"/>
  <c r="P40" i="30"/>
  <c r="D41" i="30"/>
  <c r="E41" i="30"/>
  <c r="F41" i="30"/>
  <c r="G41" i="30"/>
  <c r="H41" i="30"/>
  <c r="I41" i="30"/>
  <c r="J41" i="30"/>
  <c r="K41" i="30"/>
  <c r="M41" i="30"/>
  <c r="N41" i="30"/>
  <c r="O41" i="30"/>
  <c r="P41" i="30"/>
  <c r="D42" i="30"/>
  <c r="E42" i="30"/>
  <c r="F42" i="30"/>
  <c r="G42" i="30"/>
  <c r="H42" i="30"/>
  <c r="I42" i="30"/>
  <c r="J42" i="30"/>
  <c r="K42" i="30"/>
  <c r="M42" i="30"/>
  <c r="N42" i="30"/>
  <c r="O42" i="30"/>
  <c r="P42" i="30"/>
  <c r="D43" i="30"/>
  <c r="E43" i="30"/>
  <c r="F43" i="30"/>
  <c r="G43" i="30"/>
  <c r="H43" i="30"/>
  <c r="I43" i="30"/>
  <c r="J43" i="30"/>
  <c r="K43" i="30"/>
  <c r="M43" i="30"/>
  <c r="N43" i="30"/>
  <c r="O43" i="30"/>
  <c r="P43" i="30"/>
  <c r="D44" i="30"/>
  <c r="E44" i="30"/>
  <c r="F44" i="30"/>
  <c r="G44" i="30"/>
  <c r="H44" i="30"/>
  <c r="I44" i="30"/>
  <c r="J44" i="30"/>
  <c r="K44" i="30"/>
  <c r="M44" i="30"/>
  <c r="N44" i="30"/>
  <c r="O44" i="30"/>
  <c r="P44" i="30"/>
  <c r="D45" i="30"/>
  <c r="E45" i="30"/>
  <c r="F45" i="30"/>
  <c r="G45" i="30"/>
  <c r="H45" i="30"/>
  <c r="I45" i="30"/>
  <c r="J45" i="30"/>
  <c r="K45" i="30"/>
  <c r="M45" i="30"/>
  <c r="N45" i="30"/>
  <c r="O45" i="30"/>
  <c r="P45" i="30"/>
  <c r="D46" i="30"/>
  <c r="E46" i="30"/>
  <c r="F46" i="30"/>
  <c r="G46" i="30"/>
  <c r="H46" i="30"/>
  <c r="I46" i="30"/>
  <c r="J46" i="30"/>
  <c r="K46" i="30"/>
  <c r="M46" i="30"/>
  <c r="N46" i="30"/>
  <c r="O46" i="30"/>
  <c r="P46" i="30"/>
  <c r="D47" i="30"/>
  <c r="E47" i="30"/>
  <c r="F47" i="30"/>
  <c r="G47" i="30"/>
  <c r="H47" i="30"/>
  <c r="I47" i="30"/>
  <c r="J47" i="30"/>
  <c r="K47" i="30"/>
  <c r="M47" i="30"/>
  <c r="N47" i="30"/>
  <c r="O47" i="30"/>
  <c r="P47" i="30"/>
  <c r="D48" i="30"/>
  <c r="E48" i="30"/>
  <c r="F48" i="30"/>
  <c r="G48" i="30"/>
  <c r="H48" i="30"/>
  <c r="I48" i="30"/>
  <c r="J48" i="30"/>
  <c r="K48" i="30"/>
  <c r="M48" i="30"/>
  <c r="N48" i="30"/>
  <c r="O48" i="30"/>
  <c r="P48" i="30"/>
  <c r="D49" i="30"/>
  <c r="E49" i="30"/>
  <c r="F49" i="30"/>
  <c r="G49" i="30"/>
  <c r="H49" i="30"/>
  <c r="I49" i="30"/>
  <c r="J49" i="30"/>
  <c r="K49" i="30"/>
  <c r="M49" i="30"/>
  <c r="N49" i="30"/>
  <c r="O49" i="30"/>
  <c r="P49" i="30"/>
  <c r="D50" i="30"/>
  <c r="E50" i="30"/>
  <c r="F50" i="30"/>
  <c r="G50" i="30"/>
  <c r="H50" i="30"/>
  <c r="I50" i="30"/>
  <c r="J50" i="30"/>
  <c r="K50" i="30"/>
  <c r="M50" i="30"/>
  <c r="N50" i="30"/>
  <c r="O50" i="30"/>
  <c r="P50" i="30"/>
  <c r="D51" i="30"/>
  <c r="E51" i="30"/>
  <c r="F51" i="30"/>
  <c r="G51" i="30"/>
  <c r="H51" i="30"/>
  <c r="I51" i="30"/>
  <c r="J51" i="30"/>
  <c r="K51" i="30"/>
  <c r="M51" i="30"/>
  <c r="N51" i="30"/>
  <c r="O51" i="30"/>
  <c r="P51" i="30"/>
  <c r="D52" i="30"/>
  <c r="E52" i="30"/>
  <c r="F52" i="30"/>
  <c r="G52" i="30"/>
  <c r="H52" i="30"/>
  <c r="I52" i="30"/>
  <c r="J52" i="30"/>
  <c r="K52" i="30"/>
  <c r="M52" i="30"/>
  <c r="N52" i="30"/>
  <c r="O52" i="30"/>
  <c r="P52" i="30"/>
  <c r="D53" i="30"/>
  <c r="E53" i="30"/>
  <c r="F53" i="30"/>
  <c r="G53" i="30"/>
  <c r="H53" i="30"/>
  <c r="I53" i="30"/>
  <c r="J53" i="30"/>
  <c r="K53" i="30"/>
  <c r="M53" i="30"/>
  <c r="N53" i="30"/>
  <c r="O53" i="30"/>
  <c r="P53" i="30"/>
  <c r="D54" i="30"/>
  <c r="E54" i="30"/>
  <c r="F54" i="30"/>
  <c r="G54" i="30"/>
  <c r="H54" i="30"/>
  <c r="I54" i="30"/>
  <c r="J54" i="30"/>
  <c r="K54" i="30"/>
  <c r="M54" i="30"/>
  <c r="N54" i="30"/>
  <c r="O54" i="30"/>
  <c r="P54" i="30"/>
  <c r="D55" i="30"/>
  <c r="E55" i="30"/>
  <c r="F55" i="30"/>
  <c r="G55" i="30"/>
  <c r="H55" i="30"/>
  <c r="I55" i="30"/>
  <c r="J55" i="30"/>
  <c r="K55" i="30"/>
  <c r="M55" i="30"/>
  <c r="N55" i="30"/>
  <c r="O55" i="30"/>
  <c r="P55" i="30"/>
  <c r="U7" i="18"/>
  <c r="V7" i="18"/>
  <c r="AL7" i="18" s="1"/>
  <c r="W7" i="18"/>
  <c r="AM7" i="18" s="1"/>
  <c r="X7" i="18"/>
  <c r="AN7" i="18" s="1"/>
  <c r="Y7" i="18"/>
  <c r="AO7" i="18" s="1"/>
  <c r="Z7" i="18"/>
  <c r="AP7" i="18" s="1"/>
  <c r="AA7" i="18"/>
  <c r="AQ7" i="18" s="1"/>
  <c r="AC7" i="18"/>
  <c r="AS7" i="18" s="1"/>
  <c r="AD7" i="18"/>
  <c r="AT7" i="18" s="1"/>
  <c r="AE7" i="18"/>
  <c r="AU7" i="18" s="1"/>
  <c r="AF7" i="18"/>
  <c r="AV7" i="18" s="1"/>
  <c r="U8" i="18"/>
  <c r="V8" i="18"/>
  <c r="AL8" i="18" s="1"/>
  <c r="W8" i="18"/>
  <c r="AM8" i="18" s="1"/>
  <c r="X8" i="18"/>
  <c r="AN8" i="18" s="1"/>
  <c r="Y8" i="18"/>
  <c r="AO8" i="18" s="1"/>
  <c r="Z8" i="18"/>
  <c r="AP8" i="18" s="1"/>
  <c r="AA8" i="18"/>
  <c r="AQ8" i="18" s="1"/>
  <c r="AC8" i="18"/>
  <c r="AS8" i="18" s="1"/>
  <c r="AD8" i="18"/>
  <c r="AT8" i="18" s="1"/>
  <c r="AE8" i="18"/>
  <c r="AU8" i="18" s="1"/>
  <c r="AF8" i="18"/>
  <c r="AV8" i="18" s="1"/>
  <c r="U9" i="18"/>
  <c r="V9" i="18"/>
  <c r="AL9" i="18" s="1"/>
  <c r="W9" i="18"/>
  <c r="AM9" i="18" s="1"/>
  <c r="X9" i="18"/>
  <c r="AN9" i="18" s="1"/>
  <c r="Y9" i="18"/>
  <c r="AO9" i="18" s="1"/>
  <c r="Z9" i="18"/>
  <c r="AP9" i="18" s="1"/>
  <c r="AA9" i="18"/>
  <c r="AQ9" i="18" s="1"/>
  <c r="AC9" i="18"/>
  <c r="AS9" i="18" s="1"/>
  <c r="AD9" i="18"/>
  <c r="AT9" i="18" s="1"/>
  <c r="AE9" i="18"/>
  <c r="AU9" i="18" s="1"/>
  <c r="AF9" i="18"/>
  <c r="AV9" i="18" s="1"/>
  <c r="U10" i="18"/>
  <c r="V10" i="18"/>
  <c r="AL10" i="18" s="1"/>
  <c r="W10" i="18"/>
  <c r="AM10" i="18" s="1"/>
  <c r="X10" i="18"/>
  <c r="AN10" i="18" s="1"/>
  <c r="Y10" i="18"/>
  <c r="AO10" i="18" s="1"/>
  <c r="Z10" i="18"/>
  <c r="AP10" i="18" s="1"/>
  <c r="AA10" i="18"/>
  <c r="AQ10" i="18" s="1"/>
  <c r="AC10" i="18"/>
  <c r="AS10" i="18" s="1"/>
  <c r="AD10" i="18"/>
  <c r="AT10" i="18" s="1"/>
  <c r="AE10" i="18"/>
  <c r="AU10" i="18" s="1"/>
  <c r="AF10" i="18"/>
  <c r="AV10" i="18" s="1"/>
  <c r="U11" i="18"/>
  <c r="V11" i="18"/>
  <c r="AL11" i="18" s="1"/>
  <c r="W11" i="18"/>
  <c r="AM11" i="18" s="1"/>
  <c r="X11" i="18"/>
  <c r="AN11" i="18" s="1"/>
  <c r="Y11" i="18"/>
  <c r="AO11" i="18" s="1"/>
  <c r="Z11" i="18"/>
  <c r="AP11" i="18" s="1"/>
  <c r="AA11" i="18"/>
  <c r="AQ11" i="18" s="1"/>
  <c r="AC11" i="18"/>
  <c r="AS11" i="18" s="1"/>
  <c r="AD11" i="18"/>
  <c r="AT11" i="18" s="1"/>
  <c r="AE11" i="18"/>
  <c r="AU11" i="18" s="1"/>
  <c r="AF11" i="18"/>
  <c r="AV11" i="18" s="1"/>
  <c r="U12" i="18"/>
  <c r="V12" i="18"/>
  <c r="AL12" i="18" s="1"/>
  <c r="W12" i="18"/>
  <c r="AM12" i="18" s="1"/>
  <c r="X12" i="18"/>
  <c r="AN12" i="18" s="1"/>
  <c r="Y12" i="18"/>
  <c r="AO12" i="18" s="1"/>
  <c r="Z12" i="18"/>
  <c r="AP12" i="18" s="1"/>
  <c r="AA12" i="18"/>
  <c r="AQ12" i="18" s="1"/>
  <c r="AC12" i="18"/>
  <c r="AS12" i="18" s="1"/>
  <c r="AD12" i="18"/>
  <c r="AT12" i="18" s="1"/>
  <c r="AE12" i="18"/>
  <c r="AU12" i="18" s="1"/>
  <c r="AF12" i="18"/>
  <c r="AV12" i="18" s="1"/>
  <c r="U13" i="18"/>
  <c r="V13" i="18"/>
  <c r="AL13" i="18" s="1"/>
  <c r="W13" i="18"/>
  <c r="AM13" i="18" s="1"/>
  <c r="X13" i="18"/>
  <c r="AN13" i="18" s="1"/>
  <c r="Y13" i="18"/>
  <c r="AO13" i="18" s="1"/>
  <c r="Z13" i="18"/>
  <c r="AP13" i="18" s="1"/>
  <c r="AA13" i="18"/>
  <c r="AQ13" i="18" s="1"/>
  <c r="AC13" i="18"/>
  <c r="AS13" i="18" s="1"/>
  <c r="AD13" i="18"/>
  <c r="AT13" i="18" s="1"/>
  <c r="AE13" i="18"/>
  <c r="AU13" i="18" s="1"/>
  <c r="AF13" i="18"/>
  <c r="AV13" i="18" s="1"/>
  <c r="U14" i="18"/>
  <c r="V14" i="18"/>
  <c r="AL14" i="18" s="1"/>
  <c r="W14" i="18"/>
  <c r="AM14" i="18" s="1"/>
  <c r="X14" i="18"/>
  <c r="AN14" i="18" s="1"/>
  <c r="Y14" i="18"/>
  <c r="AO14" i="18" s="1"/>
  <c r="Z14" i="18"/>
  <c r="AP14" i="18" s="1"/>
  <c r="AA14" i="18"/>
  <c r="AQ14" i="18" s="1"/>
  <c r="AC14" i="18"/>
  <c r="AS14" i="18" s="1"/>
  <c r="AD14" i="18"/>
  <c r="AT14" i="18" s="1"/>
  <c r="AE14" i="18"/>
  <c r="AU14" i="18" s="1"/>
  <c r="AF14" i="18"/>
  <c r="AV14" i="18" s="1"/>
  <c r="U15" i="18"/>
  <c r="V15" i="18"/>
  <c r="AL15" i="18" s="1"/>
  <c r="W15" i="18"/>
  <c r="AM15" i="18" s="1"/>
  <c r="X15" i="18"/>
  <c r="AN15" i="18" s="1"/>
  <c r="Y15" i="18"/>
  <c r="AO15" i="18" s="1"/>
  <c r="Z15" i="18"/>
  <c r="AP15" i="18" s="1"/>
  <c r="AA15" i="18"/>
  <c r="AQ15" i="18" s="1"/>
  <c r="AC15" i="18"/>
  <c r="AS15" i="18" s="1"/>
  <c r="AD15" i="18"/>
  <c r="AT15" i="18" s="1"/>
  <c r="AE15" i="18"/>
  <c r="AU15" i="18" s="1"/>
  <c r="AF15" i="18"/>
  <c r="AV15" i="18" s="1"/>
  <c r="U16" i="18"/>
  <c r="V16" i="18"/>
  <c r="AL16" i="18" s="1"/>
  <c r="W16" i="18"/>
  <c r="AM16" i="18" s="1"/>
  <c r="X16" i="18"/>
  <c r="AN16" i="18" s="1"/>
  <c r="Y16" i="18"/>
  <c r="AO16" i="18" s="1"/>
  <c r="Z16" i="18"/>
  <c r="AP16" i="18" s="1"/>
  <c r="AA16" i="18"/>
  <c r="AQ16" i="18" s="1"/>
  <c r="AC16" i="18"/>
  <c r="AS16" i="18" s="1"/>
  <c r="AD16" i="18"/>
  <c r="AT16" i="18" s="1"/>
  <c r="AE16" i="18"/>
  <c r="AU16" i="18" s="1"/>
  <c r="AF16" i="18"/>
  <c r="AV16" i="18" s="1"/>
  <c r="U17" i="18"/>
  <c r="V17" i="18"/>
  <c r="AL17" i="18" s="1"/>
  <c r="W17" i="18"/>
  <c r="AM17" i="18" s="1"/>
  <c r="X17" i="18"/>
  <c r="AN17" i="18" s="1"/>
  <c r="Y17" i="18"/>
  <c r="AO17" i="18" s="1"/>
  <c r="Z17" i="18"/>
  <c r="AP17" i="18" s="1"/>
  <c r="AA17" i="18"/>
  <c r="AQ17" i="18" s="1"/>
  <c r="AC17" i="18"/>
  <c r="AS17" i="18" s="1"/>
  <c r="AD17" i="18"/>
  <c r="AT17" i="18" s="1"/>
  <c r="AE17" i="18"/>
  <c r="AU17" i="18" s="1"/>
  <c r="AF17" i="18"/>
  <c r="AV17" i="18" s="1"/>
  <c r="U18" i="18"/>
  <c r="V18" i="18"/>
  <c r="AL18" i="18" s="1"/>
  <c r="W18" i="18"/>
  <c r="AM18" i="18" s="1"/>
  <c r="X18" i="18"/>
  <c r="AN18" i="18" s="1"/>
  <c r="Y18" i="18"/>
  <c r="AO18" i="18" s="1"/>
  <c r="Z18" i="18"/>
  <c r="AP18" i="18" s="1"/>
  <c r="AA18" i="18"/>
  <c r="AQ18" i="18" s="1"/>
  <c r="AC18" i="18"/>
  <c r="AS18" i="18" s="1"/>
  <c r="AD18" i="18"/>
  <c r="AT18" i="18" s="1"/>
  <c r="AE18" i="18"/>
  <c r="AU18" i="18" s="1"/>
  <c r="AF18" i="18"/>
  <c r="AV18" i="18" s="1"/>
  <c r="U19" i="18"/>
  <c r="V19" i="18"/>
  <c r="AL19" i="18" s="1"/>
  <c r="W19" i="18"/>
  <c r="AM19" i="18" s="1"/>
  <c r="X19" i="18"/>
  <c r="AN19" i="18" s="1"/>
  <c r="Y19" i="18"/>
  <c r="AO19" i="18" s="1"/>
  <c r="Z19" i="18"/>
  <c r="AP19" i="18" s="1"/>
  <c r="AA19" i="18"/>
  <c r="AQ19" i="18" s="1"/>
  <c r="AC19" i="18"/>
  <c r="AS19" i="18" s="1"/>
  <c r="AD19" i="18"/>
  <c r="AT19" i="18" s="1"/>
  <c r="AE19" i="18"/>
  <c r="AU19" i="18" s="1"/>
  <c r="AF19" i="18"/>
  <c r="AV19" i="18" s="1"/>
  <c r="U20" i="18"/>
  <c r="V20" i="18"/>
  <c r="AL20" i="18" s="1"/>
  <c r="W20" i="18"/>
  <c r="AM20" i="18" s="1"/>
  <c r="X20" i="18"/>
  <c r="AN20" i="18" s="1"/>
  <c r="Y20" i="18"/>
  <c r="AO20" i="18" s="1"/>
  <c r="Z20" i="18"/>
  <c r="AP20" i="18" s="1"/>
  <c r="AA20" i="18"/>
  <c r="AQ20" i="18" s="1"/>
  <c r="AC20" i="18"/>
  <c r="AS20" i="18" s="1"/>
  <c r="AD20" i="18"/>
  <c r="AT20" i="18" s="1"/>
  <c r="AE20" i="18"/>
  <c r="AU20" i="18" s="1"/>
  <c r="AF20" i="18"/>
  <c r="AV20" i="18" s="1"/>
  <c r="U21" i="18"/>
  <c r="V21" i="18"/>
  <c r="AL21" i="18" s="1"/>
  <c r="W21" i="18"/>
  <c r="AM21" i="18" s="1"/>
  <c r="X21" i="18"/>
  <c r="AN21" i="18" s="1"/>
  <c r="Y21" i="18"/>
  <c r="AO21" i="18" s="1"/>
  <c r="Z21" i="18"/>
  <c r="AP21" i="18" s="1"/>
  <c r="AA21" i="18"/>
  <c r="AQ21" i="18" s="1"/>
  <c r="AC21" i="18"/>
  <c r="AS21" i="18" s="1"/>
  <c r="AD21" i="18"/>
  <c r="AT21" i="18" s="1"/>
  <c r="AE21" i="18"/>
  <c r="AU21" i="18" s="1"/>
  <c r="AF21" i="18"/>
  <c r="AV21" i="18" s="1"/>
  <c r="U22" i="18"/>
  <c r="V22" i="18"/>
  <c r="AL22" i="18" s="1"/>
  <c r="W22" i="18"/>
  <c r="AM22" i="18" s="1"/>
  <c r="X22" i="18"/>
  <c r="AN22" i="18" s="1"/>
  <c r="Y22" i="18"/>
  <c r="AO22" i="18" s="1"/>
  <c r="Z22" i="18"/>
  <c r="AP22" i="18" s="1"/>
  <c r="AA22" i="18"/>
  <c r="AQ22" i="18" s="1"/>
  <c r="AC22" i="18"/>
  <c r="AS22" i="18" s="1"/>
  <c r="AD22" i="18"/>
  <c r="AT22" i="18" s="1"/>
  <c r="AE22" i="18"/>
  <c r="AU22" i="18" s="1"/>
  <c r="AF22" i="18"/>
  <c r="AV22" i="18" s="1"/>
  <c r="U23" i="18"/>
  <c r="V23" i="18"/>
  <c r="AL23" i="18" s="1"/>
  <c r="W23" i="18"/>
  <c r="AM23" i="18" s="1"/>
  <c r="X23" i="18"/>
  <c r="AN23" i="18" s="1"/>
  <c r="Y23" i="18"/>
  <c r="AO23" i="18" s="1"/>
  <c r="Z23" i="18"/>
  <c r="AP23" i="18" s="1"/>
  <c r="AA23" i="18"/>
  <c r="AQ23" i="18" s="1"/>
  <c r="AC23" i="18"/>
  <c r="AS23" i="18" s="1"/>
  <c r="AD23" i="18"/>
  <c r="AT23" i="18" s="1"/>
  <c r="AE23" i="18"/>
  <c r="AU23" i="18" s="1"/>
  <c r="AF23" i="18"/>
  <c r="AV23" i="18" s="1"/>
  <c r="U24" i="18"/>
  <c r="V24" i="18"/>
  <c r="AL24" i="18" s="1"/>
  <c r="W24" i="18"/>
  <c r="AM24" i="18" s="1"/>
  <c r="X24" i="18"/>
  <c r="AN24" i="18" s="1"/>
  <c r="Y24" i="18"/>
  <c r="AO24" i="18" s="1"/>
  <c r="Z24" i="18"/>
  <c r="AP24" i="18" s="1"/>
  <c r="AA24" i="18"/>
  <c r="AQ24" i="18" s="1"/>
  <c r="AC24" i="18"/>
  <c r="AS24" i="18" s="1"/>
  <c r="AD24" i="18"/>
  <c r="AT24" i="18" s="1"/>
  <c r="AE24" i="18"/>
  <c r="AU24" i="18" s="1"/>
  <c r="AF24" i="18"/>
  <c r="AV24" i="18" s="1"/>
  <c r="U25" i="18"/>
  <c r="V25" i="18"/>
  <c r="AL25" i="18" s="1"/>
  <c r="W25" i="18"/>
  <c r="AM25" i="18" s="1"/>
  <c r="X25" i="18"/>
  <c r="AN25" i="18" s="1"/>
  <c r="Y25" i="18"/>
  <c r="AO25" i="18" s="1"/>
  <c r="Z25" i="18"/>
  <c r="AP25" i="18" s="1"/>
  <c r="AA25" i="18"/>
  <c r="AQ25" i="18" s="1"/>
  <c r="AC25" i="18"/>
  <c r="AS25" i="18" s="1"/>
  <c r="AD25" i="18"/>
  <c r="AT25" i="18" s="1"/>
  <c r="AE25" i="18"/>
  <c r="AU25" i="18" s="1"/>
  <c r="AF25" i="18"/>
  <c r="AV25" i="18" s="1"/>
  <c r="U26" i="18"/>
  <c r="V26" i="18"/>
  <c r="AL26" i="18" s="1"/>
  <c r="W26" i="18"/>
  <c r="AM26" i="18" s="1"/>
  <c r="X26" i="18"/>
  <c r="AN26" i="18" s="1"/>
  <c r="Y26" i="18"/>
  <c r="AO26" i="18" s="1"/>
  <c r="Z26" i="18"/>
  <c r="AP26" i="18" s="1"/>
  <c r="AA26" i="18"/>
  <c r="AQ26" i="18" s="1"/>
  <c r="AC26" i="18"/>
  <c r="AS26" i="18" s="1"/>
  <c r="AD26" i="18"/>
  <c r="AT26" i="18" s="1"/>
  <c r="AE26" i="18"/>
  <c r="AU26" i="18" s="1"/>
  <c r="AF26" i="18"/>
  <c r="AV26" i="18" s="1"/>
  <c r="U27" i="18"/>
  <c r="V27" i="18"/>
  <c r="AL27" i="18" s="1"/>
  <c r="W27" i="18"/>
  <c r="AM27" i="18" s="1"/>
  <c r="X27" i="18"/>
  <c r="AN27" i="18" s="1"/>
  <c r="Y27" i="18"/>
  <c r="AO27" i="18" s="1"/>
  <c r="Z27" i="18"/>
  <c r="AP27" i="18" s="1"/>
  <c r="AA27" i="18"/>
  <c r="AQ27" i="18" s="1"/>
  <c r="AC27" i="18"/>
  <c r="AS27" i="18" s="1"/>
  <c r="AD27" i="18"/>
  <c r="AT27" i="18" s="1"/>
  <c r="AE27" i="18"/>
  <c r="AU27" i="18" s="1"/>
  <c r="AF27" i="18"/>
  <c r="AV27" i="18" s="1"/>
  <c r="U28" i="18"/>
  <c r="V28" i="18"/>
  <c r="AL28" i="18" s="1"/>
  <c r="W28" i="18"/>
  <c r="AM28" i="18" s="1"/>
  <c r="X28" i="18"/>
  <c r="AN28" i="18" s="1"/>
  <c r="Y28" i="18"/>
  <c r="AO28" i="18" s="1"/>
  <c r="Z28" i="18"/>
  <c r="AP28" i="18" s="1"/>
  <c r="AA28" i="18"/>
  <c r="AQ28" i="18" s="1"/>
  <c r="AC28" i="18"/>
  <c r="AS28" i="18" s="1"/>
  <c r="AD28" i="18"/>
  <c r="AT28" i="18" s="1"/>
  <c r="AE28" i="18"/>
  <c r="AU28" i="18" s="1"/>
  <c r="AF28" i="18"/>
  <c r="AV28" i="18" s="1"/>
  <c r="U29" i="18"/>
  <c r="AK29" i="18" s="1"/>
  <c r="V29" i="18"/>
  <c r="AL29" i="18" s="1"/>
  <c r="W29" i="18"/>
  <c r="AM29" i="18" s="1"/>
  <c r="X29" i="18"/>
  <c r="AN29" i="18" s="1"/>
  <c r="Y29" i="18"/>
  <c r="AO29" i="18" s="1"/>
  <c r="Z29" i="18"/>
  <c r="AP29" i="18" s="1"/>
  <c r="AA29" i="18"/>
  <c r="AQ29" i="18" s="1"/>
  <c r="AC29" i="18"/>
  <c r="AS29" i="18" s="1"/>
  <c r="AD29" i="18"/>
  <c r="AT29" i="18" s="1"/>
  <c r="AE29" i="18"/>
  <c r="AU29" i="18" s="1"/>
  <c r="AF29" i="18"/>
  <c r="AV29" i="18" s="1"/>
  <c r="U30" i="18"/>
  <c r="AK30" i="18" s="1"/>
  <c r="V30" i="18"/>
  <c r="AL30" i="18" s="1"/>
  <c r="W30" i="18"/>
  <c r="AM30" i="18" s="1"/>
  <c r="X30" i="18"/>
  <c r="AN30" i="18" s="1"/>
  <c r="Y30" i="18"/>
  <c r="AO30" i="18" s="1"/>
  <c r="Z30" i="18"/>
  <c r="AP30" i="18" s="1"/>
  <c r="AA30" i="18"/>
  <c r="AQ30" i="18" s="1"/>
  <c r="AC30" i="18"/>
  <c r="AS30" i="18" s="1"/>
  <c r="AD30" i="18"/>
  <c r="AT30" i="18" s="1"/>
  <c r="AE30" i="18"/>
  <c r="AU30" i="18" s="1"/>
  <c r="AF30" i="18"/>
  <c r="AV30" i="18" s="1"/>
  <c r="U31" i="18"/>
  <c r="AK31" i="18" s="1"/>
  <c r="V31" i="18"/>
  <c r="AL31" i="18" s="1"/>
  <c r="W31" i="18"/>
  <c r="AM31" i="18" s="1"/>
  <c r="X31" i="18"/>
  <c r="AN31" i="18" s="1"/>
  <c r="Y31" i="18"/>
  <c r="AO31" i="18" s="1"/>
  <c r="Z31" i="18"/>
  <c r="AP31" i="18" s="1"/>
  <c r="AA31" i="18"/>
  <c r="AQ31" i="18" s="1"/>
  <c r="AC31" i="18"/>
  <c r="AS31" i="18" s="1"/>
  <c r="AD31" i="18"/>
  <c r="AT31" i="18" s="1"/>
  <c r="AE31" i="18"/>
  <c r="AU31" i="18" s="1"/>
  <c r="AF31" i="18"/>
  <c r="AV31" i="18" s="1"/>
  <c r="U32" i="18"/>
  <c r="AK32" i="18" s="1"/>
  <c r="V32" i="18"/>
  <c r="AL32" i="18" s="1"/>
  <c r="W32" i="18"/>
  <c r="AM32" i="18" s="1"/>
  <c r="X32" i="18"/>
  <c r="AN32" i="18" s="1"/>
  <c r="Y32" i="18"/>
  <c r="AO32" i="18" s="1"/>
  <c r="Z32" i="18"/>
  <c r="AP32" i="18" s="1"/>
  <c r="AA32" i="18"/>
  <c r="AQ32" i="18" s="1"/>
  <c r="AC32" i="18"/>
  <c r="AS32" i="18" s="1"/>
  <c r="AD32" i="18"/>
  <c r="AT32" i="18" s="1"/>
  <c r="AE32" i="18"/>
  <c r="AU32" i="18" s="1"/>
  <c r="AF32" i="18"/>
  <c r="AV32" i="18" s="1"/>
  <c r="U33" i="18"/>
  <c r="AK33" i="18" s="1"/>
  <c r="V33" i="18"/>
  <c r="AL33" i="18" s="1"/>
  <c r="W33" i="18"/>
  <c r="AM33" i="18" s="1"/>
  <c r="X33" i="18"/>
  <c r="AN33" i="18" s="1"/>
  <c r="Y33" i="18"/>
  <c r="AO33" i="18" s="1"/>
  <c r="Z33" i="18"/>
  <c r="AP33" i="18" s="1"/>
  <c r="AA33" i="18"/>
  <c r="AQ33" i="18" s="1"/>
  <c r="AC33" i="18"/>
  <c r="AS33" i="18" s="1"/>
  <c r="AD33" i="18"/>
  <c r="AT33" i="18" s="1"/>
  <c r="AE33" i="18"/>
  <c r="AU33" i="18" s="1"/>
  <c r="AF33" i="18"/>
  <c r="AV33" i="18" s="1"/>
  <c r="U34" i="18"/>
  <c r="AK34" i="18" s="1"/>
  <c r="V34" i="18"/>
  <c r="AL34" i="18" s="1"/>
  <c r="W34" i="18"/>
  <c r="AM34" i="18" s="1"/>
  <c r="X34" i="18"/>
  <c r="AN34" i="18" s="1"/>
  <c r="Y34" i="18"/>
  <c r="AO34" i="18" s="1"/>
  <c r="Z34" i="18"/>
  <c r="AP34" i="18" s="1"/>
  <c r="AA34" i="18"/>
  <c r="AQ34" i="18" s="1"/>
  <c r="AC34" i="18"/>
  <c r="AS34" i="18" s="1"/>
  <c r="AD34" i="18"/>
  <c r="AT34" i="18" s="1"/>
  <c r="AE34" i="18"/>
  <c r="AU34" i="18" s="1"/>
  <c r="AF34" i="18"/>
  <c r="AV34" i="18" s="1"/>
  <c r="U35" i="18"/>
  <c r="AK35" i="18" s="1"/>
  <c r="V35" i="18"/>
  <c r="AL35" i="18" s="1"/>
  <c r="W35" i="18"/>
  <c r="AM35" i="18" s="1"/>
  <c r="X35" i="18"/>
  <c r="AN35" i="18" s="1"/>
  <c r="Y35" i="18"/>
  <c r="AO35" i="18" s="1"/>
  <c r="Z35" i="18"/>
  <c r="AP35" i="18" s="1"/>
  <c r="AA35" i="18"/>
  <c r="AQ35" i="18" s="1"/>
  <c r="AC35" i="18"/>
  <c r="AS35" i="18" s="1"/>
  <c r="AD35" i="18"/>
  <c r="AT35" i="18" s="1"/>
  <c r="AE35" i="18"/>
  <c r="AU35" i="18" s="1"/>
  <c r="AF35" i="18"/>
  <c r="AV35" i="18" s="1"/>
  <c r="U36" i="18"/>
  <c r="AK36" i="18" s="1"/>
  <c r="V36" i="18"/>
  <c r="AL36" i="18" s="1"/>
  <c r="W36" i="18"/>
  <c r="AM36" i="18" s="1"/>
  <c r="X36" i="18"/>
  <c r="AN36" i="18" s="1"/>
  <c r="Y36" i="18"/>
  <c r="AO36" i="18" s="1"/>
  <c r="Z36" i="18"/>
  <c r="AP36" i="18" s="1"/>
  <c r="AA36" i="18"/>
  <c r="AQ36" i="18" s="1"/>
  <c r="AC36" i="18"/>
  <c r="AS36" i="18" s="1"/>
  <c r="AD36" i="18"/>
  <c r="AT36" i="18" s="1"/>
  <c r="AE36" i="18"/>
  <c r="AU36" i="18" s="1"/>
  <c r="AF36" i="18"/>
  <c r="AV36" i="18" s="1"/>
  <c r="U37" i="18"/>
  <c r="AK37" i="18" s="1"/>
  <c r="V37" i="18"/>
  <c r="AL37" i="18" s="1"/>
  <c r="W37" i="18"/>
  <c r="AM37" i="18" s="1"/>
  <c r="X37" i="18"/>
  <c r="AN37" i="18" s="1"/>
  <c r="Y37" i="18"/>
  <c r="AO37" i="18" s="1"/>
  <c r="Z37" i="18"/>
  <c r="AP37" i="18" s="1"/>
  <c r="AA37" i="18"/>
  <c r="AQ37" i="18" s="1"/>
  <c r="AC37" i="18"/>
  <c r="AS37" i="18" s="1"/>
  <c r="AD37" i="18"/>
  <c r="AT37" i="18" s="1"/>
  <c r="AE37" i="18"/>
  <c r="AU37" i="18" s="1"/>
  <c r="AF37" i="18"/>
  <c r="AV37" i="18" s="1"/>
  <c r="U38" i="18"/>
  <c r="AK38" i="18" s="1"/>
  <c r="V38" i="18"/>
  <c r="AL38" i="18" s="1"/>
  <c r="W38" i="18"/>
  <c r="AM38" i="18" s="1"/>
  <c r="X38" i="18"/>
  <c r="AN38" i="18" s="1"/>
  <c r="Y38" i="18"/>
  <c r="AO38" i="18" s="1"/>
  <c r="Z38" i="18"/>
  <c r="AP38" i="18" s="1"/>
  <c r="AA38" i="18"/>
  <c r="AQ38" i="18" s="1"/>
  <c r="AC38" i="18"/>
  <c r="AS38" i="18" s="1"/>
  <c r="AD38" i="18"/>
  <c r="AT38" i="18" s="1"/>
  <c r="AE38" i="18"/>
  <c r="AU38" i="18" s="1"/>
  <c r="AF38" i="18"/>
  <c r="AV38" i="18" s="1"/>
  <c r="U39" i="18"/>
  <c r="AK39" i="18" s="1"/>
  <c r="V39" i="18"/>
  <c r="AL39" i="18" s="1"/>
  <c r="W39" i="18"/>
  <c r="AM39" i="18" s="1"/>
  <c r="X39" i="18"/>
  <c r="AN39" i="18" s="1"/>
  <c r="Y39" i="18"/>
  <c r="AO39" i="18" s="1"/>
  <c r="Z39" i="18"/>
  <c r="AP39" i="18" s="1"/>
  <c r="AA39" i="18"/>
  <c r="AQ39" i="18" s="1"/>
  <c r="AC39" i="18"/>
  <c r="AS39" i="18" s="1"/>
  <c r="AD39" i="18"/>
  <c r="AT39" i="18" s="1"/>
  <c r="AE39" i="18"/>
  <c r="AU39" i="18" s="1"/>
  <c r="AF39" i="18"/>
  <c r="AV39" i="18" s="1"/>
  <c r="U40" i="18"/>
  <c r="AK40" i="18" s="1"/>
  <c r="V40" i="18"/>
  <c r="AL40" i="18" s="1"/>
  <c r="W40" i="18"/>
  <c r="AM40" i="18" s="1"/>
  <c r="X40" i="18"/>
  <c r="AN40" i="18" s="1"/>
  <c r="Y40" i="18"/>
  <c r="AO40" i="18" s="1"/>
  <c r="Z40" i="18"/>
  <c r="AP40" i="18" s="1"/>
  <c r="AA40" i="18"/>
  <c r="AQ40" i="18" s="1"/>
  <c r="AC40" i="18"/>
  <c r="AS40" i="18" s="1"/>
  <c r="AD40" i="18"/>
  <c r="AT40" i="18" s="1"/>
  <c r="AE40" i="18"/>
  <c r="AU40" i="18" s="1"/>
  <c r="AF40" i="18"/>
  <c r="AV40" i="18" s="1"/>
  <c r="U41" i="18"/>
  <c r="AK41" i="18" s="1"/>
  <c r="V41" i="18"/>
  <c r="AL41" i="18" s="1"/>
  <c r="W41" i="18"/>
  <c r="AM41" i="18" s="1"/>
  <c r="X41" i="18"/>
  <c r="AN41" i="18" s="1"/>
  <c r="Y41" i="18"/>
  <c r="AO41" i="18" s="1"/>
  <c r="Z41" i="18"/>
  <c r="AP41" i="18" s="1"/>
  <c r="AA41" i="18"/>
  <c r="AQ41" i="18" s="1"/>
  <c r="AC41" i="18"/>
  <c r="AS41" i="18" s="1"/>
  <c r="AD41" i="18"/>
  <c r="AT41" i="18" s="1"/>
  <c r="AE41" i="18"/>
  <c r="AU41" i="18" s="1"/>
  <c r="AF41" i="18"/>
  <c r="AV41" i="18" s="1"/>
  <c r="U42" i="18"/>
  <c r="AK42" i="18" s="1"/>
  <c r="V42" i="18"/>
  <c r="AL42" i="18" s="1"/>
  <c r="W42" i="18"/>
  <c r="AM42" i="18" s="1"/>
  <c r="X42" i="18"/>
  <c r="AN42" i="18" s="1"/>
  <c r="Y42" i="18"/>
  <c r="AO42" i="18" s="1"/>
  <c r="Z42" i="18"/>
  <c r="AP42" i="18" s="1"/>
  <c r="AA42" i="18"/>
  <c r="AQ42" i="18" s="1"/>
  <c r="AC42" i="18"/>
  <c r="AS42" i="18" s="1"/>
  <c r="AD42" i="18"/>
  <c r="AT42" i="18" s="1"/>
  <c r="AE42" i="18"/>
  <c r="AU42" i="18" s="1"/>
  <c r="AF42" i="18"/>
  <c r="AV42" i="18" s="1"/>
  <c r="U43" i="18"/>
  <c r="AK43" i="18" s="1"/>
  <c r="V43" i="18"/>
  <c r="AL43" i="18" s="1"/>
  <c r="W43" i="18"/>
  <c r="AM43" i="18" s="1"/>
  <c r="X43" i="18"/>
  <c r="AN43" i="18" s="1"/>
  <c r="Y43" i="18"/>
  <c r="AO43" i="18" s="1"/>
  <c r="Z43" i="18"/>
  <c r="AP43" i="18" s="1"/>
  <c r="AA43" i="18"/>
  <c r="AQ43" i="18" s="1"/>
  <c r="AC43" i="18"/>
  <c r="AS43" i="18" s="1"/>
  <c r="AD43" i="18"/>
  <c r="AT43" i="18" s="1"/>
  <c r="AE43" i="18"/>
  <c r="AU43" i="18" s="1"/>
  <c r="AF43" i="18"/>
  <c r="AV43" i="18" s="1"/>
  <c r="U44" i="18"/>
  <c r="AK44" i="18" s="1"/>
  <c r="V44" i="18"/>
  <c r="AL44" i="18" s="1"/>
  <c r="W44" i="18"/>
  <c r="AM44" i="18" s="1"/>
  <c r="X44" i="18"/>
  <c r="AN44" i="18" s="1"/>
  <c r="Y44" i="18"/>
  <c r="AO44" i="18" s="1"/>
  <c r="Z44" i="18"/>
  <c r="AP44" i="18" s="1"/>
  <c r="AA44" i="18"/>
  <c r="AQ44" i="18" s="1"/>
  <c r="AC44" i="18"/>
  <c r="AS44" i="18" s="1"/>
  <c r="AD44" i="18"/>
  <c r="AT44" i="18" s="1"/>
  <c r="AE44" i="18"/>
  <c r="AU44" i="18" s="1"/>
  <c r="AF44" i="18"/>
  <c r="AV44" i="18" s="1"/>
  <c r="U45" i="18"/>
  <c r="AK45" i="18" s="1"/>
  <c r="V45" i="18"/>
  <c r="AL45" i="18" s="1"/>
  <c r="W45" i="18"/>
  <c r="AM45" i="18" s="1"/>
  <c r="X45" i="18"/>
  <c r="AN45" i="18" s="1"/>
  <c r="Y45" i="18"/>
  <c r="AO45" i="18" s="1"/>
  <c r="Z45" i="18"/>
  <c r="AP45" i="18" s="1"/>
  <c r="AA45" i="18"/>
  <c r="AQ45" i="18" s="1"/>
  <c r="AC45" i="18"/>
  <c r="AS45" i="18" s="1"/>
  <c r="AD45" i="18"/>
  <c r="AT45" i="18" s="1"/>
  <c r="AE45" i="18"/>
  <c r="AU45" i="18" s="1"/>
  <c r="AF45" i="18"/>
  <c r="AV45" i="18" s="1"/>
  <c r="U46" i="18"/>
  <c r="AK46" i="18" s="1"/>
  <c r="V46" i="18"/>
  <c r="AL46" i="18" s="1"/>
  <c r="W46" i="18"/>
  <c r="AM46" i="18" s="1"/>
  <c r="X46" i="18"/>
  <c r="AN46" i="18" s="1"/>
  <c r="Y46" i="18"/>
  <c r="AO46" i="18" s="1"/>
  <c r="Z46" i="18"/>
  <c r="AP46" i="18" s="1"/>
  <c r="AA46" i="18"/>
  <c r="AQ46" i="18" s="1"/>
  <c r="AC46" i="18"/>
  <c r="AS46" i="18" s="1"/>
  <c r="AD46" i="18"/>
  <c r="AT46" i="18" s="1"/>
  <c r="AE46" i="18"/>
  <c r="AU46" i="18" s="1"/>
  <c r="AF46" i="18"/>
  <c r="AV46" i="18" s="1"/>
  <c r="U47" i="18"/>
  <c r="AK47" i="18" s="1"/>
  <c r="V47" i="18"/>
  <c r="AL47" i="18" s="1"/>
  <c r="W47" i="18"/>
  <c r="AM47" i="18" s="1"/>
  <c r="X47" i="18"/>
  <c r="AN47" i="18" s="1"/>
  <c r="Y47" i="18"/>
  <c r="AO47" i="18" s="1"/>
  <c r="Z47" i="18"/>
  <c r="AP47" i="18" s="1"/>
  <c r="AA47" i="18"/>
  <c r="AQ47" i="18" s="1"/>
  <c r="AC47" i="18"/>
  <c r="AS47" i="18" s="1"/>
  <c r="AD47" i="18"/>
  <c r="AT47" i="18" s="1"/>
  <c r="AE47" i="18"/>
  <c r="AU47" i="18" s="1"/>
  <c r="AF47" i="18"/>
  <c r="AV47" i="18" s="1"/>
  <c r="U48" i="18"/>
  <c r="AK48" i="18" s="1"/>
  <c r="V48" i="18"/>
  <c r="AL48" i="18" s="1"/>
  <c r="W48" i="18"/>
  <c r="AM48" i="18" s="1"/>
  <c r="X48" i="18"/>
  <c r="AN48" i="18" s="1"/>
  <c r="Y48" i="18"/>
  <c r="AO48" i="18" s="1"/>
  <c r="Z48" i="18"/>
  <c r="AP48" i="18" s="1"/>
  <c r="AA48" i="18"/>
  <c r="AQ48" i="18" s="1"/>
  <c r="AC48" i="18"/>
  <c r="AS48" i="18" s="1"/>
  <c r="AD48" i="18"/>
  <c r="AT48" i="18" s="1"/>
  <c r="AE48" i="18"/>
  <c r="AU48" i="18" s="1"/>
  <c r="AF48" i="18"/>
  <c r="AV48" i="18" s="1"/>
  <c r="U49" i="18"/>
  <c r="AK49" i="18" s="1"/>
  <c r="V49" i="18"/>
  <c r="AL49" i="18" s="1"/>
  <c r="W49" i="18"/>
  <c r="AM49" i="18" s="1"/>
  <c r="X49" i="18"/>
  <c r="AN49" i="18" s="1"/>
  <c r="Y49" i="18"/>
  <c r="AO49" i="18" s="1"/>
  <c r="Z49" i="18"/>
  <c r="AP49" i="18" s="1"/>
  <c r="AA49" i="18"/>
  <c r="AQ49" i="18" s="1"/>
  <c r="AC49" i="18"/>
  <c r="AS49" i="18" s="1"/>
  <c r="AD49" i="18"/>
  <c r="AT49" i="18" s="1"/>
  <c r="AE49" i="18"/>
  <c r="AU49" i="18" s="1"/>
  <c r="AF49" i="18"/>
  <c r="AV49" i="18" s="1"/>
  <c r="U50" i="18"/>
  <c r="AK50" i="18" s="1"/>
  <c r="V50" i="18"/>
  <c r="AL50" i="18" s="1"/>
  <c r="W50" i="18"/>
  <c r="AM50" i="18" s="1"/>
  <c r="X50" i="18"/>
  <c r="AN50" i="18" s="1"/>
  <c r="Y50" i="18"/>
  <c r="AO50" i="18" s="1"/>
  <c r="Z50" i="18"/>
  <c r="AP50" i="18" s="1"/>
  <c r="AA50" i="18"/>
  <c r="AQ50" i="18" s="1"/>
  <c r="AC50" i="18"/>
  <c r="AS50" i="18" s="1"/>
  <c r="AD50" i="18"/>
  <c r="AT50" i="18" s="1"/>
  <c r="AE50" i="18"/>
  <c r="AU50" i="18" s="1"/>
  <c r="AF50" i="18"/>
  <c r="AV50" i="18" s="1"/>
  <c r="U51" i="18"/>
  <c r="AK51" i="18" s="1"/>
  <c r="V51" i="18"/>
  <c r="AL51" i="18" s="1"/>
  <c r="W51" i="18"/>
  <c r="AM51" i="18" s="1"/>
  <c r="X51" i="18"/>
  <c r="AN51" i="18" s="1"/>
  <c r="Y51" i="18"/>
  <c r="AO51" i="18" s="1"/>
  <c r="Z51" i="18"/>
  <c r="AP51" i="18" s="1"/>
  <c r="AA51" i="18"/>
  <c r="AQ51" i="18" s="1"/>
  <c r="AC51" i="18"/>
  <c r="AS51" i="18" s="1"/>
  <c r="AD51" i="18"/>
  <c r="AT51" i="18" s="1"/>
  <c r="AE51" i="18"/>
  <c r="AU51" i="18" s="1"/>
  <c r="AF51" i="18"/>
  <c r="AV51" i="18" s="1"/>
  <c r="U52" i="18"/>
  <c r="AK52" i="18" s="1"/>
  <c r="V52" i="18"/>
  <c r="AL52" i="18" s="1"/>
  <c r="W52" i="18"/>
  <c r="AM52" i="18" s="1"/>
  <c r="X52" i="18"/>
  <c r="AN52" i="18" s="1"/>
  <c r="Y52" i="18"/>
  <c r="AO52" i="18" s="1"/>
  <c r="Z52" i="18"/>
  <c r="AP52" i="18" s="1"/>
  <c r="AA52" i="18"/>
  <c r="AQ52" i="18" s="1"/>
  <c r="AC52" i="18"/>
  <c r="AS52" i="18" s="1"/>
  <c r="AD52" i="18"/>
  <c r="AT52" i="18" s="1"/>
  <c r="AE52" i="18"/>
  <c r="AU52" i="18" s="1"/>
  <c r="AF52" i="18"/>
  <c r="AV52" i="18" s="1"/>
  <c r="U53" i="18"/>
  <c r="AK53" i="18" s="1"/>
  <c r="V53" i="18"/>
  <c r="AL53" i="18" s="1"/>
  <c r="W53" i="18"/>
  <c r="AM53" i="18" s="1"/>
  <c r="X53" i="18"/>
  <c r="AN53" i="18" s="1"/>
  <c r="Y53" i="18"/>
  <c r="AO53" i="18" s="1"/>
  <c r="Z53" i="18"/>
  <c r="AP53" i="18" s="1"/>
  <c r="AA53" i="18"/>
  <c r="AQ53" i="18" s="1"/>
  <c r="AC53" i="18"/>
  <c r="AS53" i="18" s="1"/>
  <c r="AD53" i="18"/>
  <c r="AT53" i="18" s="1"/>
  <c r="AE53" i="18"/>
  <c r="AU53" i="18" s="1"/>
  <c r="AF53" i="18"/>
  <c r="AV53" i="18" s="1"/>
  <c r="U54" i="18"/>
  <c r="AK54" i="18" s="1"/>
  <c r="V54" i="18"/>
  <c r="AL54" i="18" s="1"/>
  <c r="W54" i="18"/>
  <c r="AM54" i="18" s="1"/>
  <c r="X54" i="18"/>
  <c r="AN54" i="18" s="1"/>
  <c r="Y54" i="18"/>
  <c r="AO54" i="18" s="1"/>
  <c r="Z54" i="18"/>
  <c r="AP54" i="18" s="1"/>
  <c r="AA54" i="18"/>
  <c r="AQ54" i="18" s="1"/>
  <c r="AC54" i="18"/>
  <c r="AS54" i="18" s="1"/>
  <c r="AD54" i="18"/>
  <c r="AT54" i="18" s="1"/>
  <c r="AE54" i="18"/>
  <c r="AU54" i="18" s="1"/>
  <c r="AF54" i="18"/>
  <c r="AV54" i="18" s="1"/>
  <c r="U55" i="18"/>
  <c r="AK55" i="18" s="1"/>
  <c r="V55" i="18"/>
  <c r="AL55" i="18" s="1"/>
  <c r="W55" i="18"/>
  <c r="AM55" i="18" s="1"/>
  <c r="X55" i="18"/>
  <c r="AN55" i="18" s="1"/>
  <c r="Y55" i="18"/>
  <c r="AO55" i="18" s="1"/>
  <c r="Z55" i="18"/>
  <c r="AP55" i="18" s="1"/>
  <c r="AA55" i="18"/>
  <c r="AQ55" i="18" s="1"/>
  <c r="AC55" i="18"/>
  <c r="AS55" i="18" s="1"/>
  <c r="AD55" i="18"/>
  <c r="AT55" i="18" s="1"/>
  <c r="AE55" i="18"/>
  <c r="AU55" i="18" s="1"/>
  <c r="AF55" i="18"/>
  <c r="AV55" i="18" s="1"/>
  <c r="T8" i="18"/>
  <c r="AJ8" i="18" s="1"/>
  <c r="T9" i="18"/>
  <c r="AJ9" i="18" s="1"/>
  <c r="T10" i="18"/>
  <c r="AJ10" i="18" s="1"/>
  <c r="T11" i="18"/>
  <c r="AJ11" i="18" s="1"/>
  <c r="T12" i="18"/>
  <c r="AJ12" i="18" s="1"/>
  <c r="T13" i="18"/>
  <c r="AJ13" i="18" s="1"/>
  <c r="T14" i="18"/>
  <c r="AJ14" i="18" s="1"/>
  <c r="T15" i="18"/>
  <c r="AJ15" i="18" s="1"/>
  <c r="T16" i="18"/>
  <c r="AJ16" i="18" s="1"/>
  <c r="T17" i="18"/>
  <c r="AJ17" i="18" s="1"/>
  <c r="T18" i="18"/>
  <c r="AJ18" i="18" s="1"/>
  <c r="T19" i="18"/>
  <c r="AJ19" i="18" s="1"/>
  <c r="T20" i="18"/>
  <c r="AJ20" i="18" s="1"/>
  <c r="T21" i="18"/>
  <c r="AJ21" i="18" s="1"/>
  <c r="T22" i="18"/>
  <c r="AJ22" i="18" s="1"/>
  <c r="T23" i="18"/>
  <c r="AJ23" i="18" s="1"/>
  <c r="T24" i="18"/>
  <c r="AJ24" i="18" s="1"/>
  <c r="T25" i="18"/>
  <c r="AJ25" i="18" s="1"/>
  <c r="T26" i="18"/>
  <c r="AJ26" i="18" s="1"/>
  <c r="T27" i="18"/>
  <c r="AJ27" i="18" s="1"/>
  <c r="T28" i="18"/>
  <c r="AJ28" i="18" s="1"/>
  <c r="T29" i="18"/>
  <c r="AJ29" i="18" s="1"/>
  <c r="T30" i="18"/>
  <c r="AJ30" i="18" s="1"/>
  <c r="T31" i="18"/>
  <c r="AJ31" i="18" s="1"/>
  <c r="T32" i="18"/>
  <c r="AJ32" i="18" s="1"/>
  <c r="T33" i="18"/>
  <c r="AJ33" i="18" s="1"/>
  <c r="T34" i="18"/>
  <c r="AJ34" i="18" s="1"/>
  <c r="T35" i="18"/>
  <c r="AJ35" i="18" s="1"/>
  <c r="T36" i="18"/>
  <c r="AJ36" i="18" s="1"/>
  <c r="T37" i="18"/>
  <c r="AJ37" i="18" s="1"/>
  <c r="T38" i="18"/>
  <c r="AJ38" i="18" s="1"/>
  <c r="T39" i="18"/>
  <c r="AJ39" i="18" s="1"/>
  <c r="T40" i="18"/>
  <c r="AJ40" i="18" s="1"/>
  <c r="T41" i="18"/>
  <c r="AJ41" i="18" s="1"/>
  <c r="T42" i="18"/>
  <c r="AJ42" i="18" s="1"/>
  <c r="T43" i="18"/>
  <c r="AJ43" i="18" s="1"/>
  <c r="T44" i="18"/>
  <c r="AJ44" i="18" s="1"/>
  <c r="T45" i="18"/>
  <c r="AJ45" i="18" s="1"/>
  <c r="T46" i="18"/>
  <c r="AJ46" i="18" s="1"/>
  <c r="T47" i="18"/>
  <c r="AJ47" i="18" s="1"/>
  <c r="T48" i="18"/>
  <c r="AJ48" i="18" s="1"/>
  <c r="T49" i="18"/>
  <c r="AJ49" i="18" s="1"/>
  <c r="T50" i="18"/>
  <c r="AJ50" i="18" s="1"/>
  <c r="T51" i="18"/>
  <c r="AJ51" i="18" s="1"/>
  <c r="T52" i="18"/>
  <c r="AJ52" i="18" s="1"/>
  <c r="T53" i="18"/>
  <c r="AJ53" i="18" s="1"/>
  <c r="T54" i="18"/>
  <c r="AJ54" i="18" s="1"/>
  <c r="T55" i="18"/>
  <c r="AJ55" i="18" s="1"/>
  <c r="T7" i="18"/>
  <c r="AJ7" i="18" s="1"/>
  <c r="T37" i="17"/>
  <c r="AJ37" i="17" s="1"/>
  <c r="U37" i="17"/>
  <c r="AK37" i="17" s="1"/>
  <c r="V37" i="17"/>
  <c r="AL37" i="17" s="1"/>
  <c r="W37" i="17"/>
  <c r="AM37" i="17" s="1"/>
  <c r="X37" i="17"/>
  <c r="AN37" i="17" s="1"/>
  <c r="Y37" i="17"/>
  <c r="AO37" i="17" s="1"/>
  <c r="Z37" i="17"/>
  <c r="AP37" i="17" s="1"/>
  <c r="AA37" i="17"/>
  <c r="AQ37" i="17" s="1"/>
  <c r="AC37" i="17"/>
  <c r="AS37" i="17" s="1"/>
  <c r="AD37" i="17"/>
  <c r="AT37" i="17" s="1"/>
  <c r="AE37" i="17"/>
  <c r="AU37" i="17" s="1"/>
  <c r="AF37" i="17"/>
  <c r="AV37" i="17" s="1"/>
  <c r="T38" i="17"/>
  <c r="AJ38" i="17" s="1"/>
  <c r="U38" i="17"/>
  <c r="AK38" i="17" s="1"/>
  <c r="V38" i="17"/>
  <c r="AL38" i="17" s="1"/>
  <c r="W38" i="17"/>
  <c r="AM38" i="17" s="1"/>
  <c r="X38" i="17"/>
  <c r="AN38" i="17" s="1"/>
  <c r="Y38" i="17"/>
  <c r="AO38" i="17" s="1"/>
  <c r="Z38" i="17"/>
  <c r="AP38" i="17" s="1"/>
  <c r="AA38" i="17"/>
  <c r="AQ38" i="17" s="1"/>
  <c r="AC38" i="17"/>
  <c r="AS38" i="17" s="1"/>
  <c r="AD38" i="17"/>
  <c r="AT38" i="17" s="1"/>
  <c r="AE38" i="17"/>
  <c r="AU38" i="17" s="1"/>
  <c r="AF38" i="17"/>
  <c r="AV38" i="17" s="1"/>
  <c r="T39" i="17"/>
  <c r="AJ39" i="17" s="1"/>
  <c r="U39" i="17"/>
  <c r="AK39" i="17" s="1"/>
  <c r="V39" i="17"/>
  <c r="AL39" i="17" s="1"/>
  <c r="W39" i="17"/>
  <c r="AM39" i="17" s="1"/>
  <c r="X39" i="17"/>
  <c r="AN39" i="17" s="1"/>
  <c r="Y39" i="17"/>
  <c r="AO39" i="17" s="1"/>
  <c r="Z39" i="17"/>
  <c r="AP39" i="17" s="1"/>
  <c r="AA39" i="17"/>
  <c r="AQ39" i="17" s="1"/>
  <c r="AC39" i="17"/>
  <c r="AS39" i="17" s="1"/>
  <c r="AD39" i="17"/>
  <c r="AT39" i="17" s="1"/>
  <c r="AE39" i="17"/>
  <c r="AU39" i="17" s="1"/>
  <c r="AF39" i="17"/>
  <c r="AV39" i="17" s="1"/>
  <c r="T40" i="17"/>
  <c r="AJ40" i="17" s="1"/>
  <c r="U40" i="17"/>
  <c r="AK40" i="17" s="1"/>
  <c r="V40" i="17"/>
  <c r="AL40" i="17" s="1"/>
  <c r="W40" i="17"/>
  <c r="AM40" i="17" s="1"/>
  <c r="X40" i="17"/>
  <c r="AN40" i="17" s="1"/>
  <c r="Y40" i="17"/>
  <c r="AO40" i="17" s="1"/>
  <c r="Z40" i="17"/>
  <c r="AP40" i="17" s="1"/>
  <c r="AA40" i="17"/>
  <c r="AQ40" i="17" s="1"/>
  <c r="AC40" i="17"/>
  <c r="AS40" i="17" s="1"/>
  <c r="AD40" i="17"/>
  <c r="AT40" i="17" s="1"/>
  <c r="AE40" i="17"/>
  <c r="AU40" i="17" s="1"/>
  <c r="AF40" i="17"/>
  <c r="AV40" i="17" s="1"/>
  <c r="T41" i="17"/>
  <c r="AJ41" i="17" s="1"/>
  <c r="U41" i="17"/>
  <c r="AK41" i="17" s="1"/>
  <c r="V41" i="17"/>
  <c r="AL41" i="17" s="1"/>
  <c r="W41" i="17"/>
  <c r="AM41" i="17" s="1"/>
  <c r="X41" i="17"/>
  <c r="AN41" i="17" s="1"/>
  <c r="Y41" i="17"/>
  <c r="AO41" i="17" s="1"/>
  <c r="Z41" i="17"/>
  <c r="AP41" i="17" s="1"/>
  <c r="AA41" i="17"/>
  <c r="AQ41" i="17" s="1"/>
  <c r="AC41" i="17"/>
  <c r="AS41" i="17" s="1"/>
  <c r="AD41" i="17"/>
  <c r="AT41" i="17" s="1"/>
  <c r="AE41" i="17"/>
  <c r="AU41" i="17" s="1"/>
  <c r="AF41" i="17"/>
  <c r="AV41" i="17" s="1"/>
  <c r="T42" i="17"/>
  <c r="AJ42" i="17" s="1"/>
  <c r="U42" i="17"/>
  <c r="AK42" i="17" s="1"/>
  <c r="V42" i="17"/>
  <c r="AL42" i="17" s="1"/>
  <c r="W42" i="17"/>
  <c r="AM42" i="17" s="1"/>
  <c r="X42" i="17"/>
  <c r="AN42" i="17" s="1"/>
  <c r="Y42" i="17"/>
  <c r="AO42" i="17" s="1"/>
  <c r="Z42" i="17"/>
  <c r="AP42" i="17" s="1"/>
  <c r="AA42" i="17"/>
  <c r="AQ42" i="17" s="1"/>
  <c r="AC42" i="17"/>
  <c r="AS42" i="17" s="1"/>
  <c r="AD42" i="17"/>
  <c r="AT42" i="17" s="1"/>
  <c r="AE42" i="17"/>
  <c r="AU42" i="17" s="1"/>
  <c r="AF42" i="17"/>
  <c r="AV42" i="17" s="1"/>
  <c r="T43" i="17"/>
  <c r="AJ43" i="17" s="1"/>
  <c r="U43" i="17"/>
  <c r="AK43" i="17" s="1"/>
  <c r="V43" i="17"/>
  <c r="AL43" i="17" s="1"/>
  <c r="W43" i="17"/>
  <c r="AM43" i="17" s="1"/>
  <c r="X43" i="17"/>
  <c r="AN43" i="17" s="1"/>
  <c r="Y43" i="17"/>
  <c r="AO43" i="17" s="1"/>
  <c r="Z43" i="17"/>
  <c r="AP43" i="17" s="1"/>
  <c r="AA43" i="17"/>
  <c r="AQ43" i="17" s="1"/>
  <c r="AC43" i="17"/>
  <c r="AS43" i="17" s="1"/>
  <c r="AD43" i="17"/>
  <c r="AT43" i="17" s="1"/>
  <c r="AE43" i="17"/>
  <c r="AU43" i="17" s="1"/>
  <c r="AF43" i="17"/>
  <c r="AV43" i="17" s="1"/>
  <c r="T44" i="17"/>
  <c r="AJ44" i="17" s="1"/>
  <c r="U44" i="17"/>
  <c r="AK44" i="17" s="1"/>
  <c r="V44" i="17"/>
  <c r="AL44" i="17" s="1"/>
  <c r="W44" i="17"/>
  <c r="AM44" i="17" s="1"/>
  <c r="X44" i="17"/>
  <c r="AN44" i="17" s="1"/>
  <c r="Y44" i="17"/>
  <c r="AO44" i="17" s="1"/>
  <c r="Z44" i="17"/>
  <c r="AP44" i="17" s="1"/>
  <c r="AA44" i="17"/>
  <c r="AQ44" i="17" s="1"/>
  <c r="AC44" i="17"/>
  <c r="AS44" i="17" s="1"/>
  <c r="AD44" i="17"/>
  <c r="AT44" i="17" s="1"/>
  <c r="AE44" i="17"/>
  <c r="AU44" i="17" s="1"/>
  <c r="AF44" i="17"/>
  <c r="AV44" i="17" s="1"/>
  <c r="T45" i="17"/>
  <c r="AJ45" i="17" s="1"/>
  <c r="U45" i="17"/>
  <c r="AK45" i="17" s="1"/>
  <c r="V45" i="17"/>
  <c r="AL45" i="17" s="1"/>
  <c r="W45" i="17"/>
  <c r="AM45" i="17" s="1"/>
  <c r="X45" i="17"/>
  <c r="AN45" i="17" s="1"/>
  <c r="Y45" i="17"/>
  <c r="AO45" i="17" s="1"/>
  <c r="Z45" i="17"/>
  <c r="AP45" i="17" s="1"/>
  <c r="AA45" i="17"/>
  <c r="AQ45" i="17" s="1"/>
  <c r="AC45" i="17"/>
  <c r="AS45" i="17" s="1"/>
  <c r="AD45" i="17"/>
  <c r="AT45" i="17" s="1"/>
  <c r="AE45" i="17"/>
  <c r="AU45" i="17" s="1"/>
  <c r="AF45" i="17"/>
  <c r="AV45" i="17" s="1"/>
  <c r="T46" i="17"/>
  <c r="AJ46" i="17" s="1"/>
  <c r="U46" i="17"/>
  <c r="AK46" i="17" s="1"/>
  <c r="V46" i="17"/>
  <c r="AL46" i="17" s="1"/>
  <c r="W46" i="17"/>
  <c r="AM46" i="17" s="1"/>
  <c r="X46" i="17"/>
  <c r="AN46" i="17" s="1"/>
  <c r="Y46" i="17"/>
  <c r="AO46" i="17" s="1"/>
  <c r="Z46" i="17"/>
  <c r="AP46" i="17" s="1"/>
  <c r="AA46" i="17"/>
  <c r="AQ46" i="17" s="1"/>
  <c r="AC46" i="17"/>
  <c r="AS46" i="17" s="1"/>
  <c r="AD46" i="17"/>
  <c r="AT46" i="17" s="1"/>
  <c r="AE46" i="17"/>
  <c r="AU46" i="17" s="1"/>
  <c r="AF46" i="17"/>
  <c r="AV46" i="17" s="1"/>
  <c r="T47" i="17"/>
  <c r="AJ47" i="17" s="1"/>
  <c r="U47" i="17"/>
  <c r="AK47" i="17" s="1"/>
  <c r="V47" i="17"/>
  <c r="AL47" i="17" s="1"/>
  <c r="W47" i="17"/>
  <c r="AM47" i="17" s="1"/>
  <c r="X47" i="17"/>
  <c r="AN47" i="17" s="1"/>
  <c r="Y47" i="17"/>
  <c r="AO47" i="17" s="1"/>
  <c r="Z47" i="17"/>
  <c r="AP47" i="17" s="1"/>
  <c r="AA47" i="17"/>
  <c r="AQ47" i="17" s="1"/>
  <c r="AC47" i="17"/>
  <c r="AS47" i="17" s="1"/>
  <c r="AD47" i="17"/>
  <c r="AT47" i="17" s="1"/>
  <c r="AE47" i="17"/>
  <c r="AU47" i="17" s="1"/>
  <c r="AF47" i="17"/>
  <c r="AV47" i="17" s="1"/>
  <c r="T48" i="17"/>
  <c r="AJ48" i="17" s="1"/>
  <c r="U48" i="17"/>
  <c r="AK48" i="17" s="1"/>
  <c r="V48" i="17"/>
  <c r="AL48" i="17" s="1"/>
  <c r="W48" i="17"/>
  <c r="AM48" i="17" s="1"/>
  <c r="X48" i="17"/>
  <c r="AN48" i="17" s="1"/>
  <c r="Y48" i="17"/>
  <c r="AO48" i="17" s="1"/>
  <c r="Z48" i="17"/>
  <c r="AP48" i="17" s="1"/>
  <c r="AA48" i="17"/>
  <c r="AQ48" i="17" s="1"/>
  <c r="AC48" i="17"/>
  <c r="AS48" i="17" s="1"/>
  <c r="AD48" i="17"/>
  <c r="AT48" i="17" s="1"/>
  <c r="AE48" i="17"/>
  <c r="AU48" i="17" s="1"/>
  <c r="AF48" i="17"/>
  <c r="AV48" i="17" s="1"/>
  <c r="T49" i="17"/>
  <c r="AJ49" i="17" s="1"/>
  <c r="U49" i="17"/>
  <c r="AK49" i="17" s="1"/>
  <c r="V49" i="17"/>
  <c r="AL49" i="17" s="1"/>
  <c r="W49" i="17"/>
  <c r="AM49" i="17" s="1"/>
  <c r="X49" i="17"/>
  <c r="AN49" i="17" s="1"/>
  <c r="Y49" i="17"/>
  <c r="AO49" i="17" s="1"/>
  <c r="Z49" i="17"/>
  <c r="AP49" i="17" s="1"/>
  <c r="AA49" i="17"/>
  <c r="AQ49" i="17" s="1"/>
  <c r="AC49" i="17"/>
  <c r="AS49" i="17" s="1"/>
  <c r="AD49" i="17"/>
  <c r="AT49" i="17" s="1"/>
  <c r="AE49" i="17"/>
  <c r="AU49" i="17" s="1"/>
  <c r="AF49" i="17"/>
  <c r="AV49" i="17" s="1"/>
  <c r="T50" i="17"/>
  <c r="AJ50" i="17" s="1"/>
  <c r="U50" i="17"/>
  <c r="AK50" i="17" s="1"/>
  <c r="V50" i="17"/>
  <c r="AL50" i="17" s="1"/>
  <c r="W50" i="17"/>
  <c r="AM50" i="17" s="1"/>
  <c r="X50" i="17"/>
  <c r="AN50" i="17" s="1"/>
  <c r="Y50" i="17"/>
  <c r="AO50" i="17" s="1"/>
  <c r="Z50" i="17"/>
  <c r="AP50" i="17" s="1"/>
  <c r="AA50" i="17"/>
  <c r="AQ50" i="17" s="1"/>
  <c r="AC50" i="17"/>
  <c r="AS50" i="17" s="1"/>
  <c r="AD50" i="17"/>
  <c r="AT50" i="17" s="1"/>
  <c r="AE50" i="17"/>
  <c r="AU50" i="17" s="1"/>
  <c r="AF50" i="17"/>
  <c r="AV50" i="17" s="1"/>
  <c r="T51" i="17"/>
  <c r="AJ51" i="17" s="1"/>
  <c r="U51" i="17"/>
  <c r="AK51" i="17" s="1"/>
  <c r="V51" i="17"/>
  <c r="AL51" i="17" s="1"/>
  <c r="W51" i="17"/>
  <c r="AM51" i="17" s="1"/>
  <c r="X51" i="17"/>
  <c r="AN51" i="17" s="1"/>
  <c r="Y51" i="17"/>
  <c r="AO51" i="17" s="1"/>
  <c r="Z51" i="17"/>
  <c r="AP51" i="17" s="1"/>
  <c r="AA51" i="17"/>
  <c r="AQ51" i="17" s="1"/>
  <c r="AC51" i="17"/>
  <c r="AS51" i="17" s="1"/>
  <c r="AD51" i="17"/>
  <c r="AT51" i="17" s="1"/>
  <c r="AE51" i="17"/>
  <c r="AU51" i="17" s="1"/>
  <c r="AF51" i="17"/>
  <c r="AV51" i="17" s="1"/>
  <c r="T52" i="17"/>
  <c r="AJ52" i="17" s="1"/>
  <c r="U52" i="17"/>
  <c r="AK52" i="17" s="1"/>
  <c r="V52" i="17"/>
  <c r="AL52" i="17" s="1"/>
  <c r="W52" i="17"/>
  <c r="AM52" i="17" s="1"/>
  <c r="X52" i="17"/>
  <c r="AN52" i="17" s="1"/>
  <c r="Y52" i="17"/>
  <c r="AO52" i="17" s="1"/>
  <c r="Z52" i="17"/>
  <c r="AP52" i="17" s="1"/>
  <c r="AA52" i="17"/>
  <c r="AQ52" i="17" s="1"/>
  <c r="AC52" i="17"/>
  <c r="AS52" i="17" s="1"/>
  <c r="AD52" i="17"/>
  <c r="AT52" i="17" s="1"/>
  <c r="AE52" i="17"/>
  <c r="AU52" i="17" s="1"/>
  <c r="AF52" i="17"/>
  <c r="AV52" i="17" s="1"/>
  <c r="T53" i="17"/>
  <c r="AJ53" i="17" s="1"/>
  <c r="U53" i="17"/>
  <c r="AK53" i="17" s="1"/>
  <c r="V53" i="17"/>
  <c r="AL53" i="17" s="1"/>
  <c r="W53" i="17"/>
  <c r="AM53" i="17" s="1"/>
  <c r="X53" i="17"/>
  <c r="AN53" i="17" s="1"/>
  <c r="Y53" i="17"/>
  <c r="AO53" i="17" s="1"/>
  <c r="Z53" i="17"/>
  <c r="AP53" i="17" s="1"/>
  <c r="AA53" i="17"/>
  <c r="AQ53" i="17" s="1"/>
  <c r="AC53" i="17"/>
  <c r="AS53" i="17" s="1"/>
  <c r="AD53" i="17"/>
  <c r="AT53" i="17" s="1"/>
  <c r="AE53" i="17"/>
  <c r="AU53" i="17" s="1"/>
  <c r="AF53" i="17"/>
  <c r="AV53" i="17" s="1"/>
  <c r="T54" i="17"/>
  <c r="AJ54" i="17" s="1"/>
  <c r="U54" i="17"/>
  <c r="AK54" i="17" s="1"/>
  <c r="V54" i="17"/>
  <c r="AL54" i="17" s="1"/>
  <c r="W54" i="17"/>
  <c r="AM54" i="17" s="1"/>
  <c r="X54" i="17"/>
  <c r="AN54" i="17" s="1"/>
  <c r="Y54" i="17"/>
  <c r="AO54" i="17" s="1"/>
  <c r="Z54" i="17"/>
  <c r="AP54" i="17" s="1"/>
  <c r="AA54" i="17"/>
  <c r="AQ54" i="17" s="1"/>
  <c r="AC54" i="17"/>
  <c r="AS54" i="17" s="1"/>
  <c r="AD54" i="17"/>
  <c r="AT54" i="17" s="1"/>
  <c r="AE54" i="17"/>
  <c r="AU54" i="17" s="1"/>
  <c r="AF54" i="17"/>
  <c r="AV54" i="17" s="1"/>
  <c r="T55" i="17"/>
  <c r="AJ55" i="17" s="1"/>
  <c r="U55" i="17"/>
  <c r="AK55" i="17" s="1"/>
  <c r="V55" i="17"/>
  <c r="AL55" i="17" s="1"/>
  <c r="W55" i="17"/>
  <c r="AM55" i="17" s="1"/>
  <c r="X55" i="17"/>
  <c r="AN55" i="17" s="1"/>
  <c r="Y55" i="17"/>
  <c r="AO55" i="17" s="1"/>
  <c r="Z55" i="17"/>
  <c r="AP55" i="17" s="1"/>
  <c r="AA55" i="17"/>
  <c r="AQ55" i="17" s="1"/>
  <c r="AC55" i="17"/>
  <c r="AS55" i="17" s="1"/>
  <c r="AD55" i="17"/>
  <c r="AT55" i="17" s="1"/>
  <c r="AE55" i="17"/>
  <c r="AU55" i="17" s="1"/>
  <c r="AF55" i="17"/>
  <c r="AV55" i="17" s="1"/>
  <c r="AK28" i="18" l="1"/>
  <c r="AK24" i="18"/>
  <c r="AK20" i="18"/>
  <c r="AK16" i="18"/>
  <c r="AK12" i="18"/>
  <c r="AK8" i="18"/>
  <c r="AK25" i="18"/>
  <c r="AK21" i="18"/>
  <c r="AK17" i="18"/>
  <c r="AK13" i="18"/>
  <c r="AK9" i="18"/>
  <c r="AK26" i="18"/>
  <c r="AK22" i="18"/>
  <c r="AK18" i="18"/>
  <c r="AK14" i="18"/>
  <c r="AK10" i="18"/>
  <c r="AK27" i="18"/>
  <c r="AK23" i="18"/>
  <c r="AK19" i="18"/>
  <c r="AK15" i="18"/>
  <c r="AK11" i="18"/>
  <c r="AK7" i="18"/>
  <c r="T8" i="14"/>
  <c r="AJ8" i="14" s="1"/>
  <c r="U8" i="14"/>
  <c r="V8" i="14"/>
  <c r="AL8" i="14" s="1"/>
  <c r="W8" i="14"/>
  <c r="AM8" i="14" s="1"/>
  <c r="X8" i="14"/>
  <c r="AN8" i="14" s="1"/>
  <c r="Y8" i="14"/>
  <c r="AO8" i="14" s="1"/>
  <c r="Z8" i="14"/>
  <c r="AP8" i="14" s="1"/>
  <c r="AA8" i="14"/>
  <c r="AQ8" i="14" s="1"/>
  <c r="AC8" i="14"/>
  <c r="AS8" i="14" s="1"/>
  <c r="AD8" i="14"/>
  <c r="AT8" i="14" s="1"/>
  <c r="AE8" i="14"/>
  <c r="AU8" i="14" s="1"/>
  <c r="AF8" i="14"/>
  <c r="AV8" i="14" s="1"/>
  <c r="T9" i="14"/>
  <c r="AJ9" i="14" s="1"/>
  <c r="U9" i="14"/>
  <c r="V9" i="14"/>
  <c r="AL9" i="14" s="1"/>
  <c r="W9" i="14"/>
  <c r="AM9" i="14" s="1"/>
  <c r="X9" i="14"/>
  <c r="AN9" i="14" s="1"/>
  <c r="Y9" i="14"/>
  <c r="AO9" i="14" s="1"/>
  <c r="Z9" i="14"/>
  <c r="AP9" i="14" s="1"/>
  <c r="AA9" i="14"/>
  <c r="AQ9" i="14" s="1"/>
  <c r="AC9" i="14"/>
  <c r="AS9" i="14" s="1"/>
  <c r="AD9" i="14"/>
  <c r="AT9" i="14" s="1"/>
  <c r="AE9" i="14"/>
  <c r="AU9" i="14" s="1"/>
  <c r="AF9" i="14"/>
  <c r="AV9" i="14" s="1"/>
  <c r="T10" i="14"/>
  <c r="AJ10" i="14" s="1"/>
  <c r="U10" i="14"/>
  <c r="V10" i="14"/>
  <c r="AL10" i="14" s="1"/>
  <c r="W10" i="14"/>
  <c r="AM10" i="14" s="1"/>
  <c r="X10" i="14"/>
  <c r="AN10" i="14" s="1"/>
  <c r="Y10" i="14"/>
  <c r="AO10" i="14" s="1"/>
  <c r="Z10" i="14"/>
  <c r="AP10" i="14" s="1"/>
  <c r="AA10" i="14"/>
  <c r="AQ10" i="14" s="1"/>
  <c r="AC10" i="14"/>
  <c r="AS10" i="14" s="1"/>
  <c r="AD10" i="14"/>
  <c r="AT10" i="14" s="1"/>
  <c r="AE10" i="14"/>
  <c r="AU10" i="14" s="1"/>
  <c r="AF10" i="14"/>
  <c r="AV10" i="14" s="1"/>
  <c r="T11" i="14"/>
  <c r="AJ11" i="14" s="1"/>
  <c r="U11" i="14"/>
  <c r="V11" i="14"/>
  <c r="AL11" i="14" s="1"/>
  <c r="W11" i="14"/>
  <c r="AM11" i="14" s="1"/>
  <c r="X11" i="14"/>
  <c r="AN11" i="14" s="1"/>
  <c r="Y11" i="14"/>
  <c r="AO11" i="14" s="1"/>
  <c r="Z11" i="14"/>
  <c r="AP11" i="14" s="1"/>
  <c r="AA11" i="14"/>
  <c r="AQ11" i="14" s="1"/>
  <c r="AC11" i="14"/>
  <c r="AS11" i="14" s="1"/>
  <c r="AD11" i="14"/>
  <c r="AT11" i="14" s="1"/>
  <c r="AE11" i="14"/>
  <c r="AU11" i="14" s="1"/>
  <c r="AF11" i="14"/>
  <c r="AV11" i="14" s="1"/>
  <c r="T12" i="14"/>
  <c r="AJ12" i="14" s="1"/>
  <c r="U12" i="14"/>
  <c r="V12" i="14"/>
  <c r="AL12" i="14" s="1"/>
  <c r="W12" i="14"/>
  <c r="AM12" i="14" s="1"/>
  <c r="X12" i="14"/>
  <c r="AN12" i="14" s="1"/>
  <c r="Y12" i="14"/>
  <c r="AO12" i="14" s="1"/>
  <c r="Z12" i="14"/>
  <c r="AP12" i="14" s="1"/>
  <c r="AA12" i="14"/>
  <c r="AQ12" i="14" s="1"/>
  <c r="AC12" i="14"/>
  <c r="AS12" i="14" s="1"/>
  <c r="AD12" i="14"/>
  <c r="AT12" i="14" s="1"/>
  <c r="AE12" i="14"/>
  <c r="AU12" i="14" s="1"/>
  <c r="AF12" i="14"/>
  <c r="AV12" i="14" s="1"/>
  <c r="T13" i="14"/>
  <c r="AJ13" i="14" s="1"/>
  <c r="U13" i="14"/>
  <c r="V13" i="14"/>
  <c r="AL13" i="14" s="1"/>
  <c r="W13" i="14"/>
  <c r="AM13" i="14" s="1"/>
  <c r="X13" i="14"/>
  <c r="AN13" i="14" s="1"/>
  <c r="Y13" i="14"/>
  <c r="AO13" i="14" s="1"/>
  <c r="Z13" i="14"/>
  <c r="AP13" i="14" s="1"/>
  <c r="AA13" i="14"/>
  <c r="AQ13" i="14" s="1"/>
  <c r="AC13" i="14"/>
  <c r="AS13" i="14" s="1"/>
  <c r="AD13" i="14"/>
  <c r="AT13" i="14" s="1"/>
  <c r="AE13" i="14"/>
  <c r="AU13" i="14" s="1"/>
  <c r="AF13" i="14"/>
  <c r="AV13" i="14" s="1"/>
  <c r="T14" i="14"/>
  <c r="AJ14" i="14" s="1"/>
  <c r="U14" i="14"/>
  <c r="V14" i="14"/>
  <c r="AL14" i="14" s="1"/>
  <c r="W14" i="14"/>
  <c r="AM14" i="14" s="1"/>
  <c r="X14" i="14"/>
  <c r="AN14" i="14" s="1"/>
  <c r="Y14" i="14"/>
  <c r="AO14" i="14" s="1"/>
  <c r="Z14" i="14"/>
  <c r="AP14" i="14" s="1"/>
  <c r="AA14" i="14"/>
  <c r="AQ14" i="14" s="1"/>
  <c r="AC14" i="14"/>
  <c r="AS14" i="14" s="1"/>
  <c r="AD14" i="14"/>
  <c r="AT14" i="14" s="1"/>
  <c r="AE14" i="14"/>
  <c r="AU14" i="14" s="1"/>
  <c r="AF14" i="14"/>
  <c r="AV14" i="14" s="1"/>
  <c r="T15" i="14"/>
  <c r="AJ15" i="14" s="1"/>
  <c r="U15" i="14"/>
  <c r="V15" i="14"/>
  <c r="AL15" i="14" s="1"/>
  <c r="W15" i="14"/>
  <c r="AM15" i="14" s="1"/>
  <c r="X15" i="14"/>
  <c r="AN15" i="14" s="1"/>
  <c r="Y15" i="14"/>
  <c r="AO15" i="14" s="1"/>
  <c r="Z15" i="14"/>
  <c r="AP15" i="14" s="1"/>
  <c r="AA15" i="14"/>
  <c r="AQ15" i="14" s="1"/>
  <c r="AC15" i="14"/>
  <c r="AS15" i="14" s="1"/>
  <c r="AD15" i="14"/>
  <c r="AT15" i="14" s="1"/>
  <c r="AE15" i="14"/>
  <c r="AU15" i="14" s="1"/>
  <c r="AF15" i="14"/>
  <c r="AV15" i="14" s="1"/>
  <c r="T16" i="14"/>
  <c r="AJ16" i="14" s="1"/>
  <c r="U16" i="14"/>
  <c r="V16" i="14"/>
  <c r="AL16" i="14" s="1"/>
  <c r="W16" i="14"/>
  <c r="AM16" i="14" s="1"/>
  <c r="X16" i="14"/>
  <c r="AN16" i="14" s="1"/>
  <c r="Y16" i="14"/>
  <c r="AO16" i="14" s="1"/>
  <c r="Z16" i="14"/>
  <c r="AP16" i="14" s="1"/>
  <c r="AA16" i="14"/>
  <c r="AQ16" i="14" s="1"/>
  <c r="AC16" i="14"/>
  <c r="AS16" i="14" s="1"/>
  <c r="AD16" i="14"/>
  <c r="AT16" i="14" s="1"/>
  <c r="AE16" i="14"/>
  <c r="AU16" i="14" s="1"/>
  <c r="AF16" i="14"/>
  <c r="AV16" i="14" s="1"/>
  <c r="T17" i="14"/>
  <c r="AJ17" i="14" s="1"/>
  <c r="U17" i="14"/>
  <c r="V17" i="14"/>
  <c r="AL17" i="14" s="1"/>
  <c r="W17" i="14"/>
  <c r="AM17" i="14" s="1"/>
  <c r="X17" i="14"/>
  <c r="AN17" i="14" s="1"/>
  <c r="Y17" i="14"/>
  <c r="AO17" i="14" s="1"/>
  <c r="Z17" i="14"/>
  <c r="AP17" i="14" s="1"/>
  <c r="AA17" i="14"/>
  <c r="AQ17" i="14" s="1"/>
  <c r="AC17" i="14"/>
  <c r="AS17" i="14" s="1"/>
  <c r="AD17" i="14"/>
  <c r="AT17" i="14" s="1"/>
  <c r="AE17" i="14"/>
  <c r="AU17" i="14" s="1"/>
  <c r="AF17" i="14"/>
  <c r="AV17" i="14" s="1"/>
  <c r="T18" i="14"/>
  <c r="AJ18" i="14" s="1"/>
  <c r="U18" i="14"/>
  <c r="V18" i="14"/>
  <c r="AL18" i="14" s="1"/>
  <c r="W18" i="14"/>
  <c r="AM18" i="14" s="1"/>
  <c r="X18" i="14"/>
  <c r="AN18" i="14" s="1"/>
  <c r="Y18" i="14"/>
  <c r="AO18" i="14" s="1"/>
  <c r="Z18" i="14"/>
  <c r="AP18" i="14" s="1"/>
  <c r="AA18" i="14"/>
  <c r="AQ18" i="14" s="1"/>
  <c r="AC18" i="14"/>
  <c r="AS18" i="14" s="1"/>
  <c r="AD18" i="14"/>
  <c r="AT18" i="14" s="1"/>
  <c r="AE18" i="14"/>
  <c r="AU18" i="14" s="1"/>
  <c r="AF18" i="14"/>
  <c r="AV18" i="14" s="1"/>
  <c r="T19" i="14"/>
  <c r="AJ19" i="14" s="1"/>
  <c r="U19" i="14"/>
  <c r="V19" i="14"/>
  <c r="AL19" i="14" s="1"/>
  <c r="W19" i="14"/>
  <c r="AM19" i="14" s="1"/>
  <c r="X19" i="14"/>
  <c r="AN19" i="14" s="1"/>
  <c r="Y19" i="14"/>
  <c r="AO19" i="14" s="1"/>
  <c r="Z19" i="14"/>
  <c r="AP19" i="14" s="1"/>
  <c r="AA19" i="14"/>
  <c r="AQ19" i="14" s="1"/>
  <c r="AC19" i="14"/>
  <c r="AS19" i="14" s="1"/>
  <c r="AD19" i="14"/>
  <c r="AT19" i="14" s="1"/>
  <c r="AE19" i="14"/>
  <c r="AU19" i="14" s="1"/>
  <c r="AF19" i="14"/>
  <c r="AV19" i="14" s="1"/>
  <c r="T20" i="14"/>
  <c r="AJ20" i="14" s="1"/>
  <c r="U20" i="14"/>
  <c r="V20" i="14"/>
  <c r="AL20" i="14" s="1"/>
  <c r="W20" i="14"/>
  <c r="AM20" i="14" s="1"/>
  <c r="X20" i="14"/>
  <c r="AN20" i="14" s="1"/>
  <c r="Y20" i="14"/>
  <c r="AO20" i="14" s="1"/>
  <c r="Z20" i="14"/>
  <c r="AP20" i="14" s="1"/>
  <c r="AA20" i="14"/>
  <c r="AQ20" i="14" s="1"/>
  <c r="AC20" i="14"/>
  <c r="AS20" i="14" s="1"/>
  <c r="AD20" i="14"/>
  <c r="AT20" i="14" s="1"/>
  <c r="AE20" i="14"/>
  <c r="AU20" i="14" s="1"/>
  <c r="AF20" i="14"/>
  <c r="AV20" i="14" s="1"/>
  <c r="T21" i="14"/>
  <c r="AJ21" i="14" s="1"/>
  <c r="U21" i="14"/>
  <c r="V21" i="14"/>
  <c r="AL21" i="14" s="1"/>
  <c r="W21" i="14"/>
  <c r="AM21" i="14" s="1"/>
  <c r="X21" i="14"/>
  <c r="AN21" i="14" s="1"/>
  <c r="Y21" i="14"/>
  <c r="AO21" i="14" s="1"/>
  <c r="Z21" i="14"/>
  <c r="AP21" i="14" s="1"/>
  <c r="AA21" i="14"/>
  <c r="AQ21" i="14" s="1"/>
  <c r="AC21" i="14"/>
  <c r="AS21" i="14" s="1"/>
  <c r="AD21" i="14"/>
  <c r="AT21" i="14" s="1"/>
  <c r="AE21" i="14"/>
  <c r="AU21" i="14" s="1"/>
  <c r="AF21" i="14"/>
  <c r="AV21" i="14" s="1"/>
  <c r="T22" i="14"/>
  <c r="AJ22" i="14" s="1"/>
  <c r="U22" i="14"/>
  <c r="V22" i="14"/>
  <c r="AL22" i="14" s="1"/>
  <c r="W22" i="14"/>
  <c r="AM22" i="14" s="1"/>
  <c r="X22" i="14"/>
  <c r="AN22" i="14" s="1"/>
  <c r="Y22" i="14"/>
  <c r="AO22" i="14" s="1"/>
  <c r="Z22" i="14"/>
  <c r="AP22" i="14" s="1"/>
  <c r="AA22" i="14"/>
  <c r="AQ22" i="14" s="1"/>
  <c r="AC22" i="14"/>
  <c r="AS22" i="14" s="1"/>
  <c r="AD22" i="14"/>
  <c r="AT22" i="14" s="1"/>
  <c r="AE22" i="14"/>
  <c r="AU22" i="14" s="1"/>
  <c r="AF22" i="14"/>
  <c r="AV22" i="14" s="1"/>
  <c r="T23" i="14"/>
  <c r="AJ23" i="14" s="1"/>
  <c r="U23" i="14"/>
  <c r="V23" i="14"/>
  <c r="AL23" i="14" s="1"/>
  <c r="W23" i="14"/>
  <c r="AM23" i="14" s="1"/>
  <c r="X23" i="14"/>
  <c r="AN23" i="14" s="1"/>
  <c r="Y23" i="14"/>
  <c r="AO23" i="14" s="1"/>
  <c r="Z23" i="14"/>
  <c r="AP23" i="14" s="1"/>
  <c r="AA23" i="14"/>
  <c r="AQ23" i="14" s="1"/>
  <c r="AC23" i="14"/>
  <c r="AS23" i="14" s="1"/>
  <c r="AD23" i="14"/>
  <c r="AT23" i="14" s="1"/>
  <c r="AE23" i="14"/>
  <c r="AU23" i="14" s="1"/>
  <c r="AF23" i="14"/>
  <c r="AV23" i="14" s="1"/>
  <c r="T24" i="14"/>
  <c r="AJ24" i="14" s="1"/>
  <c r="U24" i="14"/>
  <c r="V24" i="14"/>
  <c r="AL24" i="14" s="1"/>
  <c r="W24" i="14"/>
  <c r="AM24" i="14" s="1"/>
  <c r="X24" i="14"/>
  <c r="AN24" i="14" s="1"/>
  <c r="Y24" i="14"/>
  <c r="AO24" i="14" s="1"/>
  <c r="Z24" i="14"/>
  <c r="AP24" i="14" s="1"/>
  <c r="AA24" i="14"/>
  <c r="AQ24" i="14" s="1"/>
  <c r="AC24" i="14"/>
  <c r="AS24" i="14" s="1"/>
  <c r="AD24" i="14"/>
  <c r="AT24" i="14" s="1"/>
  <c r="AE24" i="14"/>
  <c r="AU24" i="14" s="1"/>
  <c r="AF24" i="14"/>
  <c r="AV24" i="14" s="1"/>
  <c r="T25" i="14"/>
  <c r="AJ25" i="14" s="1"/>
  <c r="U25" i="14"/>
  <c r="V25" i="14"/>
  <c r="AL25" i="14" s="1"/>
  <c r="W25" i="14"/>
  <c r="AM25" i="14" s="1"/>
  <c r="X25" i="14"/>
  <c r="AN25" i="14" s="1"/>
  <c r="Y25" i="14"/>
  <c r="AO25" i="14" s="1"/>
  <c r="Z25" i="14"/>
  <c r="AP25" i="14" s="1"/>
  <c r="AA25" i="14"/>
  <c r="AQ25" i="14" s="1"/>
  <c r="AC25" i="14"/>
  <c r="AS25" i="14" s="1"/>
  <c r="AD25" i="14"/>
  <c r="AT25" i="14" s="1"/>
  <c r="AE25" i="14"/>
  <c r="AU25" i="14" s="1"/>
  <c r="AF25" i="14"/>
  <c r="AV25" i="14" s="1"/>
  <c r="T26" i="14"/>
  <c r="AJ26" i="14" s="1"/>
  <c r="U26" i="14"/>
  <c r="V26" i="14"/>
  <c r="AL26" i="14" s="1"/>
  <c r="W26" i="14"/>
  <c r="AM26" i="14" s="1"/>
  <c r="X26" i="14"/>
  <c r="AN26" i="14" s="1"/>
  <c r="Y26" i="14"/>
  <c r="AO26" i="14" s="1"/>
  <c r="Z26" i="14"/>
  <c r="AP26" i="14" s="1"/>
  <c r="AA26" i="14"/>
  <c r="AQ26" i="14" s="1"/>
  <c r="AC26" i="14"/>
  <c r="AS26" i="14" s="1"/>
  <c r="AD26" i="14"/>
  <c r="AT26" i="14" s="1"/>
  <c r="AE26" i="14"/>
  <c r="AU26" i="14" s="1"/>
  <c r="AF26" i="14"/>
  <c r="AV26" i="14" s="1"/>
  <c r="T27" i="14"/>
  <c r="AJ27" i="14" s="1"/>
  <c r="U27" i="14"/>
  <c r="V27" i="14"/>
  <c r="AL27" i="14" s="1"/>
  <c r="W27" i="14"/>
  <c r="AM27" i="14" s="1"/>
  <c r="X27" i="14"/>
  <c r="AN27" i="14" s="1"/>
  <c r="Y27" i="14"/>
  <c r="AO27" i="14" s="1"/>
  <c r="Z27" i="14"/>
  <c r="AP27" i="14" s="1"/>
  <c r="AA27" i="14"/>
  <c r="AQ27" i="14" s="1"/>
  <c r="AC27" i="14"/>
  <c r="AS27" i="14" s="1"/>
  <c r="AD27" i="14"/>
  <c r="AT27" i="14" s="1"/>
  <c r="AE27" i="14"/>
  <c r="AU27" i="14" s="1"/>
  <c r="AF27" i="14"/>
  <c r="AV27" i="14" s="1"/>
  <c r="T28" i="14"/>
  <c r="AJ28" i="14" s="1"/>
  <c r="U28" i="14"/>
  <c r="V28" i="14"/>
  <c r="AL28" i="14" s="1"/>
  <c r="W28" i="14"/>
  <c r="AM28" i="14" s="1"/>
  <c r="X28" i="14"/>
  <c r="AN28" i="14" s="1"/>
  <c r="Y28" i="14"/>
  <c r="AO28" i="14" s="1"/>
  <c r="Z28" i="14"/>
  <c r="AP28" i="14" s="1"/>
  <c r="AA28" i="14"/>
  <c r="AQ28" i="14" s="1"/>
  <c r="AC28" i="14"/>
  <c r="AS28" i="14" s="1"/>
  <c r="AD28" i="14"/>
  <c r="AT28" i="14" s="1"/>
  <c r="AE28" i="14"/>
  <c r="AU28" i="14" s="1"/>
  <c r="AF28" i="14"/>
  <c r="AV28" i="14" s="1"/>
  <c r="T29" i="14"/>
  <c r="AJ29" i="14" s="1"/>
  <c r="U29" i="14"/>
  <c r="AK29" i="14" s="1"/>
  <c r="V29" i="14"/>
  <c r="AL29" i="14" s="1"/>
  <c r="W29" i="14"/>
  <c r="AM29" i="14" s="1"/>
  <c r="X29" i="14"/>
  <c r="AN29" i="14" s="1"/>
  <c r="Y29" i="14"/>
  <c r="AO29" i="14" s="1"/>
  <c r="Z29" i="14"/>
  <c r="AP29" i="14" s="1"/>
  <c r="AA29" i="14"/>
  <c r="AQ29" i="14" s="1"/>
  <c r="AC29" i="14"/>
  <c r="AS29" i="14" s="1"/>
  <c r="AD29" i="14"/>
  <c r="AT29" i="14" s="1"/>
  <c r="AE29" i="14"/>
  <c r="AU29" i="14" s="1"/>
  <c r="AF29" i="14"/>
  <c r="AV29" i="14" s="1"/>
  <c r="T30" i="14"/>
  <c r="AJ30" i="14" s="1"/>
  <c r="U30" i="14"/>
  <c r="AK30" i="14" s="1"/>
  <c r="V30" i="14"/>
  <c r="AL30" i="14" s="1"/>
  <c r="W30" i="14"/>
  <c r="AM30" i="14" s="1"/>
  <c r="X30" i="14"/>
  <c r="AN30" i="14" s="1"/>
  <c r="Y30" i="14"/>
  <c r="AO30" i="14" s="1"/>
  <c r="Z30" i="14"/>
  <c r="AP30" i="14" s="1"/>
  <c r="AA30" i="14"/>
  <c r="AQ30" i="14" s="1"/>
  <c r="AC30" i="14"/>
  <c r="AS30" i="14" s="1"/>
  <c r="AD30" i="14"/>
  <c r="AT30" i="14" s="1"/>
  <c r="AE30" i="14"/>
  <c r="AU30" i="14" s="1"/>
  <c r="AF30" i="14"/>
  <c r="AV30" i="14" s="1"/>
  <c r="T31" i="14"/>
  <c r="AJ31" i="14" s="1"/>
  <c r="U31" i="14"/>
  <c r="AK31" i="14" s="1"/>
  <c r="V31" i="14"/>
  <c r="AL31" i="14" s="1"/>
  <c r="W31" i="14"/>
  <c r="AM31" i="14" s="1"/>
  <c r="X31" i="14"/>
  <c r="AN31" i="14" s="1"/>
  <c r="Y31" i="14"/>
  <c r="AO31" i="14" s="1"/>
  <c r="Z31" i="14"/>
  <c r="AP31" i="14" s="1"/>
  <c r="AA31" i="14"/>
  <c r="AQ31" i="14" s="1"/>
  <c r="AC31" i="14"/>
  <c r="AS31" i="14" s="1"/>
  <c r="AD31" i="14"/>
  <c r="AT31" i="14" s="1"/>
  <c r="AE31" i="14"/>
  <c r="AU31" i="14" s="1"/>
  <c r="AF31" i="14"/>
  <c r="AV31" i="14" s="1"/>
  <c r="T32" i="14"/>
  <c r="AJ32" i="14" s="1"/>
  <c r="U32" i="14"/>
  <c r="AK32" i="14" s="1"/>
  <c r="V32" i="14"/>
  <c r="AL32" i="14" s="1"/>
  <c r="W32" i="14"/>
  <c r="AM32" i="14" s="1"/>
  <c r="X32" i="14"/>
  <c r="AN32" i="14" s="1"/>
  <c r="Y32" i="14"/>
  <c r="AO32" i="14" s="1"/>
  <c r="Z32" i="14"/>
  <c r="AP32" i="14" s="1"/>
  <c r="AA32" i="14"/>
  <c r="AQ32" i="14" s="1"/>
  <c r="AC32" i="14"/>
  <c r="AS32" i="14" s="1"/>
  <c r="AD32" i="14"/>
  <c r="AT32" i="14" s="1"/>
  <c r="AE32" i="14"/>
  <c r="AU32" i="14" s="1"/>
  <c r="AF32" i="14"/>
  <c r="AV32" i="14" s="1"/>
  <c r="T33" i="14"/>
  <c r="AJ33" i="14" s="1"/>
  <c r="U33" i="14"/>
  <c r="AK33" i="14" s="1"/>
  <c r="V33" i="14"/>
  <c r="AL33" i="14" s="1"/>
  <c r="W33" i="14"/>
  <c r="AM33" i="14" s="1"/>
  <c r="X33" i="14"/>
  <c r="AN33" i="14" s="1"/>
  <c r="Y33" i="14"/>
  <c r="AO33" i="14" s="1"/>
  <c r="Z33" i="14"/>
  <c r="AP33" i="14" s="1"/>
  <c r="AA33" i="14"/>
  <c r="AQ33" i="14" s="1"/>
  <c r="AC33" i="14"/>
  <c r="AS33" i="14" s="1"/>
  <c r="AD33" i="14"/>
  <c r="AT33" i="14" s="1"/>
  <c r="AE33" i="14"/>
  <c r="AU33" i="14" s="1"/>
  <c r="AF33" i="14"/>
  <c r="AV33" i="14" s="1"/>
  <c r="T34" i="14"/>
  <c r="AJ34" i="14" s="1"/>
  <c r="U34" i="14"/>
  <c r="AK34" i="14" s="1"/>
  <c r="V34" i="14"/>
  <c r="AL34" i="14" s="1"/>
  <c r="W34" i="14"/>
  <c r="AM34" i="14" s="1"/>
  <c r="X34" i="14"/>
  <c r="AN34" i="14" s="1"/>
  <c r="Y34" i="14"/>
  <c r="AO34" i="14" s="1"/>
  <c r="Z34" i="14"/>
  <c r="AP34" i="14" s="1"/>
  <c r="AA34" i="14"/>
  <c r="AQ34" i="14" s="1"/>
  <c r="AC34" i="14"/>
  <c r="AS34" i="14" s="1"/>
  <c r="AD34" i="14"/>
  <c r="AT34" i="14" s="1"/>
  <c r="AE34" i="14"/>
  <c r="AU34" i="14" s="1"/>
  <c r="AF34" i="14"/>
  <c r="AV34" i="14" s="1"/>
  <c r="T35" i="14"/>
  <c r="AJ35" i="14" s="1"/>
  <c r="U35" i="14"/>
  <c r="AK35" i="14" s="1"/>
  <c r="V35" i="14"/>
  <c r="AL35" i="14" s="1"/>
  <c r="W35" i="14"/>
  <c r="AM35" i="14" s="1"/>
  <c r="X35" i="14"/>
  <c r="AN35" i="14" s="1"/>
  <c r="Y35" i="14"/>
  <c r="AO35" i="14" s="1"/>
  <c r="Z35" i="14"/>
  <c r="AP35" i="14" s="1"/>
  <c r="AA35" i="14"/>
  <c r="AQ35" i="14" s="1"/>
  <c r="AC35" i="14"/>
  <c r="AS35" i="14" s="1"/>
  <c r="AD35" i="14"/>
  <c r="AT35" i="14" s="1"/>
  <c r="AE35" i="14"/>
  <c r="AU35" i="14" s="1"/>
  <c r="AF35" i="14"/>
  <c r="AV35" i="14" s="1"/>
  <c r="T36" i="14"/>
  <c r="AJ36" i="14" s="1"/>
  <c r="U36" i="14"/>
  <c r="AK36" i="14" s="1"/>
  <c r="V36" i="14"/>
  <c r="AL36" i="14" s="1"/>
  <c r="W36" i="14"/>
  <c r="AM36" i="14" s="1"/>
  <c r="X36" i="14"/>
  <c r="AN36" i="14" s="1"/>
  <c r="Y36" i="14"/>
  <c r="AO36" i="14" s="1"/>
  <c r="Z36" i="14"/>
  <c r="AP36" i="14" s="1"/>
  <c r="AA36" i="14"/>
  <c r="AQ36" i="14" s="1"/>
  <c r="AC36" i="14"/>
  <c r="AS36" i="14" s="1"/>
  <c r="AD36" i="14"/>
  <c r="AT36" i="14" s="1"/>
  <c r="AE36" i="14"/>
  <c r="AU36" i="14" s="1"/>
  <c r="AF36" i="14"/>
  <c r="AV36" i="14" s="1"/>
  <c r="T37" i="14"/>
  <c r="AJ37" i="14" s="1"/>
  <c r="U37" i="14"/>
  <c r="AK37" i="14" s="1"/>
  <c r="V37" i="14"/>
  <c r="AL37" i="14" s="1"/>
  <c r="W37" i="14"/>
  <c r="AM37" i="14" s="1"/>
  <c r="X37" i="14"/>
  <c r="AN37" i="14" s="1"/>
  <c r="Y37" i="14"/>
  <c r="AO37" i="14" s="1"/>
  <c r="Z37" i="14"/>
  <c r="AP37" i="14" s="1"/>
  <c r="AA37" i="14"/>
  <c r="AQ37" i="14" s="1"/>
  <c r="AC37" i="14"/>
  <c r="AS37" i="14" s="1"/>
  <c r="AD37" i="14"/>
  <c r="AT37" i="14" s="1"/>
  <c r="AE37" i="14"/>
  <c r="AU37" i="14" s="1"/>
  <c r="AF37" i="14"/>
  <c r="AV37" i="14" s="1"/>
  <c r="T38" i="14"/>
  <c r="AJ38" i="14" s="1"/>
  <c r="U38" i="14"/>
  <c r="AK38" i="14" s="1"/>
  <c r="V38" i="14"/>
  <c r="AL38" i="14" s="1"/>
  <c r="W38" i="14"/>
  <c r="AM38" i="14" s="1"/>
  <c r="X38" i="14"/>
  <c r="AN38" i="14" s="1"/>
  <c r="Y38" i="14"/>
  <c r="AO38" i="14" s="1"/>
  <c r="Z38" i="14"/>
  <c r="AP38" i="14" s="1"/>
  <c r="AA38" i="14"/>
  <c r="AQ38" i="14" s="1"/>
  <c r="AC38" i="14"/>
  <c r="AS38" i="14" s="1"/>
  <c r="AD38" i="14"/>
  <c r="AT38" i="14" s="1"/>
  <c r="AE38" i="14"/>
  <c r="AU38" i="14" s="1"/>
  <c r="AF38" i="14"/>
  <c r="AV38" i="14" s="1"/>
  <c r="T39" i="14"/>
  <c r="AJ39" i="14" s="1"/>
  <c r="U39" i="14"/>
  <c r="AK39" i="14" s="1"/>
  <c r="V39" i="14"/>
  <c r="AL39" i="14" s="1"/>
  <c r="W39" i="14"/>
  <c r="AM39" i="14" s="1"/>
  <c r="X39" i="14"/>
  <c r="AN39" i="14" s="1"/>
  <c r="Y39" i="14"/>
  <c r="AO39" i="14" s="1"/>
  <c r="Z39" i="14"/>
  <c r="AP39" i="14" s="1"/>
  <c r="AA39" i="14"/>
  <c r="AQ39" i="14" s="1"/>
  <c r="AC39" i="14"/>
  <c r="AS39" i="14" s="1"/>
  <c r="AD39" i="14"/>
  <c r="AT39" i="14" s="1"/>
  <c r="AE39" i="14"/>
  <c r="AU39" i="14" s="1"/>
  <c r="AF39" i="14"/>
  <c r="AV39" i="14" s="1"/>
  <c r="T40" i="14"/>
  <c r="AJ40" i="14" s="1"/>
  <c r="U40" i="14"/>
  <c r="AK40" i="14" s="1"/>
  <c r="V40" i="14"/>
  <c r="AL40" i="14" s="1"/>
  <c r="W40" i="14"/>
  <c r="AM40" i="14" s="1"/>
  <c r="X40" i="14"/>
  <c r="AN40" i="14" s="1"/>
  <c r="Y40" i="14"/>
  <c r="AO40" i="14" s="1"/>
  <c r="Z40" i="14"/>
  <c r="AP40" i="14" s="1"/>
  <c r="AA40" i="14"/>
  <c r="AQ40" i="14" s="1"/>
  <c r="AC40" i="14"/>
  <c r="AS40" i="14" s="1"/>
  <c r="AD40" i="14"/>
  <c r="AT40" i="14" s="1"/>
  <c r="AE40" i="14"/>
  <c r="AU40" i="14" s="1"/>
  <c r="AF40" i="14"/>
  <c r="AV40" i="14" s="1"/>
  <c r="T41" i="14"/>
  <c r="AJ41" i="14" s="1"/>
  <c r="U41" i="14"/>
  <c r="AK41" i="14" s="1"/>
  <c r="V41" i="14"/>
  <c r="AL41" i="14" s="1"/>
  <c r="W41" i="14"/>
  <c r="AM41" i="14" s="1"/>
  <c r="X41" i="14"/>
  <c r="AN41" i="14" s="1"/>
  <c r="Y41" i="14"/>
  <c r="AO41" i="14" s="1"/>
  <c r="Z41" i="14"/>
  <c r="AP41" i="14" s="1"/>
  <c r="AA41" i="14"/>
  <c r="AQ41" i="14" s="1"/>
  <c r="AC41" i="14"/>
  <c r="AS41" i="14" s="1"/>
  <c r="AD41" i="14"/>
  <c r="AT41" i="14" s="1"/>
  <c r="AE41" i="14"/>
  <c r="AU41" i="14" s="1"/>
  <c r="AF41" i="14"/>
  <c r="AV41" i="14" s="1"/>
  <c r="T42" i="14"/>
  <c r="AJ42" i="14" s="1"/>
  <c r="U42" i="14"/>
  <c r="AK42" i="14" s="1"/>
  <c r="V42" i="14"/>
  <c r="AL42" i="14" s="1"/>
  <c r="W42" i="14"/>
  <c r="AM42" i="14" s="1"/>
  <c r="X42" i="14"/>
  <c r="AN42" i="14" s="1"/>
  <c r="Y42" i="14"/>
  <c r="AO42" i="14" s="1"/>
  <c r="Z42" i="14"/>
  <c r="AP42" i="14" s="1"/>
  <c r="AA42" i="14"/>
  <c r="AQ42" i="14" s="1"/>
  <c r="AC42" i="14"/>
  <c r="AS42" i="14" s="1"/>
  <c r="AD42" i="14"/>
  <c r="AT42" i="14" s="1"/>
  <c r="AE42" i="14"/>
  <c r="AU42" i="14" s="1"/>
  <c r="AF42" i="14"/>
  <c r="AV42" i="14" s="1"/>
  <c r="T43" i="14"/>
  <c r="AJ43" i="14" s="1"/>
  <c r="U43" i="14"/>
  <c r="AK43" i="14" s="1"/>
  <c r="V43" i="14"/>
  <c r="AL43" i="14" s="1"/>
  <c r="W43" i="14"/>
  <c r="AM43" i="14" s="1"/>
  <c r="X43" i="14"/>
  <c r="AN43" i="14" s="1"/>
  <c r="Y43" i="14"/>
  <c r="AO43" i="14" s="1"/>
  <c r="Z43" i="14"/>
  <c r="AP43" i="14" s="1"/>
  <c r="AA43" i="14"/>
  <c r="AQ43" i="14" s="1"/>
  <c r="AC43" i="14"/>
  <c r="AS43" i="14" s="1"/>
  <c r="AD43" i="14"/>
  <c r="AT43" i="14" s="1"/>
  <c r="AE43" i="14"/>
  <c r="AU43" i="14" s="1"/>
  <c r="AF43" i="14"/>
  <c r="AV43" i="14" s="1"/>
  <c r="T44" i="14"/>
  <c r="AJ44" i="14" s="1"/>
  <c r="U44" i="14"/>
  <c r="AK44" i="14" s="1"/>
  <c r="V44" i="14"/>
  <c r="AL44" i="14" s="1"/>
  <c r="W44" i="14"/>
  <c r="AM44" i="14" s="1"/>
  <c r="X44" i="14"/>
  <c r="AN44" i="14" s="1"/>
  <c r="Y44" i="14"/>
  <c r="AO44" i="14" s="1"/>
  <c r="Z44" i="14"/>
  <c r="AP44" i="14" s="1"/>
  <c r="AA44" i="14"/>
  <c r="AQ44" i="14" s="1"/>
  <c r="AC44" i="14"/>
  <c r="AS44" i="14" s="1"/>
  <c r="AD44" i="14"/>
  <c r="AT44" i="14" s="1"/>
  <c r="AE44" i="14"/>
  <c r="AU44" i="14" s="1"/>
  <c r="AF44" i="14"/>
  <c r="AV44" i="14" s="1"/>
  <c r="T45" i="14"/>
  <c r="AJ45" i="14" s="1"/>
  <c r="U45" i="14"/>
  <c r="AK45" i="14" s="1"/>
  <c r="V45" i="14"/>
  <c r="AL45" i="14" s="1"/>
  <c r="W45" i="14"/>
  <c r="AM45" i="14" s="1"/>
  <c r="X45" i="14"/>
  <c r="AN45" i="14" s="1"/>
  <c r="Y45" i="14"/>
  <c r="AO45" i="14" s="1"/>
  <c r="Z45" i="14"/>
  <c r="AP45" i="14" s="1"/>
  <c r="AA45" i="14"/>
  <c r="AQ45" i="14" s="1"/>
  <c r="AC45" i="14"/>
  <c r="AS45" i="14" s="1"/>
  <c r="AD45" i="14"/>
  <c r="AT45" i="14" s="1"/>
  <c r="AE45" i="14"/>
  <c r="AU45" i="14" s="1"/>
  <c r="AF45" i="14"/>
  <c r="AV45" i="14" s="1"/>
  <c r="T46" i="14"/>
  <c r="AJ46" i="14" s="1"/>
  <c r="U46" i="14"/>
  <c r="AK46" i="14" s="1"/>
  <c r="V46" i="14"/>
  <c r="AL46" i="14" s="1"/>
  <c r="W46" i="14"/>
  <c r="AM46" i="14" s="1"/>
  <c r="X46" i="14"/>
  <c r="AN46" i="14" s="1"/>
  <c r="Y46" i="14"/>
  <c r="AO46" i="14" s="1"/>
  <c r="Z46" i="14"/>
  <c r="AP46" i="14" s="1"/>
  <c r="AA46" i="14"/>
  <c r="AQ46" i="14" s="1"/>
  <c r="AC46" i="14"/>
  <c r="AS46" i="14" s="1"/>
  <c r="AD46" i="14"/>
  <c r="AT46" i="14" s="1"/>
  <c r="AE46" i="14"/>
  <c r="AU46" i="14" s="1"/>
  <c r="AF46" i="14"/>
  <c r="AV46" i="14" s="1"/>
  <c r="T47" i="14"/>
  <c r="AJ47" i="14" s="1"/>
  <c r="U47" i="14"/>
  <c r="AK47" i="14" s="1"/>
  <c r="V47" i="14"/>
  <c r="AL47" i="14" s="1"/>
  <c r="W47" i="14"/>
  <c r="AM47" i="14" s="1"/>
  <c r="X47" i="14"/>
  <c r="AN47" i="14" s="1"/>
  <c r="Y47" i="14"/>
  <c r="AO47" i="14" s="1"/>
  <c r="Z47" i="14"/>
  <c r="AP47" i="14" s="1"/>
  <c r="AA47" i="14"/>
  <c r="AQ47" i="14" s="1"/>
  <c r="AC47" i="14"/>
  <c r="AS47" i="14" s="1"/>
  <c r="AD47" i="14"/>
  <c r="AT47" i="14" s="1"/>
  <c r="AE47" i="14"/>
  <c r="AU47" i="14" s="1"/>
  <c r="AF47" i="14"/>
  <c r="AV47" i="14" s="1"/>
  <c r="T48" i="14"/>
  <c r="AJ48" i="14" s="1"/>
  <c r="U48" i="14"/>
  <c r="AK48" i="14" s="1"/>
  <c r="V48" i="14"/>
  <c r="AL48" i="14" s="1"/>
  <c r="W48" i="14"/>
  <c r="AM48" i="14" s="1"/>
  <c r="X48" i="14"/>
  <c r="AN48" i="14" s="1"/>
  <c r="Y48" i="14"/>
  <c r="AO48" i="14" s="1"/>
  <c r="Z48" i="14"/>
  <c r="AP48" i="14" s="1"/>
  <c r="AA48" i="14"/>
  <c r="AQ48" i="14" s="1"/>
  <c r="AC48" i="14"/>
  <c r="AS48" i="14" s="1"/>
  <c r="AD48" i="14"/>
  <c r="AT48" i="14" s="1"/>
  <c r="AE48" i="14"/>
  <c r="AU48" i="14" s="1"/>
  <c r="AF48" i="14"/>
  <c r="AV48" i="14" s="1"/>
  <c r="T49" i="14"/>
  <c r="AJ49" i="14" s="1"/>
  <c r="U49" i="14"/>
  <c r="AK49" i="14" s="1"/>
  <c r="V49" i="14"/>
  <c r="AL49" i="14" s="1"/>
  <c r="W49" i="14"/>
  <c r="AM49" i="14" s="1"/>
  <c r="X49" i="14"/>
  <c r="AN49" i="14" s="1"/>
  <c r="Y49" i="14"/>
  <c r="AO49" i="14" s="1"/>
  <c r="Z49" i="14"/>
  <c r="AP49" i="14" s="1"/>
  <c r="AA49" i="14"/>
  <c r="AQ49" i="14" s="1"/>
  <c r="AC49" i="14"/>
  <c r="AS49" i="14" s="1"/>
  <c r="AD49" i="14"/>
  <c r="AT49" i="14" s="1"/>
  <c r="AE49" i="14"/>
  <c r="AU49" i="14" s="1"/>
  <c r="AF49" i="14"/>
  <c r="AV49" i="14" s="1"/>
  <c r="T50" i="14"/>
  <c r="AJ50" i="14" s="1"/>
  <c r="U50" i="14"/>
  <c r="AK50" i="14" s="1"/>
  <c r="V50" i="14"/>
  <c r="AL50" i="14" s="1"/>
  <c r="W50" i="14"/>
  <c r="AM50" i="14" s="1"/>
  <c r="X50" i="14"/>
  <c r="AN50" i="14" s="1"/>
  <c r="Y50" i="14"/>
  <c r="AO50" i="14" s="1"/>
  <c r="Z50" i="14"/>
  <c r="AP50" i="14" s="1"/>
  <c r="AA50" i="14"/>
  <c r="AQ50" i="14" s="1"/>
  <c r="AC50" i="14"/>
  <c r="AS50" i="14" s="1"/>
  <c r="AD50" i="14"/>
  <c r="AT50" i="14" s="1"/>
  <c r="AE50" i="14"/>
  <c r="AU50" i="14" s="1"/>
  <c r="AF50" i="14"/>
  <c r="AV50" i="14" s="1"/>
  <c r="T51" i="14"/>
  <c r="AJ51" i="14" s="1"/>
  <c r="U51" i="14"/>
  <c r="AK51" i="14" s="1"/>
  <c r="V51" i="14"/>
  <c r="AL51" i="14" s="1"/>
  <c r="W51" i="14"/>
  <c r="AM51" i="14" s="1"/>
  <c r="X51" i="14"/>
  <c r="AN51" i="14" s="1"/>
  <c r="Y51" i="14"/>
  <c r="AO51" i="14" s="1"/>
  <c r="Z51" i="14"/>
  <c r="AP51" i="14" s="1"/>
  <c r="AA51" i="14"/>
  <c r="AQ51" i="14" s="1"/>
  <c r="AC51" i="14"/>
  <c r="AS51" i="14" s="1"/>
  <c r="AD51" i="14"/>
  <c r="AT51" i="14" s="1"/>
  <c r="AE51" i="14"/>
  <c r="AU51" i="14" s="1"/>
  <c r="AF51" i="14"/>
  <c r="AV51" i="14" s="1"/>
  <c r="T52" i="14"/>
  <c r="AJ52" i="14" s="1"/>
  <c r="U52" i="14"/>
  <c r="AK52" i="14" s="1"/>
  <c r="V52" i="14"/>
  <c r="AL52" i="14" s="1"/>
  <c r="W52" i="14"/>
  <c r="AM52" i="14" s="1"/>
  <c r="X52" i="14"/>
  <c r="AN52" i="14" s="1"/>
  <c r="Y52" i="14"/>
  <c r="AO52" i="14" s="1"/>
  <c r="Z52" i="14"/>
  <c r="AP52" i="14" s="1"/>
  <c r="AA52" i="14"/>
  <c r="AQ52" i="14" s="1"/>
  <c r="AC52" i="14"/>
  <c r="AS52" i="14" s="1"/>
  <c r="AD52" i="14"/>
  <c r="AT52" i="14" s="1"/>
  <c r="AE52" i="14"/>
  <c r="AU52" i="14" s="1"/>
  <c r="AF52" i="14"/>
  <c r="AV52" i="14" s="1"/>
  <c r="T53" i="14"/>
  <c r="AJ53" i="14" s="1"/>
  <c r="U53" i="14"/>
  <c r="AK53" i="14" s="1"/>
  <c r="V53" i="14"/>
  <c r="AL53" i="14" s="1"/>
  <c r="W53" i="14"/>
  <c r="AM53" i="14" s="1"/>
  <c r="X53" i="14"/>
  <c r="AN53" i="14" s="1"/>
  <c r="Y53" i="14"/>
  <c r="AO53" i="14" s="1"/>
  <c r="Z53" i="14"/>
  <c r="AP53" i="14" s="1"/>
  <c r="AA53" i="14"/>
  <c r="AQ53" i="14" s="1"/>
  <c r="AC53" i="14"/>
  <c r="AS53" i="14" s="1"/>
  <c r="AD53" i="14"/>
  <c r="AT53" i="14" s="1"/>
  <c r="AE53" i="14"/>
  <c r="AU53" i="14" s="1"/>
  <c r="AF53" i="14"/>
  <c r="AV53" i="14" s="1"/>
  <c r="T54" i="14"/>
  <c r="AJ54" i="14" s="1"/>
  <c r="U54" i="14"/>
  <c r="AK54" i="14" s="1"/>
  <c r="V54" i="14"/>
  <c r="AL54" i="14" s="1"/>
  <c r="W54" i="14"/>
  <c r="AM54" i="14" s="1"/>
  <c r="X54" i="14"/>
  <c r="AN54" i="14" s="1"/>
  <c r="Y54" i="14"/>
  <c r="AO54" i="14" s="1"/>
  <c r="Z54" i="14"/>
  <c r="AP54" i="14" s="1"/>
  <c r="AA54" i="14"/>
  <c r="AQ54" i="14" s="1"/>
  <c r="AC54" i="14"/>
  <c r="AS54" i="14" s="1"/>
  <c r="AD54" i="14"/>
  <c r="AT54" i="14" s="1"/>
  <c r="AE54" i="14"/>
  <c r="AU54" i="14" s="1"/>
  <c r="AF54" i="14"/>
  <c r="AV54" i="14" s="1"/>
  <c r="T55" i="14"/>
  <c r="AJ55" i="14" s="1"/>
  <c r="U55" i="14"/>
  <c r="AK55" i="14" s="1"/>
  <c r="V55" i="14"/>
  <c r="AL55" i="14" s="1"/>
  <c r="W55" i="14"/>
  <c r="AM55" i="14" s="1"/>
  <c r="X55" i="14"/>
  <c r="AN55" i="14" s="1"/>
  <c r="Y55" i="14"/>
  <c r="AO55" i="14" s="1"/>
  <c r="Z55" i="14"/>
  <c r="AP55" i="14" s="1"/>
  <c r="AA55" i="14"/>
  <c r="AQ55" i="14" s="1"/>
  <c r="AC55" i="14"/>
  <c r="AS55" i="14" s="1"/>
  <c r="AD55" i="14"/>
  <c r="AT55" i="14" s="1"/>
  <c r="AE55" i="14"/>
  <c r="AU55" i="14" s="1"/>
  <c r="AF55" i="14"/>
  <c r="AV55" i="14" s="1"/>
  <c r="U7" i="14"/>
  <c r="V7" i="14"/>
  <c r="AL7" i="14" s="1"/>
  <c r="W7" i="14"/>
  <c r="AM7" i="14" s="1"/>
  <c r="X7" i="14"/>
  <c r="AN7" i="14" s="1"/>
  <c r="Y7" i="14"/>
  <c r="AO7" i="14" s="1"/>
  <c r="Z7" i="14"/>
  <c r="AP7" i="14" s="1"/>
  <c r="AA7" i="14"/>
  <c r="AQ7" i="14" s="1"/>
  <c r="AC7" i="14"/>
  <c r="AS7" i="14" s="1"/>
  <c r="AD7" i="14"/>
  <c r="AT7" i="14" s="1"/>
  <c r="AE7" i="14"/>
  <c r="AU7" i="14" s="1"/>
  <c r="AF7" i="14"/>
  <c r="AV7" i="14" s="1"/>
  <c r="T7" i="14"/>
  <c r="AJ7" i="14" s="1"/>
  <c r="T36" i="15"/>
  <c r="AJ36" i="15" s="1"/>
  <c r="U36" i="15"/>
  <c r="AK36" i="15" s="1"/>
  <c r="V36" i="15"/>
  <c r="AL36" i="15" s="1"/>
  <c r="W36" i="15"/>
  <c r="AM36" i="15" s="1"/>
  <c r="X36" i="15"/>
  <c r="AN36" i="15" s="1"/>
  <c r="Y36" i="15"/>
  <c r="AO36" i="15" s="1"/>
  <c r="Z36" i="15"/>
  <c r="AP36" i="15" s="1"/>
  <c r="AA36" i="15"/>
  <c r="AQ36" i="15" s="1"/>
  <c r="AC36" i="15"/>
  <c r="AS36" i="15" s="1"/>
  <c r="AD36" i="15"/>
  <c r="AT36" i="15" s="1"/>
  <c r="AE36" i="15"/>
  <c r="AU36" i="15" s="1"/>
  <c r="AF36" i="15"/>
  <c r="AV36" i="15" s="1"/>
  <c r="AH36" i="15"/>
  <c r="AX36" i="15" s="1"/>
  <c r="T37" i="15"/>
  <c r="AJ37" i="15" s="1"/>
  <c r="U37" i="15"/>
  <c r="AK37" i="15" s="1"/>
  <c r="V37" i="15"/>
  <c r="AL37" i="15" s="1"/>
  <c r="W37" i="15"/>
  <c r="AM37" i="15" s="1"/>
  <c r="X37" i="15"/>
  <c r="AN37" i="15" s="1"/>
  <c r="Y37" i="15"/>
  <c r="AO37" i="15" s="1"/>
  <c r="Z37" i="15"/>
  <c r="AP37" i="15" s="1"/>
  <c r="AA37" i="15"/>
  <c r="AQ37" i="15" s="1"/>
  <c r="AC37" i="15"/>
  <c r="AS37" i="15" s="1"/>
  <c r="AD37" i="15"/>
  <c r="AT37" i="15" s="1"/>
  <c r="AE37" i="15"/>
  <c r="AU37" i="15" s="1"/>
  <c r="AF37" i="15"/>
  <c r="AV37" i="15" s="1"/>
  <c r="AH37" i="15"/>
  <c r="AX37" i="15" s="1"/>
  <c r="T38" i="15"/>
  <c r="AJ38" i="15" s="1"/>
  <c r="U38" i="15"/>
  <c r="AK38" i="15" s="1"/>
  <c r="V38" i="15"/>
  <c r="AL38" i="15" s="1"/>
  <c r="W38" i="15"/>
  <c r="AM38" i="15" s="1"/>
  <c r="X38" i="15"/>
  <c r="AN38" i="15" s="1"/>
  <c r="Y38" i="15"/>
  <c r="AO38" i="15" s="1"/>
  <c r="Z38" i="15"/>
  <c r="AP38" i="15" s="1"/>
  <c r="AA38" i="15"/>
  <c r="AQ38" i="15" s="1"/>
  <c r="AC38" i="15"/>
  <c r="AS38" i="15" s="1"/>
  <c r="AD38" i="15"/>
  <c r="AT38" i="15" s="1"/>
  <c r="AE38" i="15"/>
  <c r="AU38" i="15" s="1"/>
  <c r="AF38" i="15"/>
  <c r="AV38" i="15" s="1"/>
  <c r="AH38" i="15"/>
  <c r="AX38" i="15" s="1"/>
  <c r="T39" i="15"/>
  <c r="AJ39" i="15" s="1"/>
  <c r="U39" i="15"/>
  <c r="AK39" i="15" s="1"/>
  <c r="V39" i="15"/>
  <c r="AL39" i="15" s="1"/>
  <c r="W39" i="15"/>
  <c r="AM39" i="15" s="1"/>
  <c r="X39" i="15"/>
  <c r="AN39" i="15" s="1"/>
  <c r="Y39" i="15"/>
  <c r="AO39" i="15" s="1"/>
  <c r="Z39" i="15"/>
  <c r="AP39" i="15" s="1"/>
  <c r="AA39" i="15"/>
  <c r="AQ39" i="15" s="1"/>
  <c r="AC39" i="15"/>
  <c r="AS39" i="15" s="1"/>
  <c r="AD39" i="15"/>
  <c r="AT39" i="15" s="1"/>
  <c r="AE39" i="15"/>
  <c r="AU39" i="15" s="1"/>
  <c r="AF39" i="15"/>
  <c r="AV39" i="15" s="1"/>
  <c r="AH39" i="15"/>
  <c r="AX39" i="15" s="1"/>
  <c r="T40" i="15"/>
  <c r="AJ40" i="15" s="1"/>
  <c r="U40" i="15"/>
  <c r="AK40" i="15" s="1"/>
  <c r="V40" i="15"/>
  <c r="AL40" i="15" s="1"/>
  <c r="W40" i="15"/>
  <c r="AM40" i="15" s="1"/>
  <c r="X40" i="15"/>
  <c r="AN40" i="15" s="1"/>
  <c r="Y40" i="15"/>
  <c r="AO40" i="15" s="1"/>
  <c r="Z40" i="15"/>
  <c r="AP40" i="15" s="1"/>
  <c r="AA40" i="15"/>
  <c r="AQ40" i="15" s="1"/>
  <c r="AC40" i="15"/>
  <c r="AS40" i="15" s="1"/>
  <c r="AD40" i="15"/>
  <c r="AT40" i="15" s="1"/>
  <c r="AE40" i="15"/>
  <c r="AU40" i="15" s="1"/>
  <c r="AF40" i="15"/>
  <c r="AV40" i="15" s="1"/>
  <c r="AH40" i="15"/>
  <c r="AX40" i="15" s="1"/>
  <c r="T41" i="15"/>
  <c r="AJ41" i="15" s="1"/>
  <c r="U41" i="15"/>
  <c r="AK41" i="15" s="1"/>
  <c r="V41" i="15"/>
  <c r="AL41" i="15" s="1"/>
  <c r="W41" i="15"/>
  <c r="AM41" i="15" s="1"/>
  <c r="X41" i="15"/>
  <c r="AN41" i="15" s="1"/>
  <c r="Y41" i="15"/>
  <c r="AO41" i="15" s="1"/>
  <c r="Z41" i="15"/>
  <c r="AP41" i="15" s="1"/>
  <c r="AA41" i="15"/>
  <c r="AQ41" i="15" s="1"/>
  <c r="AC41" i="15"/>
  <c r="AS41" i="15" s="1"/>
  <c r="AD41" i="15"/>
  <c r="AT41" i="15" s="1"/>
  <c r="AE41" i="15"/>
  <c r="AU41" i="15" s="1"/>
  <c r="AF41" i="15"/>
  <c r="AV41" i="15" s="1"/>
  <c r="AH41" i="15"/>
  <c r="AX41" i="15" s="1"/>
  <c r="T42" i="15"/>
  <c r="AJ42" i="15" s="1"/>
  <c r="U42" i="15"/>
  <c r="AK42" i="15" s="1"/>
  <c r="V42" i="15"/>
  <c r="AL42" i="15" s="1"/>
  <c r="W42" i="15"/>
  <c r="AM42" i="15" s="1"/>
  <c r="X42" i="15"/>
  <c r="AN42" i="15" s="1"/>
  <c r="Y42" i="15"/>
  <c r="AO42" i="15" s="1"/>
  <c r="Z42" i="15"/>
  <c r="AP42" i="15" s="1"/>
  <c r="AA42" i="15"/>
  <c r="AQ42" i="15" s="1"/>
  <c r="AC42" i="15"/>
  <c r="AS42" i="15" s="1"/>
  <c r="AD42" i="15"/>
  <c r="AT42" i="15" s="1"/>
  <c r="AE42" i="15"/>
  <c r="AU42" i="15" s="1"/>
  <c r="AF42" i="15"/>
  <c r="AV42" i="15" s="1"/>
  <c r="AH42" i="15"/>
  <c r="AX42" i="15" s="1"/>
  <c r="T43" i="15"/>
  <c r="AJ43" i="15" s="1"/>
  <c r="U43" i="15"/>
  <c r="AK43" i="15" s="1"/>
  <c r="V43" i="15"/>
  <c r="AL43" i="15" s="1"/>
  <c r="W43" i="15"/>
  <c r="AM43" i="15" s="1"/>
  <c r="X43" i="15"/>
  <c r="AN43" i="15" s="1"/>
  <c r="Y43" i="15"/>
  <c r="AO43" i="15" s="1"/>
  <c r="Z43" i="15"/>
  <c r="AP43" i="15" s="1"/>
  <c r="AA43" i="15"/>
  <c r="AQ43" i="15" s="1"/>
  <c r="AC43" i="15"/>
  <c r="AS43" i="15" s="1"/>
  <c r="AD43" i="15"/>
  <c r="AT43" i="15" s="1"/>
  <c r="AE43" i="15"/>
  <c r="AU43" i="15" s="1"/>
  <c r="AF43" i="15"/>
  <c r="AV43" i="15" s="1"/>
  <c r="AH43" i="15"/>
  <c r="AX43" i="15" s="1"/>
  <c r="T44" i="15"/>
  <c r="AJ44" i="15" s="1"/>
  <c r="U44" i="15"/>
  <c r="AK44" i="15" s="1"/>
  <c r="V44" i="15"/>
  <c r="AL44" i="15" s="1"/>
  <c r="W44" i="15"/>
  <c r="AM44" i="15" s="1"/>
  <c r="X44" i="15"/>
  <c r="AN44" i="15" s="1"/>
  <c r="Y44" i="15"/>
  <c r="AO44" i="15" s="1"/>
  <c r="Z44" i="15"/>
  <c r="AP44" i="15" s="1"/>
  <c r="AA44" i="15"/>
  <c r="AQ44" i="15" s="1"/>
  <c r="AC44" i="15"/>
  <c r="AS44" i="15" s="1"/>
  <c r="AD44" i="15"/>
  <c r="AT44" i="15" s="1"/>
  <c r="AE44" i="15"/>
  <c r="AU44" i="15" s="1"/>
  <c r="AF44" i="15"/>
  <c r="AV44" i="15" s="1"/>
  <c r="AH44" i="15"/>
  <c r="AX44" i="15" s="1"/>
  <c r="T45" i="15"/>
  <c r="AJ45" i="15" s="1"/>
  <c r="U45" i="15"/>
  <c r="AK45" i="15" s="1"/>
  <c r="V45" i="15"/>
  <c r="AL45" i="15" s="1"/>
  <c r="W45" i="15"/>
  <c r="AM45" i="15" s="1"/>
  <c r="X45" i="15"/>
  <c r="AN45" i="15" s="1"/>
  <c r="Y45" i="15"/>
  <c r="AO45" i="15" s="1"/>
  <c r="Z45" i="15"/>
  <c r="AP45" i="15" s="1"/>
  <c r="AA45" i="15"/>
  <c r="AQ45" i="15" s="1"/>
  <c r="AC45" i="15"/>
  <c r="AS45" i="15" s="1"/>
  <c r="AD45" i="15"/>
  <c r="AT45" i="15" s="1"/>
  <c r="AE45" i="15"/>
  <c r="AU45" i="15" s="1"/>
  <c r="AF45" i="15"/>
  <c r="AV45" i="15" s="1"/>
  <c r="AH45" i="15"/>
  <c r="AX45" i="15" s="1"/>
  <c r="T46" i="15"/>
  <c r="AJ46" i="15" s="1"/>
  <c r="U46" i="15"/>
  <c r="AK46" i="15" s="1"/>
  <c r="V46" i="15"/>
  <c r="AL46" i="15" s="1"/>
  <c r="W46" i="15"/>
  <c r="AM46" i="15" s="1"/>
  <c r="X46" i="15"/>
  <c r="AN46" i="15" s="1"/>
  <c r="Y46" i="15"/>
  <c r="AO46" i="15" s="1"/>
  <c r="Z46" i="15"/>
  <c r="AP46" i="15" s="1"/>
  <c r="AA46" i="15"/>
  <c r="AQ46" i="15" s="1"/>
  <c r="AC46" i="15"/>
  <c r="AS46" i="15" s="1"/>
  <c r="AD46" i="15"/>
  <c r="AT46" i="15" s="1"/>
  <c r="AE46" i="15"/>
  <c r="AU46" i="15" s="1"/>
  <c r="AF46" i="15"/>
  <c r="AV46" i="15" s="1"/>
  <c r="AH46" i="15"/>
  <c r="AX46" i="15" s="1"/>
  <c r="T47" i="15"/>
  <c r="AJ47" i="15" s="1"/>
  <c r="U47" i="15"/>
  <c r="AK47" i="15" s="1"/>
  <c r="V47" i="15"/>
  <c r="AL47" i="15" s="1"/>
  <c r="W47" i="15"/>
  <c r="AM47" i="15" s="1"/>
  <c r="X47" i="15"/>
  <c r="AN47" i="15" s="1"/>
  <c r="Y47" i="15"/>
  <c r="AO47" i="15" s="1"/>
  <c r="Z47" i="15"/>
  <c r="AP47" i="15" s="1"/>
  <c r="AA47" i="15"/>
  <c r="AQ47" i="15" s="1"/>
  <c r="AC47" i="15"/>
  <c r="AS47" i="15" s="1"/>
  <c r="AD47" i="15"/>
  <c r="AT47" i="15" s="1"/>
  <c r="AE47" i="15"/>
  <c r="AU47" i="15" s="1"/>
  <c r="AF47" i="15"/>
  <c r="AV47" i="15" s="1"/>
  <c r="AH47" i="15"/>
  <c r="AX47" i="15" s="1"/>
  <c r="T48" i="15"/>
  <c r="AJ48" i="15" s="1"/>
  <c r="U48" i="15"/>
  <c r="AK48" i="15" s="1"/>
  <c r="V48" i="15"/>
  <c r="AL48" i="15" s="1"/>
  <c r="W48" i="15"/>
  <c r="AM48" i="15" s="1"/>
  <c r="X48" i="15"/>
  <c r="AN48" i="15" s="1"/>
  <c r="Y48" i="15"/>
  <c r="AO48" i="15" s="1"/>
  <c r="Z48" i="15"/>
  <c r="AP48" i="15" s="1"/>
  <c r="AA48" i="15"/>
  <c r="AQ48" i="15" s="1"/>
  <c r="AC48" i="15"/>
  <c r="AS48" i="15" s="1"/>
  <c r="AD48" i="15"/>
  <c r="AT48" i="15" s="1"/>
  <c r="AE48" i="15"/>
  <c r="AU48" i="15" s="1"/>
  <c r="AF48" i="15"/>
  <c r="AV48" i="15" s="1"/>
  <c r="AH48" i="15"/>
  <c r="AX48" i="15" s="1"/>
  <c r="T49" i="15"/>
  <c r="AJ49" i="15" s="1"/>
  <c r="U49" i="15"/>
  <c r="AK49" i="15" s="1"/>
  <c r="V49" i="15"/>
  <c r="AL49" i="15" s="1"/>
  <c r="W49" i="15"/>
  <c r="AM49" i="15" s="1"/>
  <c r="X49" i="15"/>
  <c r="AN49" i="15" s="1"/>
  <c r="Y49" i="15"/>
  <c r="AO49" i="15" s="1"/>
  <c r="Z49" i="15"/>
  <c r="AP49" i="15" s="1"/>
  <c r="AA49" i="15"/>
  <c r="AQ49" i="15" s="1"/>
  <c r="AC49" i="15"/>
  <c r="AS49" i="15" s="1"/>
  <c r="AD49" i="15"/>
  <c r="AT49" i="15" s="1"/>
  <c r="AE49" i="15"/>
  <c r="AU49" i="15" s="1"/>
  <c r="AF49" i="15"/>
  <c r="AV49" i="15" s="1"/>
  <c r="AH49" i="15"/>
  <c r="AX49" i="15" s="1"/>
  <c r="T50" i="15"/>
  <c r="AJ50" i="15" s="1"/>
  <c r="U50" i="15"/>
  <c r="AK50" i="15" s="1"/>
  <c r="V50" i="15"/>
  <c r="AL50" i="15" s="1"/>
  <c r="W50" i="15"/>
  <c r="AM50" i="15" s="1"/>
  <c r="X50" i="15"/>
  <c r="AN50" i="15" s="1"/>
  <c r="Y50" i="15"/>
  <c r="AO50" i="15" s="1"/>
  <c r="Z50" i="15"/>
  <c r="AP50" i="15" s="1"/>
  <c r="AA50" i="15"/>
  <c r="AQ50" i="15" s="1"/>
  <c r="AC50" i="15"/>
  <c r="AS50" i="15" s="1"/>
  <c r="AD50" i="15"/>
  <c r="AT50" i="15" s="1"/>
  <c r="AE50" i="15"/>
  <c r="AU50" i="15" s="1"/>
  <c r="AF50" i="15"/>
  <c r="AV50" i="15" s="1"/>
  <c r="AH50" i="15"/>
  <c r="AX50" i="15" s="1"/>
  <c r="T51" i="15"/>
  <c r="AJ51" i="15" s="1"/>
  <c r="U51" i="15"/>
  <c r="AK51" i="15" s="1"/>
  <c r="V51" i="15"/>
  <c r="AL51" i="15" s="1"/>
  <c r="W51" i="15"/>
  <c r="AM51" i="15" s="1"/>
  <c r="X51" i="15"/>
  <c r="AN51" i="15" s="1"/>
  <c r="Y51" i="15"/>
  <c r="AO51" i="15" s="1"/>
  <c r="Z51" i="15"/>
  <c r="AP51" i="15" s="1"/>
  <c r="AA51" i="15"/>
  <c r="AQ51" i="15" s="1"/>
  <c r="AC51" i="15"/>
  <c r="AS51" i="15" s="1"/>
  <c r="AD51" i="15"/>
  <c r="AT51" i="15" s="1"/>
  <c r="AE51" i="15"/>
  <c r="AU51" i="15" s="1"/>
  <c r="AF51" i="15"/>
  <c r="AV51" i="15" s="1"/>
  <c r="AH51" i="15"/>
  <c r="AX51" i="15" s="1"/>
  <c r="T52" i="15"/>
  <c r="AJ52" i="15" s="1"/>
  <c r="U52" i="15"/>
  <c r="AK52" i="15" s="1"/>
  <c r="V52" i="15"/>
  <c r="AL52" i="15" s="1"/>
  <c r="W52" i="15"/>
  <c r="AM52" i="15" s="1"/>
  <c r="X52" i="15"/>
  <c r="AN52" i="15" s="1"/>
  <c r="Y52" i="15"/>
  <c r="AO52" i="15" s="1"/>
  <c r="Z52" i="15"/>
  <c r="AP52" i="15" s="1"/>
  <c r="AA52" i="15"/>
  <c r="AQ52" i="15" s="1"/>
  <c r="AC52" i="15"/>
  <c r="AS52" i="15" s="1"/>
  <c r="AD52" i="15"/>
  <c r="AT52" i="15" s="1"/>
  <c r="AE52" i="15"/>
  <c r="AU52" i="15" s="1"/>
  <c r="AF52" i="15"/>
  <c r="AV52" i="15" s="1"/>
  <c r="AH52" i="15"/>
  <c r="AX52" i="15" s="1"/>
  <c r="T53" i="15"/>
  <c r="AJ53" i="15" s="1"/>
  <c r="U53" i="15"/>
  <c r="AK53" i="15" s="1"/>
  <c r="V53" i="15"/>
  <c r="AL53" i="15" s="1"/>
  <c r="W53" i="15"/>
  <c r="AM53" i="15" s="1"/>
  <c r="X53" i="15"/>
  <c r="AN53" i="15" s="1"/>
  <c r="Y53" i="15"/>
  <c r="AO53" i="15" s="1"/>
  <c r="Z53" i="15"/>
  <c r="AP53" i="15" s="1"/>
  <c r="AA53" i="15"/>
  <c r="AQ53" i="15" s="1"/>
  <c r="AC53" i="15"/>
  <c r="AS53" i="15" s="1"/>
  <c r="AD53" i="15"/>
  <c r="AT53" i="15" s="1"/>
  <c r="AE53" i="15"/>
  <c r="AU53" i="15" s="1"/>
  <c r="AF53" i="15"/>
  <c r="AV53" i="15" s="1"/>
  <c r="AH53" i="15"/>
  <c r="AX53" i="15" s="1"/>
  <c r="T54" i="15"/>
  <c r="AJ54" i="15" s="1"/>
  <c r="U54" i="15"/>
  <c r="AK54" i="15" s="1"/>
  <c r="V54" i="15"/>
  <c r="AL54" i="15" s="1"/>
  <c r="W54" i="15"/>
  <c r="AM54" i="15" s="1"/>
  <c r="X54" i="15"/>
  <c r="AN54" i="15" s="1"/>
  <c r="Y54" i="15"/>
  <c r="AO54" i="15" s="1"/>
  <c r="Z54" i="15"/>
  <c r="AP54" i="15" s="1"/>
  <c r="AA54" i="15"/>
  <c r="AQ54" i="15" s="1"/>
  <c r="AC54" i="15"/>
  <c r="AS54" i="15" s="1"/>
  <c r="AD54" i="15"/>
  <c r="AT54" i="15" s="1"/>
  <c r="AE54" i="15"/>
  <c r="AU54" i="15" s="1"/>
  <c r="AF54" i="15"/>
  <c r="AV54" i="15" s="1"/>
  <c r="AH54" i="15"/>
  <c r="AX54" i="15" s="1"/>
  <c r="T55" i="15"/>
  <c r="AJ55" i="15" s="1"/>
  <c r="U55" i="15"/>
  <c r="AK55" i="15" s="1"/>
  <c r="V55" i="15"/>
  <c r="AL55" i="15" s="1"/>
  <c r="W55" i="15"/>
  <c r="AM55" i="15" s="1"/>
  <c r="X55" i="15"/>
  <c r="AN55" i="15" s="1"/>
  <c r="Y55" i="15"/>
  <c r="AO55" i="15" s="1"/>
  <c r="Z55" i="15"/>
  <c r="AP55" i="15" s="1"/>
  <c r="AA55" i="15"/>
  <c r="AQ55" i="15" s="1"/>
  <c r="AC55" i="15"/>
  <c r="AS55" i="15" s="1"/>
  <c r="AD55" i="15"/>
  <c r="AT55" i="15" s="1"/>
  <c r="AE55" i="15"/>
  <c r="AU55" i="15" s="1"/>
  <c r="AF55" i="15"/>
  <c r="AV55" i="15" s="1"/>
  <c r="AH55" i="15"/>
  <c r="AX55" i="15" s="1"/>
  <c r="AK28" i="14" l="1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Y37" i="15"/>
  <c r="AY50" i="15"/>
  <c r="AY55" i="15"/>
  <c r="AY53" i="15"/>
  <c r="AY43" i="15"/>
  <c r="AY41" i="15"/>
  <c r="AY47" i="14"/>
  <c r="AY44" i="14"/>
  <c r="AY57" i="14"/>
  <c r="AY54" i="14"/>
  <c r="AY41" i="14"/>
  <c r="AY38" i="14"/>
  <c r="AY51" i="14"/>
  <c r="AY48" i="14"/>
  <c r="AY58" i="14"/>
  <c r="AY45" i="14"/>
  <c r="AY42" i="14"/>
  <c r="AY55" i="14"/>
  <c r="AY52" i="14"/>
  <c r="AY39" i="14"/>
  <c r="AY49" i="14"/>
  <c r="AY46" i="14"/>
  <c r="AY56" i="14"/>
  <c r="AY43" i="14"/>
  <c r="AY40" i="14"/>
  <c r="AY37" i="14"/>
  <c r="AY53" i="14"/>
  <c r="AY50" i="14"/>
  <c r="AY38" i="15"/>
  <c r="AY52" i="15"/>
  <c r="AY45" i="15"/>
  <c r="AY36" i="15"/>
  <c r="AY46" i="15"/>
  <c r="AY54" i="15"/>
  <c r="AY40" i="15"/>
  <c r="AY51" i="15"/>
  <c r="AY49" i="15"/>
  <c r="AY48" i="15"/>
  <c r="AY42" i="15"/>
  <c r="AY39" i="15"/>
  <c r="AY47" i="15"/>
  <c r="AY44" i="15"/>
  <c r="D6" i="15" l="1"/>
  <c r="E6" i="15"/>
  <c r="F6" i="15"/>
  <c r="G6" i="15"/>
  <c r="H6" i="15"/>
  <c r="I6" i="15"/>
  <c r="J6" i="15"/>
  <c r="K6" i="15"/>
  <c r="M6" i="15"/>
  <c r="N6" i="15"/>
  <c r="O6" i="15"/>
  <c r="P6" i="15"/>
  <c r="T6" i="15"/>
  <c r="U6" i="15"/>
  <c r="V6" i="15"/>
  <c r="W6" i="15"/>
  <c r="X6" i="15"/>
  <c r="Y6" i="15"/>
  <c r="Z6" i="15"/>
  <c r="AA6" i="15"/>
  <c r="AC6" i="15"/>
  <c r="AD6" i="15"/>
  <c r="AE6" i="15"/>
  <c r="AF6" i="15"/>
  <c r="AZ34" i="5"/>
  <c r="AZ35" i="5"/>
  <c r="AZ36" i="5"/>
  <c r="CH60" i="5" l="1"/>
  <c r="I96" i="9" s="1"/>
  <c r="CH56" i="5"/>
  <c r="CH48" i="5"/>
  <c r="CH32" i="5"/>
  <c r="CH14" i="5"/>
  <c r="CH29" i="5"/>
  <c r="CH64" i="5"/>
  <c r="I100" i="9" s="1"/>
  <c r="CH40" i="5"/>
  <c r="CH16" i="5"/>
  <c r="CH27" i="5"/>
  <c r="CH66" i="5"/>
  <c r="CH58" i="5"/>
  <c r="I94" i="9" s="1"/>
  <c r="CH52" i="5"/>
  <c r="CH50" i="5"/>
  <c r="CH44" i="5"/>
  <c r="CH42" i="5"/>
  <c r="CH30" i="5"/>
  <c r="CH13" i="5"/>
  <c r="CH62" i="5"/>
  <c r="I98" i="9" s="1"/>
  <c r="CH54" i="5"/>
  <c r="CH46" i="5"/>
  <c r="CH38" i="5"/>
  <c r="CH53" i="5"/>
  <c r="CH24" i="5"/>
  <c r="CH22" i="5"/>
  <c r="BP32" i="5"/>
  <c r="BP29" i="5"/>
  <c r="BQ29" i="5" s="1"/>
  <c r="BP7" i="5"/>
  <c r="BP66" i="5"/>
  <c r="BQ66" i="5" s="1"/>
  <c r="BP50" i="5"/>
  <c r="BP55" i="5"/>
  <c r="BP23" i="5"/>
  <c r="BP15" i="5"/>
  <c r="BP52" i="5"/>
  <c r="BP27" i="5"/>
  <c r="BQ27" i="5" s="1"/>
  <c r="BP25" i="5"/>
  <c r="BP16" i="5"/>
  <c r="BP36" i="5"/>
  <c r="BP21" i="5"/>
  <c r="BP10" i="5"/>
  <c r="BP31" i="5"/>
  <c r="BQ31" i="5" s="1"/>
  <c r="BP8" i="5"/>
  <c r="BP34" i="5"/>
  <c r="BP44" i="5"/>
  <c r="BP64" i="5"/>
  <c r="BP56" i="5"/>
  <c r="BQ56" i="5" s="1"/>
  <c r="BP48" i="5"/>
  <c r="BP40" i="5"/>
  <c r="BP26" i="5"/>
  <c r="BP24" i="5"/>
  <c r="BP18" i="5"/>
  <c r="BP58" i="5"/>
  <c r="BP42" i="5"/>
  <c r="BP60" i="5"/>
  <c r="BP62" i="5"/>
  <c r="BP54" i="5"/>
  <c r="BP46" i="5"/>
  <c r="BP38" i="5"/>
  <c r="CH8" i="5"/>
  <c r="CH34" i="5"/>
  <c r="CH33" i="5"/>
  <c r="CH36" i="5"/>
  <c r="CH21" i="5"/>
  <c r="BP63" i="5"/>
  <c r="BP47" i="5"/>
  <c r="BP61" i="5"/>
  <c r="CH59" i="5"/>
  <c r="I95" i="9" s="1"/>
  <c r="BP53" i="5"/>
  <c r="CH51" i="5"/>
  <c r="BP45" i="5"/>
  <c r="CH43" i="5"/>
  <c r="BP37" i="5"/>
  <c r="BP30" i="5"/>
  <c r="BP28" i="5"/>
  <c r="CH26" i="5"/>
  <c r="BP20" i="5"/>
  <c r="CH17" i="5"/>
  <c r="CH15" i="5"/>
  <c r="BP9" i="5"/>
  <c r="CH7" i="5"/>
  <c r="CH61" i="5"/>
  <c r="I97" i="9" s="1"/>
  <c r="CH45" i="5"/>
  <c r="CH35" i="5"/>
  <c r="BP33" i="5"/>
  <c r="CH28" i="5"/>
  <c r="BP12" i="5"/>
  <c r="BP65" i="5"/>
  <c r="BQ65" i="5" s="1"/>
  <c r="BP57" i="5"/>
  <c r="BQ57" i="5" s="1"/>
  <c r="CH55" i="5"/>
  <c r="BP49" i="5"/>
  <c r="CH47" i="5"/>
  <c r="BP41" i="5"/>
  <c r="CH39" i="5"/>
  <c r="BP35" i="5"/>
  <c r="BQ35" i="5" s="1"/>
  <c r="CH20" i="5"/>
  <c r="BP19" i="5"/>
  <c r="BP14" i="5"/>
  <c r="CH11" i="5"/>
  <c r="CH9" i="5"/>
  <c r="CH37" i="5"/>
  <c r="CH19" i="5"/>
  <c r="CH63" i="5"/>
  <c r="I99" i="9" s="1"/>
  <c r="CH31" i="5"/>
  <c r="BP13" i="5"/>
  <c r="CH10" i="5"/>
  <c r="BP39" i="5"/>
  <c r="BP59" i="5"/>
  <c r="CH57" i="5"/>
  <c r="BP51" i="5"/>
  <c r="CH49" i="5"/>
  <c r="BP43" i="5"/>
  <c r="CH41" i="5"/>
  <c r="CH12" i="5"/>
  <c r="BP11" i="5"/>
  <c r="CH23" i="5"/>
  <c r="BP22" i="5"/>
  <c r="CH18" i="5"/>
  <c r="CH65" i="5"/>
  <c r="CH25" i="5"/>
  <c r="BP17" i="5"/>
  <c r="BQ60" i="5" l="1"/>
  <c r="F96" i="9"/>
  <c r="BQ58" i="5"/>
  <c r="F94" i="9"/>
  <c r="BQ64" i="5"/>
  <c r="F100" i="9"/>
  <c r="BQ59" i="5"/>
  <c r="F95" i="9"/>
  <c r="BQ61" i="5"/>
  <c r="F97" i="9"/>
  <c r="BQ63" i="5"/>
  <c r="F99" i="9"/>
  <c r="BQ62" i="5"/>
  <c r="F98" i="9"/>
  <c r="B38" i="4"/>
  <c r="B37" i="4"/>
  <c r="B36" i="4"/>
  <c r="B35" i="4"/>
  <c r="B34" i="4"/>
  <c r="B2" i="35" l="1"/>
  <c r="B2" i="34"/>
  <c r="G117" i="4"/>
  <c r="J117" i="4"/>
  <c r="F117" i="4"/>
  <c r="I117" i="4"/>
  <c r="H117" i="4"/>
  <c r="D117" i="4"/>
  <c r="F155" i="4"/>
  <c r="J155" i="4"/>
  <c r="I155" i="4"/>
  <c r="G155" i="4"/>
  <c r="H155" i="4"/>
  <c r="H146" i="4"/>
  <c r="G146" i="4"/>
  <c r="J146" i="4"/>
  <c r="I146" i="4"/>
  <c r="F146" i="4"/>
  <c r="D146" i="4"/>
  <c r="D155" i="4"/>
  <c r="J81" i="4"/>
  <c r="D81" i="4"/>
  <c r="H81" i="4"/>
  <c r="I81" i="4"/>
  <c r="G81" i="4"/>
  <c r="F81" i="4"/>
  <c r="J40" i="4"/>
  <c r="G53" i="4"/>
  <c r="E25" i="2" s="1"/>
  <c r="N40" i="4"/>
  <c r="M40" i="4"/>
  <c r="L40" i="4"/>
  <c r="F136" i="4"/>
  <c r="I40" i="4"/>
  <c r="F53" i="4"/>
  <c r="G40" i="4"/>
  <c r="J53" i="4"/>
  <c r="I53" i="4"/>
  <c r="H53" i="4"/>
  <c r="H40" i="4"/>
  <c r="F40" i="4"/>
  <c r="C136" i="4"/>
  <c r="E136" i="4"/>
  <c r="K14" i="2" s="1"/>
  <c r="D136" i="4"/>
  <c r="J14" i="2" s="1"/>
  <c r="D53" i="4"/>
  <c r="J21" i="2" l="1"/>
  <c r="J34" i="2" s="1"/>
  <c r="E29" i="2"/>
  <c r="D43" i="4"/>
  <c r="H103" i="4"/>
  <c r="I103" i="4"/>
  <c r="G103" i="4"/>
  <c r="D103" i="4" s="1"/>
  <c r="J103" i="4"/>
  <c r="I14" i="2"/>
  <c r="E23" i="2"/>
  <c r="I21" i="2" l="1"/>
  <c r="I34" i="2" s="1"/>
  <c r="G108" i="4"/>
  <c r="E31" i="2" s="1"/>
  <c r="J108" i="4"/>
  <c r="H108" i="4"/>
  <c r="I108" i="4"/>
  <c r="F108" i="4"/>
  <c r="D108" i="4"/>
  <c r="C31" i="2" s="1"/>
  <c r="D102" i="4"/>
  <c r="AW66" i="30" l="1"/>
  <c r="AV66" i="30"/>
  <c r="AU66" i="30"/>
  <c r="AT66" i="30"/>
  <c r="AR66" i="30"/>
  <c r="AQ66" i="30"/>
  <c r="AP66" i="30"/>
  <c r="AO66" i="30"/>
  <c r="AN66" i="30"/>
  <c r="AM66" i="30"/>
  <c r="AL66" i="30"/>
  <c r="AK66" i="30"/>
  <c r="AW65" i="30"/>
  <c r="AV65" i="30"/>
  <c r="AU65" i="30"/>
  <c r="AT65" i="30"/>
  <c r="AR65" i="30"/>
  <c r="AQ65" i="30"/>
  <c r="AP65" i="30"/>
  <c r="AO65" i="30"/>
  <c r="AN65" i="30"/>
  <c r="AM65" i="30"/>
  <c r="AL65" i="30"/>
  <c r="AK65" i="30"/>
  <c r="AW64" i="30"/>
  <c r="AV64" i="30"/>
  <c r="AU64" i="30"/>
  <c r="AT64" i="30"/>
  <c r="AR64" i="30"/>
  <c r="AQ64" i="30"/>
  <c r="AP64" i="30"/>
  <c r="AO64" i="30"/>
  <c r="AN64" i="30"/>
  <c r="AM64" i="30"/>
  <c r="AL64" i="30"/>
  <c r="AK64" i="30"/>
  <c r="AW63" i="30"/>
  <c r="AV63" i="30"/>
  <c r="AU63" i="30"/>
  <c r="AT63" i="30"/>
  <c r="AR63" i="30"/>
  <c r="AQ63" i="30"/>
  <c r="AP63" i="30"/>
  <c r="AO63" i="30"/>
  <c r="AN63" i="30"/>
  <c r="AM63" i="30"/>
  <c r="AL63" i="30"/>
  <c r="AK63" i="30"/>
  <c r="AW62" i="30"/>
  <c r="AV62" i="30"/>
  <c r="AU62" i="30"/>
  <c r="AT62" i="30"/>
  <c r="AR62" i="30"/>
  <c r="AQ62" i="30"/>
  <c r="AP62" i="30"/>
  <c r="AO62" i="30"/>
  <c r="AN62" i="30"/>
  <c r="AM62" i="30"/>
  <c r="AL62" i="30"/>
  <c r="AK62" i="30"/>
  <c r="AW61" i="30"/>
  <c r="AV61" i="30"/>
  <c r="AU61" i="30"/>
  <c r="AT61" i="30"/>
  <c r="AR61" i="30"/>
  <c r="AQ61" i="30"/>
  <c r="AP61" i="30"/>
  <c r="AO61" i="30"/>
  <c r="AN61" i="30"/>
  <c r="AM61" i="30"/>
  <c r="AL61" i="30"/>
  <c r="AK61" i="30"/>
  <c r="AW60" i="30"/>
  <c r="AV60" i="30"/>
  <c r="AU60" i="30"/>
  <c r="AT60" i="30"/>
  <c r="AR60" i="30"/>
  <c r="AQ60" i="30"/>
  <c r="AP60" i="30"/>
  <c r="AO60" i="30"/>
  <c r="AN60" i="30"/>
  <c r="AM60" i="30"/>
  <c r="AL60" i="30"/>
  <c r="AK60" i="30"/>
  <c r="AW59" i="30"/>
  <c r="AV59" i="30"/>
  <c r="AU59" i="30"/>
  <c r="AT59" i="30"/>
  <c r="AR59" i="30"/>
  <c r="AQ59" i="30"/>
  <c r="AP59" i="30"/>
  <c r="AO59" i="30"/>
  <c r="AN59" i="30"/>
  <c r="AM59" i="30"/>
  <c r="AL59" i="30"/>
  <c r="AK59" i="30"/>
  <c r="AW58" i="30"/>
  <c r="AV58" i="30"/>
  <c r="AU58" i="30"/>
  <c r="AT58" i="30"/>
  <c r="AR58" i="30"/>
  <c r="AQ58" i="30"/>
  <c r="AP58" i="30"/>
  <c r="AO58" i="30"/>
  <c r="AN58" i="30"/>
  <c r="AM58" i="30"/>
  <c r="AL58" i="30"/>
  <c r="AK58" i="30"/>
  <c r="AW57" i="30"/>
  <c r="AV57" i="30"/>
  <c r="AU57" i="30"/>
  <c r="AT57" i="30"/>
  <c r="AR57" i="30"/>
  <c r="AQ57" i="30"/>
  <c r="AP57" i="30"/>
  <c r="AO57" i="30"/>
  <c r="AN57" i="30"/>
  <c r="AM57" i="30"/>
  <c r="AL57" i="30"/>
  <c r="AK57" i="30"/>
  <c r="AW56" i="30"/>
  <c r="AV56" i="30"/>
  <c r="AU56" i="30"/>
  <c r="AT56" i="30"/>
  <c r="AR56" i="30"/>
  <c r="AQ56" i="30"/>
  <c r="AP56" i="30"/>
  <c r="AO56" i="30"/>
  <c r="AN56" i="30"/>
  <c r="AM56" i="30"/>
  <c r="AL56" i="30"/>
  <c r="AK56" i="30"/>
  <c r="AW55" i="30"/>
  <c r="AV55" i="30"/>
  <c r="AU55" i="30"/>
  <c r="AT55" i="30"/>
  <c r="AR55" i="30"/>
  <c r="AQ55" i="30"/>
  <c r="AP55" i="30"/>
  <c r="AO55" i="30"/>
  <c r="AN55" i="30"/>
  <c r="AM55" i="30"/>
  <c r="AL55" i="30"/>
  <c r="AK55" i="30"/>
  <c r="AW54" i="30"/>
  <c r="AV54" i="30"/>
  <c r="AU54" i="30"/>
  <c r="AT54" i="30"/>
  <c r="AR54" i="30"/>
  <c r="AQ54" i="30"/>
  <c r="AP54" i="30"/>
  <c r="AO54" i="30"/>
  <c r="AN54" i="30"/>
  <c r="AM54" i="30"/>
  <c r="AL54" i="30"/>
  <c r="AK54" i="30"/>
  <c r="AW53" i="30"/>
  <c r="AV53" i="30"/>
  <c r="AU53" i="30"/>
  <c r="AT53" i="30"/>
  <c r="AR53" i="30"/>
  <c r="AQ53" i="30"/>
  <c r="AP53" i="30"/>
  <c r="AO53" i="30"/>
  <c r="AN53" i="30"/>
  <c r="AM53" i="30"/>
  <c r="AL53" i="30"/>
  <c r="AK53" i="30"/>
  <c r="AW52" i="30"/>
  <c r="AV52" i="30"/>
  <c r="AU52" i="30"/>
  <c r="AT52" i="30"/>
  <c r="AR52" i="30"/>
  <c r="AQ52" i="30"/>
  <c r="AP52" i="30"/>
  <c r="AO52" i="30"/>
  <c r="AN52" i="30"/>
  <c r="AM52" i="30"/>
  <c r="AL52" i="30"/>
  <c r="AK52" i="30"/>
  <c r="AW51" i="30"/>
  <c r="AV51" i="30"/>
  <c r="AU51" i="30"/>
  <c r="AT51" i="30"/>
  <c r="AR51" i="30"/>
  <c r="AQ51" i="30"/>
  <c r="AP51" i="30"/>
  <c r="AO51" i="30"/>
  <c r="AN51" i="30"/>
  <c r="AM51" i="30"/>
  <c r="AL51" i="30"/>
  <c r="AK51" i="30"/>
  <c r="AW50" i="30"/>
  <c r="AV50" i="30"/>
  <c r="AU50" i="30"/>
  <c r="AT50" i="30"/>
  <c r="AR50" i="30"/>
  <c r="AQ50" i="30"/>
  <c r="AP50" i="30"/>
  <c r="AO50" i="30"/>
  <c r="AN50" i="30"/>
  <c r="AM50" i="30"/>
  <c r="AL50" i="30"/>
  <c r="AK50" i="30"/>
  <c r="AW49" i="30"/>
  <c r="AV49" i="30"/>
  <c r="AU49" i="30"/>
  <c r="AT49" i="30"/>
  <c r="AR49" i="30"/>
  <c r="AQ49" i="30"/>
  <c r="AP49" i="30"/>
  <c r="AO49" i="30"/>
  <c r="AN49" i="30"/>
  <c r="AM49" i="30"/>
  <c r="AL49" i="30"/>
  <c r="AK49" i="30"/>
  <c r="AW48" i="30"/>
  <c r="AV48" i="30"/>
  <c r="AU48" i="30"/>
  <c r="AT48" i="30"/>
  <c r="AR48" i="30"/>
  <c r="AQ48" i="30"/>
  <c r="AP48" i="30"/>
  <c r="AO48" i="30"/>
  <c r="AN48" i="30"/>
  <c r="AM48" i="30"/>
  <c r="AL48" i="30"/>
  <c r="AK48" i="30"/>
  <c r="AW47" i="30"/>
  <c r="AV47" i="30"/>
  <c r="AU47" i="30"/>
  <c r="AT47" i="30"/>
  <c r="AR47" i="30"/>
  <c r="AQ47" i="30"/>
  <c r="AP47" i="30"/>
  <c r="AO47" i="30"/>
  <c r="AN47" i="30"/>
  <c r="AM47" i="30"/>
  <c r="AL47" i="30"/>
  <c r="AK47" i="30"/>
  <c r="AW46" i="30"/>
  <c r="AV46" i="30"/>
  <c r="AU46" i="30"/>
  <c r="AT46" i="30"/>
  <c r="AR46" i="30"/>
  <c r="AQ46" i="30"/>
  <c r="AP46" i="30"/>
  <c r="AO46" i="30"/>
  <c r="AN46" i="30"/>
  <c r="AM46" i="30"/>
  <c r="AL46" i="30"/>
  <c r="AK46" i="30"/>
  <c r="AW45" i="30"/>
  <c r="AV45" i="30"/>
  <c r="AU45" i="30"/>
  <c r="AT45" i="30"/>
  <c r="AR45" i="30"/>
  <c r="AQ45" i="30"/>
  <c r="AP45" i="30"/>
  <c r="AO45" i="30"/>
  <c r="AN45" i="30"/>
  <c r="AM45" i="30"/>
  <c r="AL45" i="30"/>
  <c r="AK45" i="30"/>
  <c r="AW44" i="30"/>
  <c r="AV44" i="30"/>
  <c r="AU44" i="30"/>
  <c r="AT44" i="30"/>
  <c r="AR44" i="30"/>
  <c r="AQ44" i="30"/>
  <c r="AP44" i="30"/>
  <c r="AO44" i="30"/>
  <c r="AN44" i="30"/>
  <c r="AM44" i="30"/>
  <c r="AL44" i="30"/>
  <c r="AK44" i="30"/>
  <c r="AW43" i="30"/>
  <c r="AV43" i="30"/>
  <c r="AU43" i="30"/>
  <c r="AT43" i="30"/>
  <c r="AR43" i="30"/>
  <c r="AQ43" i="30"/>
  <c r="AP43" i="30"/>
  <c r="AO43" i="30"/>
  <c r="AN43" i="30"/>
  <c r="AM43" i="30"/>
  <c r="AL43" i="30"/>
  <c r="AK43" i="30"/>
  <c r="AW42" i="30"/>
  <c r="AV42" i="30"/>
  <c r="AU42" i="30"/>
  <c r="AT42" i="30"/>
  <c r="AR42" i="30"/>
  <c r="AQ42" i="30"/>
  <c r="AP42" i="30"/>
  <c r="AO42" i="30"/>
  <c r="AN42" i="30"/>
  <c r="AM42" i="30"/>
  <c r="AL42" i="30"/>
  <c r="AK42" i="30"/>
  <c r="AW41" i="30"/>
  <c r="AV41" i="30"/>
  <c r="AU41" i="30"/>
  <c r="AT41" i="30"/>
  <c r="AR41" i="30"/>
  <c r="AQ41" i="30"/>
  <c r="AP41" i="30"/>
  <c r="AO41" i="30"/>
  <c r="AN41" i="30"/>
  <c r="AM41" i="30"/>
  <c r="AL41" i="30"/>
  <c r="AK41" i="30"/>
  <c r="AW40" i="30"/>
  <c r="AV40" i="30"/>
  <c r="AU40" i="30"/>
  <c r="AT40" i="30"/>
  <c r="AR40" i="30"/>
  <c r="AQ40" i="30"/>
  <c r="AP40" i="30"/>
  <c r="AO40" i="30"/>
  <c r="AN40" i="30"/>
  <c r="AM40" i="30"/>
  <c r="AL40" i="30"/>
  <c r="AK40" i="30"/>
  <c r="AW39" i="30"/>
  <c r="AV39" i="30"/>
  <c r="AU39" i="30"/>
  <c r="AT39" i="30"/>
  <c r="AR39" i="30"/>
  <c r="AQ39" i="30"/>
  <c r="AP39" i="30"/>
  <c r="AO39" i="30"/>
  <c r="AN39" i="30"/>
  <c r="AM39" i="30"/>
  <c r="AL39" i="30"/>
  <c r="AK39" i="30"/>
  <c r="AW38" i="30"/>
  <c r="AV38" i="30"/>
  <c r="AU38" i="30"/>
  <c r="AT38" i="30"/>
  <c r="AR38" i="30"/>
  <c r="AQ38" i="30"/>
  <c r="AP38" i="30"/>
  <c r="AO38" i="30"/>
  <c r="AN38" i="30"/>
  <c r="AM38" i="30"/>
  <c r="AL38" i="30"/>
  <c r="AK38" i="30"/>
  <c r="AW37" i="30"/>
  <c r="AV37" i="30"/>
  <c r="AU37" i="30"/>
  <c r="AT37" i="30"/>
  <c r="AR37" i="30"/>
  <c r="AQ37" i="30"/>
  <c r="AP37" i="30"/>
  <c r="AO37" i="30"/>
  <c r="AN37" i="30"/>
  <c r="AM37" i="30"/>
  <c r="AL37" i="30"/>
  <c r="AK37" i="30"/>
  <c r="AZ59" i="30" l="1" a="1"/>
  <c r="AZ59" i="30" s="1"/>
  <c r="AZ63" i="30" a="1"/>
  <c r="AZ63" i="30" s="1"/>
  <c r="AZ55" i="30" a="1"/>
  <c r="AZ55" i="30" s="1"/>
  <c r="AZ40" i="30" a="1"/>
  <c r="AZ40" i="30" s="1"/>
  <c r="AZ44" i="30" a="1"/>
  <c r="AZ44" i="30" s="1"/>
  <c r="AZ48" i="30" a="1"/>
  <c r="AZ48" i="30" s="1"/>
  <c r="AZ51" i="30" a="1"/>
  <c r="AZ51" i="30" s="1"/>
  <c r="AZ52" i="30" a="1"/>
  <c r="AZ52" i="30" s="1"/>
  <c r="AZ56" i="30" a="1"/>
  <c r="AZ56" i="30" s="1"/>
  <c r="AZ60" i="30" a="1"/>
  <c r="AZ60" i="30" s="1"/>
  <c r="AZ64" i="30" a="1"/>
  <c r="AZ64" i="30" s="1"/>
  <c r="AZ39" i="30" a="1"/>
  <c r="AZ39" i="30" s="1"/>
  <c r="AZ43" i="30" a="1"/>
  <c r="AZ43" i="30" s="1"/>
  <c r="AZ47" i="30" a="1"/>
  <c r="AZ47" i="30" s="1"/>
  <c r="AZ37" i="30" a="1"/>
  <c r="AZ37" i="30" s="1"/>
  <c r="AZ38" i="30" a="1"/>
  <c r="AZ38" i="30" s="1"/>
  <c r="AZ41" i="30" a="1"/>
  <c r="AZ41" i="30" s="1"/>
  <c r="AZ42" i="30" a="1"/>
  <c r="AZ42" i="30" s="1"/>
  <c r="AZ45" i="30" a="1"/>
  <c r="AZ45" i="30" s="1"/>
  <c r="AZ46" i="30" a="1"/>
  <c r="AZ46" i="30" s="1"/>
  <c r="AZ49" i="30" a="1"/>
  <c r="AZ49" i="30" s="1"/>
  <c r="AZ50" i="30" a="1"/>
  <c r="AZ50" i="30" s="1"/>
  <c r="AZ53" i="30" a="1"/>
  <c r="AZ53" i="30" s="1"/>
  <c r="AZ54" i="30" a="1"/>
  <c r="AZ54" i="30" s="1"/>
  <c r="AZ57" i="30" a="1"/>
  <c r="AZ57" i="30" s="1"/>
  <c r="AZ58" i="30" a="1"/>
  <c r="AZ58" i="30" s="1"/>
  <c r="AZ61" i="30" a="1"/>
  <c r="AZ61" i="30" s="1"/>
  <c r="AZ62" i="30" a="1"/>
  <c r="AZ62" i="30" s="1"/>
  <c r="AZ65" i="30" a="1"/>
  <c r="AZ65" i="30" s="1"/>
  <c r="AZ66" i="30" a="1"/>
  <c r="AZ66" i="30" s="1"/>
  <c r="O36" i="30" l="1"/>
  <c r="AV36" i="30" s="1"/>
  <c r="J36" i="30"/>
  <c r="AQ36" i="30" s="1"/>
  <c r="F36" i="30"/>
  <c r="AM36" i="30" s="1"/>
  <c r="X36" i="17" l="1"/>
  <c r="AN36" i="17" s="1"/>
  <c r="E36" i="30"/>
  <c r="AL36" i="30" s="1"/>
  <c r="I36" i="30"/>
  <c r="AP36" i="30" s="1"/>
  <c r="N36" i="30"/>
  <c r="AU36" i="30" s="1"/>
  <c r="G36" i="30"/>
  <c r="AN36" i="30" s="1"/>
  <c r="K36" i="30"/>
  <c r="AR36" i="30" s="1"/>
  <c r="P36" i="30"/>
  <c r="AW36" i="30" s="1"/>
  <c r="D36" i="30"/>
  <c r="AK36" i="30" s="1"/>
  <c r="H36" i="30"/>
  <c r="AO36" i="30" s="1"/>
  <c r="M36" i="30"/>
  <c r="AT36" i="30" s="1"/>
  <c r="AZ36" i="30" l="1" a="1"/>
  <c r="AZ36" i="30" s="1"/>
  <c r="AE36" i="17"/>
  <c r="AU36" i="17" s="1"/>
  <c r="AD36" i="17"/>
  <c r="AT36" i="17" s="1"/>
  <c r="Z36" i="17"/>
  <c r="AP36" i="17" s="1"/>
  <c r="Y36" i="17"/>
  <c r="AO36" i="17" s="1"/>
  <c r="AA36" i="17"/>
  <c r="AQ36" i="17" s="1"/>
  <c r="V36" i="17"/>
  <c r="AL36" i="17" s="1"/>
  <c r="U36" i="17"/>
  <c r="AK36" i="17" s="1"/>
  <c r="AC36" i="17"/>
  <c r="AS36" i="17" s="1"/>
  <c r="T36" i="17"/>
  <c r="AJ36" i="17" s="1"/>
  <c r="AF36" i="17"/>
  <c r="AV36" i="17" s="1"/>
  <c r="W36" i="17"/>
  <c r="AM36" i="17" s="1"/>
  <c r="AY36" i="14" l="1"/>
  <c r="AY36" i="18"/>
  <c r="AY36" i="17"/>
  <c r="AE35" i="15" l="1"/>
  <c r="AU35" i="15" s="1"/>
  <c r="AE35" i="17"/>
  <c r="AU35" i="17" s="1"/>
  <c r="V35" i="15"/>
  <c r="AL35" i="15" s="1"/>
  <c r="V35" i="17"/>
  <c r="AL35" i="17" s="1"/>
  <c r="AA34" i="15"/>
  <c r="AQ34" i="15" s="1"/>
  <c r="AA34" i="17"/>
  <c r="AQ34" i="17" s="1"/>
  <c r="AD35" i="17"/>
  <c r="AT35" i="17" s="1"/>
  <c r="AD35" i="15"/>
  <c r="AT35" i="15" s="1"/>
  <c r="U35" i="17"/>
  <c r="AK35" i="17" s="1"/>
  <c r="U35" i="15"/>
  <c r="AK35" i="15" s="1"/>
  <c r="AH35" i="15"/>
  <c r="AX35" i="15" s="1"/>
  <c r="X35" i="17"/>
  <c r="AN35" i="17" s="1"/>
  <c r="X35" i="15"/>
  <c r="AN35" i="15" s="1"/>
  <c r="AD34" i="17"/>
  <c r="AT34" i="17" s="1"/>
  <c r="AD34" i="15"/>
  <c r="AT34" i="15" s="1"/>
  <c r="U34" i="17"/>
  <c r="AK34" i="17" s="1"/>
  <c r="U34" i="15"/>
  <c r="AK34" i="15" s="1"/>
  <c r="AA35" i="15"/>
  <c r="AQ35" i="15" s="1"/>
  <c r="AA35" i="17"/>
  <c r="AQ35" i="17" s="1"/>
  <c r="AH34" i="15"/>
  <c r="AX34" i="15" s="1"/>
  <c r="X34" i="15"/>
  <c r="AN34" i="15" s="1"/>
  <c r="X34" i="17"/>
  <c r="AN34" i="17" s="1"/>
  <c r="Z34" i="15"/>
  <c r="AP34" i="15" s="1"/>
  <c r="Z34" i="17"/>
  <c r="AP34" i="17" s="1"/>
  <c r="Z35" i="15"/>
  <c r="AP35" i="15" s="1"/>
  <c r="Z35" i="17"/>
  <c r="AP35" i="17" s="1"/>
  <c r="AF34" i="15"/>
  <c r="AV34" i="15" s="1"/>
  <c r="AF34" i="17"/>
  <c r="AV34" i="17" s="1"/>
  <c r="W34" i="15"/>
  <c r="AM34" i="15" s="1"/>
  <c r="W34" i="17"/>
  <c r="AM34" i="17" s="1"/>
  <c r="Y35" i="17"/>
  <c r="AO35" i="17" s="1"/>
  <c r="Y35" i="15"/>
  <c r="AO35" i="15" s="1"/>
  <c r="AC35" i="17"/>
  <c r="AS35" i="17" s="1"/>
  <c r="AC35" i="15"/>
  <c r="AS35" i="15" s="1"/>
  <c r="T35" i="17"/>
  <c r="AJ35" i="17" s="1"/>
  <c r="T35" i="15"/>
  <c r="AJ35" i="15" s="1"/>
  <c r="Y34" i="17"/>
  <c r="AO34" i="17" s="1"/>
  <c r="Y34" i="15"/>
  <c r="AO34" i="15" s="1"/>
  <c r="AF35" i="15"/>
  <c r="AV35" i="15" s="1"/>
  <c r="AF35" i="17"/>
  <c r="AV35" i="17" s="1"/>
  <c r="W35" i="15"/>
  <c r="AM35" i="15" s="1"/>
  <c r="W35" i="17"/>
  <c r="AM35" i="17" s="1"/>
  <c r="AC34" i="15"/>
  <c r="AS34" i="15" s="1"/>
  <c r="AC34" i="17"/>
  <c r="AS34" i="17" s="1"/>
  <c r="T34" i="15"/>
  <c r="AJ34" i="15" s="1"/>
  <c r="T34" i="17"/>
  <c r="AJ34" i="17" s="1"/>
  <c r="AE34" i="15"/>
  <c r="AU34" i="15" s="1"/>
  <c r="AE34" i="17"/>
  <c r="AU34" i="17" s="1"/>
  <c r="V34" i="15"/>
  <c r="AL34" i="15" s="1"/>
  <c r="V34" i="17"/>
  <c r="AL34" i="17" s="1"/>
  <c r="AY35" i="18" l="1"/>
  <c r="AY34" i="17"/>
  <c r="AY35" i="14"/>
  <c r="AY34" i="18"/>
  <c r="AY34" i="14"/>
  <c r="AY35" i="17"/>
  <c r="P35" i="30" l="1"/>
  <c r="AW35" i="30" s="1"/>
  <c r="O35" i="30"/>
  <c r="AV35" i="30" s="1"/>
  <c r="N35" i="30"/>
  <c r="AU35" i="30" s="1"/>
  <c r="M35" i="30"/>
  <c r="AT35" i="30" s="1"/>
  <c r="K35" i="30"/>
  <c r="AR35" i="30" s="1"/>
  <c r="J35" i="30"/>
  <c r="AQ35" i="30" s="1"/>
  <c r="I35" i="30"/>
  <c r="AP35" i="30" s="1"/>
  <c r="H35" i="30"/>
  <c r="AO35" i="30" s="1"/>
  <c r="G35" i="30"/>
  <c r="AN35" i="30" s="1"/>
  <c r="F35" i="30"/>
  <c r="AM35" i="30" s="1"/>
  <c r="E35" i="30"/>
  <c r="AL35" i="30" s="1"/>
  <c r="D35" i="30"/>
  <c r="AK35" i="30" s="1"/>
  <c r="P34" i="30"/>
  <c r="AW34" i="30" s="1"/>
  <c r="O34" i="30"/>
  <c r="AV34" i="30" s="1"/>
  <c r="N34" i="30"/>
  <c r="AU34" i="30" s="1"/>
  <c r="M34" i="30"/>
  <c r="AT34" i="30" s="1"/>
  <c r="K34" i="30"/>
  <c r="AR34" i="30" s="1"/>
  <c r="J34" i="30"/>
  <c r="AQ34" i="30" s="1"/>
  <c r="I34" i="30"/>
  <c r="AP34" i="30" s="1"/>
  <c r="H34" i="30"/>
  <c r="AO34" i="30" s="1"/>
  <c r="G34" i="30"/>
  <c r="AN34" i="30" s="1"/>
  <c r="F34" i="30"/>
  <c r="AM34" i="30" s="1"/>
  <c r="E34" i="30"/>
  <c r="AL34" i="30" s="1"/>
  <c r="D34" i="30"/>
  <c r="AK34" i="30" s="1"/>
  <c r="AZ35" i="30" l="1" a="1"/>
  <c r="AZ35" i="30" s="1"/>
  <c r="AZ34" i="30" a="1"/>
  <c r="AZ34" i="30" s="1"/>
  <c r="B124" i="4" l="1"/>
  <c r="B123" i="4"/>
  <c r="B122" i="4"/>
  <c r="B121" i="4"/>
  <c r="B120" i="4"/>
  <c r="H136" i="4" l="1"/>
  <c r="N136" i="4"/>
  <c r="I136" i="4"/>
  <c r="J136" i="4"/>
  <c r="G136" i="4"/>
  <c r="M136" i="4"/>
  <c r="L136" i="4"/>
  <c r="J126" i="4"/>
  <c r="I126" i="4"/>
  <c r="H126" i="4"/>
  <c r="G126" i="4"/>
  <c r="F126" i="4"/>
  <c r="D124" i="4"/>
  <c r="D123" i="4"/>
  <c r="D122" i="4"/>
  <c r="D120" i="4"/>
  <c r="D121" i="4"/>
  <c r="D126" i="4" l="1"/>
  <c r="F41" i="9"/>
  <c r="P33" i="30" l="1"/>
  <c r="AW33" i="30" s="1"/>
  <c r="N33" i="30"/>
  <c r="AU33" i="30" s="1"/>
  <c r="K33" i="30"/>
  <c r="AR33" i="30" s="1"/>
  <c r="I33" i="30"/>
  <c r="AP33" i="30" s="1"/>
  <c r="G33" i="30"/>
  <c r="AN33" i="30" s="1"/>
  <c r="O32" i="30"/>
  <c r="AV32" i="30" s="1"/>
  <c r="M32" i="30"/>
  <c r="AT32" i="30" s="1"/>
  <c r="J32" i="30"/>
  <c r="AQ32" i="30" s="1"/>
  <c r="H32" i="30"/>
  <c r="AO32" i="30" s="1"/>
  <c r="F32" i="30"/>
  <c r="AM32" i="30" s="1"/>
  <c r="D32" i="30"/>
  <c r="AK32" i="30" s="1"/>
  <c r="P31" i="30"/>
  <c r="AW31" i="30" s="1"/>
  <c r="N31" i="30"/>
  <c r="AU31" i="30" s="1"/>
  <c r="K31" i="30"/>
  <c r="AR31" i="30" s="1"/>
  <c r="I31" i="30"/>
  <c r="AP31" i="30" s="1"/>
  <c r="G31" i="30"/>
  <c r="AN31" i="30" s="1"/>
  <c r="E31" i="30"/>
  <c r="AL31" i="30" s="1"/>
  <c r="O30" i="30"/>
  <c r="AV30" i="30" s="1"/>
  <c r="M30" i="30"/>
  <c r="AT30" i="30" s="1"/>
  <c r="J30" i="30"/>
  <c r="AQ30" i="30" s="1"/>
  <c r="H30" i="30"/>
  <c r="AO30" i="30" s="1"/>
  <c r="F30" i="30"/>
  <c r="AM30" i="30" s="1"/>
  <c r="D30" i="30"/>
  <c r="AK30" i="30" s="1"/>
  <c r="P29" i="30"/>
  <c r="AW29" i="30" s="1"/>
  <c r="N29" i="30"/>
  <c r="AU29" i="30" s="1"/>
  <c r="K29" i="30"/>
  <c r="AR29" i="30" s="1"/>
  <c r="I29" i="30"/>
  <c r="AP29" i="30" s="1"/>
  <c r="G29" i="30"/>
  <c r="AN29" i="30" s="1"/>
  <c r="E29" i="30"/>
  <c r="AL29" i="30" s="1"/>
  <c r="O28" i="30"/>
  <c r="AV28" i="30" s="1"/>
  <c r="M28" i="30"/>
  <c r="AT28" i="30" s="1"/>
  <c r="J28" i="30"/>
  <c r="AQ28" i="30" s="1"/>
  <c r="H28" i="30"/>
  <c r="AO28" i="30" s="1"/>
  <c r="F28" i="30"/>
  <c r="AM28" i="30" s="1"/>
  <c r="D28" i="30"/>
  <c r="AK28" i="30" s="1"/>
  <c r="P27" i="30"/>
  <c r="AW27" i="30" s="1"/>
  <c r="N27" i="30"/>
  <c r="AU27" i="30" s="1"/>
  <c r="K27" i="30"/>
  <c r="AR27" i="30" s="1"/>
  <c r="I27" i="30"/>
  <c r="AP27" i="30" s="1"/>
  <c r="G27" i="30"/>
  <c r="AN27" i="30" s="1"/>
  <c r="E27" i="30"/>
  <c r="AL27" i="30" s="1"/>
  <c r="O26" i="30"/>
  <c r="AV26" i="30" s="1"/>
  <c r="M26" i="30"/>
  <c r="AT26" i="30" s="1"/>
  <c r="J26" i="30"/>
  <c r="AQ26" i="30" s="1"/>
  <c r="H26" i="30"/>
  <c r="AO26" i="30" s="1"/>
  <c r="F26" i="30"/>
  <c r="AM26" i="30" s="1"/>
  <c r="D26" i="30"/>
  <c r="AK26" i="30" s="1"/>
  <c r="P25" i="30"/>
  <c r="AW25" i="30" s="1"/>
  <c r="N25" i="30"/>
  <c r="AU25" i="30" s="1"/>
  <c r="K25" i="30"/>
  <c r="AR25" i="30" s="1"/>
  <c r="I25" i="30"/>
  <c r="AP25" i="30" s="1"/>
  <c r="H25" i="30"/>
  <c r="AO25" i="30" s="1"/>
  <c r="G25" i="30"/>
  <c r="AN25" i="30" s="1"/>
  <c r="E25" i="30"/>
  <c r="AL25" i="30" s="1"/>
  <c r="D25" i="30"/>
  <c r="AK25" i="30" s="1"/>
  <c r="O24" i="30"/>
  <c r="AV24" i="30" s="1"/>
  <c r="N24" i="30"/>
  <c r="AU24" i="30" s="1"/>
  <c r="M24" i="30"/>
  <c r="AT24" i="30" s="1"/>
  <c r="K24" i="30"/>
  <c r="AR24" i="30" s="1"/>
  <c r="J24" i="30"/>
  <c r="AQ24" i="30" s="1"/>
  <c r="I24" i="30"/>
  <c r="AP24" i="30" s="1"/>
  <c r="H24" i="30"/>
  <c r="AO24" i="30" s="1"/>
  <c r="F24" i="30"/>
  <c r="AM24" i="30" s="1"/>
  <c r="E24" i="30"/>
  <c r="AL24" i="30" s="1"/>
  <c r="D24" i="30"/>
  <c r="AK24" i="30" s="1"/>
  <c r="P23" i="30"/>
  <c r="AW23" i="30" s="1"/>
  <c r="O23" i="30"/>
  <c r="AV23" i="30" s="1"/>
  <c r="N23" i="30"/>
  <c r="AU23" i="30" s="1"/>
  <c r="K23" i="30"/>
  <c r="AR23" i="30" s="1"/>
  <c r="J23" i="30"/>
  <c r="AQ23" i="30" s="1"/>
  <c r="I23" i="30"/>
  <c r="AP23" i="30" s="1"/>
  <c r="H23" i="30"/>
  <c r="AO23" i="30" s="1"/>
  <c r="G23" i="30"/>
  <c r="AN23" i="30" s="1"/>
  <c r="F23" i="30"/>
  <c r="AM23" i="30" s="1"/>
  <c r="E23" i="30"/>
  <c r="AL23" i="30" s="1"/>
  <c r="P22" i="30"/>
  <c r="AW22" i="30" s="1"/>
  <c r="O22" i="30"/>
  <c r="AV22" i="30" s="1"/>
  <c r="M22" i="30"/>
  <c r="AT22" i="30" s="1"/>
  <c r="K22" i="30"/>
  <c r="AR22" i="30" s="1"/>
  <c r="J22" i="30"/>
  <c r="AQ22" i="30" s="1"/>
  <c r="H22" i="30"/>
  <c r="AO22" i="30" s="1"/>
  <c r="G22" i="30"/>
  <c r="AN22" i="30" s="1"/>
  <c r="F22" i="30"/>
  <c r="AM22" i="30" s="1"/>
  <c r="E22" i="30"/>
  <c r="AL22" i="30" s="1"/>
  <c r="D22" i="30"/>
  <c r="AK22" i="30" s="1"/>
  <c r="P21" i="30"/>
  <c r="AW21" i="30" s="1"/>
  <c r="N21" i="30"/>
  <c r="AU21" i="30" s="1"/>
  <c r="M21" i="30"/>
  <c r="AT21" i="30" s="1"/>
  <c r="K21" i="30"/>
  <c r="AR21" i="30" s="1"/>
  <c r="I21" i="30"/>
  <c r="AP21" i="30" s="1"/>
  <c r="H21" i="30"/>
  <c r="AO21" i="30" s="1"/>
  <c r="G21" i="30"/>
  <c r="AN21" i="30" s="1"/>
  <c r="E21" i="30"/>
  <c r="AL21" i="30" s="1"/>
  <c r="D21" i="30"/>
  <c r="AK21" i="30" s="1"/>
  <c r="P20" i="30"/>
  <c r="AW20" i="30" s="1"/>
  <c r="O20" i="30"/>
  <c r="AV20" i="30" s="1"/>
  <c r="N20" i="30"/>
  <c r="AU20" i="30" s="1"/>
  <c r="M20" i="30"/>
  <c r="AT20" i="30" s="1"/>
  <c r="J20" i="30"/>
  <c r="AQ20" i="30" s="1"/>
  <c r="I20" i="30"/>
  <c r="AP20" i="30" s="1"/>
  <c r="H20" i="30"/>
  <c r="AO20" i="30" s="1"/>
  <c r="F20" i="30"/>
  <c r="AM20" i="30" s="1"/>
  <c r="E20" i="30"/>
  <c r="AL20" i="30" s="1"/>
  <c r="D20" i="30"/>
  <c r="AK20" i="30" s="1"/>
  <c r="P19" i="30"/>
  <c r="AW19" i="30" s="1"/>
  <c r="O19" i="30"/>
  <c r="AV19" i="30" s="1"/>
  <c r="N19" i="30"/>
  <c r="AU19" i="30" s="1"/>
  <c r="M19" i="30"/>
  <c r="AT19" i="30" s="1"/>
  <c r="K19" i="30"/>
  <c r="AR19" i="30" s="1"/>
  <c r="J19" i="30"/>
  <c r="AQ19" i="30" s="1"/>
  <c r="I19" i="30"/>
  <c r="AP19" i="30" s="1"/>
  <c r="G19" i="30"/>
  <c r="AN19" i="30" s="1"/>
  <c r="F19" i="30"/>
  <c r="AM19" i="30" s="1"/>
  <c r="E19" i="30"/>
  <c r="AL19" i="30" s="1"/>
  <c r="P18" i="30"/>
  <c r="AW18" i="30" s="1"/>
  <c r="O18" i="30"/>
  <c r="AV18" i="30" s="1"/>
  <c r="M18" i="30"/>
  <c r="AT18" i="30" s="1"/>
  <c r="K18" i="30"/>
  <c r="AR18" i="30" s="1"/>
  <c r="J18" i="30"/>
  <c r="AQ18" i="30" s="1"/>
  <c r="I18" i="30"/>
  <c r="AP18" i="30" s="1"/>
  <c r="H18" i="30"/>
  <c r="AO18" i="30" s="1"/>
  <c r="G18" i="30"/>
  <c r="AN18" i="30" s="1"/>
  <c r="F18" i="30"/>
  <c r="AM18" i="30" s="1"/>
  <c r="D18" i="30"/>
  <c r="AK18" i="30" s="1"/>
  <c r="P17" i="30"/>
  <c r="AW17" i="30" s="1"/>
  <c r="N17" i="30"/>
  <c r="M17" i="30"/>
  <c r="AT17" i="30" s="1"/>
  <c r="K17" i="30"/>
  <c r="AR17" i="30" s="1"/>
  <c r="I17" i="30"/>
  <c r="AP17" i="30" s="1"/>
  <c r="H17" i="30"/>
  <c r="AO17" i="30" s="1"/>
  <c r="G17" i="30"/>
  <c r="F17" i="30"/>
  <c r="D17" i="30"/>
  <c r="AK17" i="30" s="1"/>
  <c r="O16" i="30"/>
  <c r="N16" i="30"/>
  <c r="M16" i="30"/>
  <c r="AT16" i="30" s="1"/>
  <c r="J16" i="30"/>
  <c r="AQ16" i="30" s="1"/>
  <c r="I16" i="30"/>
  <c r="AP16" i="30" s="1"/>
  <c r="H16" i="30"/>
  <c r="AO16" i="30" s="1"/>
  <c r="F16" i="30"/>
  <c r="E16" i="30"/>
  <c r="AL16" i="30" s="1"/>
  <c r="D16" i="30"/>
  <c r="AK16" i="30" s="1"/>
  <c r="P15" i="30"/>
  <c r="AW15" i="30" s="1"/>
  <c r="O15" i="30"/>
  <c r="N15" i="30"/>
  <c r="K15" i="30"/>
  <c r="AR15" i="30" s="1"/>
  <c r="J15" i="30"/>
  <c r="AQ15" i="30" s="1"/>
  <c r="I15" i="30"/>
  <c r="AP15" i="30" s="1"/>
  <c r="G15" i="30"/>
  <c r="F15" i="30"/>
  <c r="E15" i="30"/>
  <c r="AL15" i="30" s="1"/>
  <c r="P14" i="30"/>
  <c r="AW14" i="30" s="1"/>
  <c r="O14" i="30"/>
  <c r="AV14" i="30" s="1"/>
  <c r="N14" i="30"/>
  <c r="AU14" i="30" s="1"/>
  <c r="M14" i="30"/>
  <c r="AT14" i="30" s="1"/>
  <c r="K14" i="30"/>
  <c r="AR14" i="30" s="1"/>
  <c r="J14" i="30"/>
  <c r="AQ14" i="30" s="1"/>
  <c r="H14" i="30"/>
  <c r="AO14" i="30" s="1"/>
  <c r="G14" i="30"/>
  <c r="F14" i="30"/>
  <c r="D14" i="30"/>
  <c r="AK14" i="30" s="1"/>
  <c r="P13" i="30"/>
  <c r="N13" i="30"/>
  <c r="AU13" i="30" s="1"/>
  <c r="M13" i="30"/>
  <c r="AT13" i="30" s="1"/>
  <c r="K13" i="30"/>
  <c r="AR13" i="30" s="1"/>
  <c r="J13" i="30"/>
  <c r="AQ13" i="30" s="1"/>
  <c r="I13" i="30"/>
  <c r="AP13" i="30" s="1"/>
  <c r="H13" i="30"/>
  <c r="AO13" i="30" s="1"/>
  <c r="G13" i="30"/>
  <c r="AN13" i="30" s="1"/>
  <c r="E13" i="30"/>
  <c r="D13" i="30"/>
  <c r="AK13" i="30" s="1"/>
  <c r="O12" i="30"/>
  <c r="AV12" i="30" s="1"/>
  <c r="N12" i="30"/>
  <c r="AU12" i="30" s="1"/>
  <c r="M12" i="30"/>
  <c r="AT12" i="30" s="1"/>
  <c r="J12" i="30"/>
  <c r="AQ12" i="30" s="1"/>
  <c r="I12" i="30"/>
  <c r="AP12" i="30" s="1"/>
  <c r="H12" i="30"/>
  <c r="AO12" i="30" s="1"/>
  <c r="G12" i="30"/>
  <c r="F12" i="30"/>
  <c r="E12" i="30"/>
  <c r="AL12" i="30" s="1"/>
  <c r="D12" i="30"/>
  <c r="AK12" i="30" s="1"/>
  <c r="P11" i="30"/>
  <c r="AW11" i="30" s="1"/>
  <c r="O11" i="30"/>
  <c r="AV11" i="30" s="1"/>
  <c r="N11" i="30"/>
  <c r="AU11" i="30" s="1"/>
  <c r="K11" i="30"/>
  <c r="AR11" i="30" s="1"/>
  <c r="I11" i="30"/>
  <c r="AP11" i="30" s="1"/>
  <c r="H11" i="30"/>
  <c r="AO11" i="30" s="1"/>
  <c r="G11" i="30"/>
  <c r="AN11" i="30" s="1"/>
  <c r="F11" i="30"/>
  <c r="AM11" i="30" s="1"/>
  <c r="E11" i="30"/>
  <c r="O10" i="30"/>
  <c r="AV10" i="30" s="1"/>
  <c r="N10" i="30"/>
  <c r="AU10" i="30" s="1"/>
  <c r="M10" i="30"/>
  <c r="AT10" i="30" s="1"/>
  <c r="K10" i="30"/>
  <c r="AR10" i="30" s="1"/>
  <c r="J10" i="30"/>
  <c r="AQ10" i="30" s="1"/>
  <c r="H10" i="30"/>
  <c r="AO10" i="30" s="1"/>
  <c r="F10" i="30"/>
  <c r="AM10" i="30" s="1"/>
  <c r="E10" i="30"/>
  <c r="AL10" i="30" s="1"/>
  <c r="D10" i="30"/>
  <c r="AK10" i="30" s="1"/>
  <c r="P9" i="30"/>
  <c r="N9" i="30"/>
  <c r="AU9" i="30" s="1"/>
  <c r="K9" i="30"/>
  <c r="AR9" i="30" s="1"/>
  <c r="J9" i="30"/>
  <c r="AQ9" i="30" s="1"/>
  <c r="I9" i="30"/>
  <c r="AP9" i="30" s="1"/>
  <c r="H9" i="30"/>
  <c r="AO9" i="30" s="1"/>
  <c r="G9" i="30"/>
  <c r="AN9" i="30" s="1"/>
  <c r="E9" i="30"/>
  <c r="P8" i="30"/>
  <c r="AW8" i="30" s="1"/>
  <c r="O8" i="30"/>
  <c r="AV8" i="30" s="1"/>
  <c r="N8" i="30"/>
  <c r="AU8" i="30" s="1"/>
  <c r="M8" i="30"/>
  <c r="AT8" i="30" s="1"/>
  <c r="J8" i="30"/>
  <c r="AQ8" i="30" s="1"/>
  <c r="H8" i="30"/>
  <c r="AO8" i="30" s="1"/>
  <c r="G8" i="30"/>
  <c r="F8" i="30"/>
  <c r="E8" i="30"/>
  <c r="AL8" i="30" s="1"/>
  <c r="D8" i="30"/>
  <c r="AK8" i="30" s="1"/>
  <c r="P7" i="30"/>
  <c r="AW7" i="30" s="1"/>
  <c r="N7" i="30"/>
  <c r="AU7" i="30" s="1"/>
  <c r="M7" i="30"/>
  <c r="AT7" i="30" s="1"/>
  <c r="K7" i="30"/>
  <c r="AR7" i="30" s="1"/>
  <c r="J7" i="30"/>
  <c r="AQ7" i="30" s="1"/>
  <c r="I7" i="30"/>
  <c r="AP7" i="30" s="1"/>
  <c r="G7" i="30"/>
  <c r="AN7" i="30" s="1"/>
  <c r="E7" i="30"/>
  <c r="AK7" i="30"/>
  <c r="AN14" i="30" l="1"/>
  <c r="AW9" i="30"/>
  <c r="AM14" i="30"/>
  <c r="AV15" i="30"/>
  <c r="AM16" i="30"/>
  <c r="AM17" i="30"/>
  <c r="AU16" i="30"/>
  <c r="AN8" i="30"/>
  <c r="AL11" i="30"/>
  <c r="AL13" i="30"/>
  <c r="AW13" i="30"/>
  <c r="AM15" i="30"/>
  <c r="AV16" i="30"/>
  <c r="AU17" i="30"/>
  <c r="AM8" i="30"/>
  <c r="AL9" i="30"/>
  <c r="AN17" i="30"/>
  <c r="AL7" i="30"/>
  <c r="AN15" i="30"/>
  <c r="AU15" i="30"/>
  <c r="AM12" i="30"/>
  <c r="AN12" i="30"/>
  <c r="E33" i="30"/>
  <c r="AL33" i="30" s="1"/>
  <c r="E17" i="30"/>
  <c r="AL17" i="30" s="1"/>
  <c r="T67" i="13"/>
  <c r="X67" i="13"/>
  <c r="AC67" i="13"/>
  <c r="U67" i="13"/>
  <c r="Y67" i="13"/>
  <c r="V67" i="13"/>
  <c r="Z67" i="13"/>
  <c r="W67" i="13"/>
  <c r="AA67" i="13"/>
  <c r="F7" i="30"/>
  <c r="AM7" i="30" s="1"/>
  <c r="O7" i="30"/>
  <c r="AV7" i="30" s="1"/>
  <c r="I8" i="30"/>
  <c r="AP8" i="30" s="1"/>
  <c r="D9" i="30"/>
  <c r="AK9" i="30" s="1"/>
  <c r="M9" i="30"/>
  <c r="AT9" i="30" s="1"/>
  <c r="G10" i="30"/>
  <c r="P10" i="30"/>
  <c r="AW10" i="30" s="1"/>
  <c r="J11" i="30"/>
  <c r="AQ11" i="30" s="1"/>
  <c r="K12" i="30"/>
  <c r="AR12" i="30" s="1"/>
  <c r="O13" i="30"/>
  <c r="AV13" i="30" s="1"/>
  <c r="D15" i="30"/>
  <c r="AK15" i="30" s="1"/>
  <c r="G16" i="30"/>
  <c r="J17" i="30"/>
  <c r="AQ17" i="30" s="1"/>
  <c r="N18" i="30"/>
  <c r="AU18" i="30" s="1"/>
  <c r="F21" i="30"/>
  <c r="AM21" i="30" s="1"/>
  <c r="I22" i="30"/>
  <c r="AP22" i="30" s="1"/>
  <c r="M23" i="30"/>
  <c r="AT23" i="30" s="1"/>
  <c r="P24" i="30"/>
  <c r="AW24" i="30" s="1"/>
  <c r="E26" i="30"/>
  <c r="AL26" i="30" s="1"/>
  <c r="H27" i="30"/>
  <c r="AO27" i="30" s="1"/>
  <c r="K28" i="30"/>
  <c r="AR28" i="30" s="1"/>
  <c r="O29" i="30"/>
  <c r="AV29" i="30" s="1"/>
  <c r="D31" i="30"/>
  <c r="AK31" i="30" s="1"/>
  <c r="G32" i="30"/>
  <c r="AN32" i="30" s="1"/>
  <c r="J33" i="30"/>
  <c r="AQ33" i="30" s="1"/>
  <c r="H7" i="30"/>
  <c r="AO7" i="30" s="1"/>
  <c r="K8" i="30"/>
  <c r="AR8" i="30" s="1"/>
  <c r="F9" i="30"/>
  <c r="AM9" i="30" s="1"/>
  <c r="O9" i="30"/>
  <c r="AV9" i="30" s="1"/>
  <c r="I10" i="30"/>
  <c r="AP10" i="30" s="1"/>
  <c r="D11" i="30"/>
  <c r="AK11" i="30" s="1"/>
  <c r="M11" i="30"/>
  <c r="AT11" i="30" s="1"/>
  <c r="P12" i="30"/>
  <c r="AW12" i="30" s="1"/>
  <c r="E14" i="30"/>
  <c r="AL14" i="30" s="1"/>
  <c r="H15" i="30"/>
  <c r="AO15" i="30" s="1"/>
  <c r="K16" i="30"/>
  <c r="AR16" i="30" s="1"/>
  <c r="O17" i="30"/>
  <c r="D19" i="30"/>
  <c r="AK19" i="30" s="1"/>
  <c r="G20" i="30"/>
  <c r="AN20" i="30" s="1"/>
  <c r="J21" i="30"/>
  <c r="AQ21" i="30" s="1"/>
  <c r="N22" i="30"/>
  <c r="AU22" i="30" s="1"/>
  <c r="F25" i="30"/>
  <c r="AM25" i="30" s="1"/>
  <c r="I26" i="30"/>
  <c r="AP26" i="30" s="1"/>
  <c r="M27" i="30"/>
  <c r="AT27" i="30" s="1"/>
  <c r="P28" i="30"/>
  <c r="AW28" i="30" s="1"/>
  <c r="E30" i="30"/>
  <c r="AL30" i="30" s="1"/>
  <c r="H31" i="30"/>
  <c r="AO31" i="30" s="1"/>
  <c r="K32" i="30"/>
  <c r="AR32" i="30" s="1"/>
  <c r="O33" i="30"/>
  <c r="AV33" i="30" s="1"/>
  <c r="F13" i="30"/>
  <c r="AM13" i="30" s="1"/>
  <c r="I14" i="30"/>
  <c r="AP14" i="30" s="1"/>
  <c r="M15" i="30"/>
  <c r="AT15" i="30" s="1"/>
  <c r="P16" i="30"/>
  <c r="AW16" i="30" s="1"/>
  <c r="E18" i="30"/>
  <c r="AL18" i="30" s="1"/>
  <c r="H19" i="30"/>
  <c r="AO19" i="30" s="1"/>
  <c r="K20" i="30"/>
  <c r="AR20" i="30" s="1"/>
  <c r="O21" i="30"/>
  <c r="AV21" i="30" s="1"/>
  <c r="D23" i="30"/>
  <c r="AK23" i="30" s="1"/>
  <c r="G24" i="30"/>
  <c r="AN24" i="30" s="1"/>
  <c r="J25" i="30"/>
  <c r="AQ25" i="30" s="1"/>
  <c r="N26" i="30"/>
  <c r="AU26" i="30" s="1"/>
  <c r="F29" i="30"/>
  <c r="AM29" i="30" s="1"/>
  <c r="I30" i="30"/>
  <c r="AP30" i="30" s="1"/>
  <c r="M31" i="30"/>
  <c r="AT31" i="30" s="1"/>
  <c r="P32" i="30"/>
  <c r="AW32" i="30" s="1"/>
  <c r="M25" i="30"/>
  <c r="AT25" i="30" s="1"/>
  <c r="G26" i="30"/>
  <c r="AN26" i="30" s="1"/>
  <c r="K26" i="30"/>
  <c r="AR26" i="30" s="1"/>
  <c r="P26" i="30"/>
  <c r="AW26" i="30" s="1"/>
  <c r="F27" i="30"/>
  <c r="AM27" i="30" s="1"/>
  <c r="J27" i="30"/>
  <c r="AQ27" i="30" s="1"/>
  <c r="O27" i="30"/>
  <c r="AV27" i="30" s="1"/>
  <c r="E28" i="30"/>
  <c r="AL28" i="30" s="1"/>
  <c r="I28" i="30"/>
  <c r="AP28" i="30" s="1"/>
  <c r="N28" i="30"/>
  <c r="AU28" i="30" s="1"/>
  <c r="D29" i="30"/>
  <c r="AK29" i="30" s="1"/>
  <c r="H29" i="30"/>
  <c r="AO29" i="30" s="1"/>
  <c r="M29" i="30"/>
  <c r="AT29" i="30" s="1"/>
  <c r="G30" i="30"/>
  <c r="AN30" i="30" s="1"/>
  <c r="K30" i="30"/>
  <c r="AR30" i="30" s="1"/>
  <c r="P30" i="30"/>
  <c r="AW30" i="30" s="1"/>
  <c r="F31" i="30"/>
  <c r="AM31" i="30" s="1"/>
  <c r="J31" i="30"/>
  <c r="AQ31" i="30" s="1"/>
  <c r="O31" i="30"/>
  <c r="AV31" i="30" s="1"/>
  <c r="E32" i="30"/>
  <c r="AL32" i="30" s="1"/>
  <c r="I32" i="30"/>
  <c r="AP32" i="30" s="1"/>
  <c r="N32" i="30"/>
  <c r="AU32" i="30" s="1"/>
  <c r="D33" i="30"/>
  <c r="AK33" i="30" s="1"/>
  <c r="H33" i="30"/>
  <c r="AO33" i="30" s="1"/>
  <c r="M33" i="30"/>
  <c r="AT33" i="30" s="1"/>
  <c r="O25" i="30"/>
  <c r="AV25" i="30" s="1"/>
  <c r="D27" i="30"/>
  <c r="AK27" i="30" s="1"/>
  <c r="G28" i="30"/>
  <c r="AN28" i="30" s="1"/>
  <c r="J29" i="30"/>
  <c r="AQ29" i="30" s="1"/>
  <c r="N30" i="30"/>
  <c r="AU30" i="30" s="1"/>
  <c r="F33" i="30"/>
  <c r="AM33" i="30" s="1"/>
  <c r="AN16" i="30" l="1"/>
  <c r="AZ16" i="30" s="1" a="1"/>
  <c r="AZ16" i="30" s="1"/>
  <c r="AV17" i="30"/>
  <c r="AZ17" i="30" s="1" a="1"/>
  <c r="AZ17" i="30" s="1"/>
  <c r="AN10" i="30"/>
  <c r="AZ10" i="30" s="1" a="1"/>
  <c r="AZ10" i="30" s="1"/>
  <c r="AC68" i="13"/>
  <c r="AZ24" i="30" a="1"/>
  <c r="AZ24" i="30" s="1"/>
  <c r="AZ13" i="30" a="1"/>
  <c r="AZ13" i="30" s="1"/>
  <c r="AZ14" i="30" a="1"/>
  <c r="AZ14" i="30" s="1"/>
  <c r="AZ27" i="30" a="1"/>
  <c r="AZ27" i="30" s="1"/>
  <c r="AZ23" i="30" a="1"/>
  <c r="AZ23" i="30" s="1"/>
  <c r="AZ30" i="30" a="1"/>
  <c r="AZ30" i="30" s="1"/>
  <c r="AZ25" i="30" a="1"/>
  <c r="AZ25" i="30" s="1"/>
  <c r="AZ20" i="30" a="1"/>
  <c r="AZ20" i="30" s="1"/>
  <c r="AZ22" i="30" a="1"/>
  <c r="AZ22" i="30" s="1"/>
  <c r="AZ12" i="30" a="1"/>
  <c r="AZ12" i="30" s="1"/>
  <c r="AZ7" i="30" a="1"/>
  <c r="AZ7" i="30" s="1"/>
  <c r="AZ32" i="30" a="1"/>
  <c r="AZ32" i="30" s="1"/>
  <c r="AZ26" i="30" a="1"/>
  <c r="AZ26" i="30" s="1"/>
  <c r="AZ21" i="30" a="1"/>
  <c r="AZ21" i="30" s="1"/>
  <c r="AZ28" i="30" a="1"/>
  <c r="AZ28" i="30" s="1"/>
  <c r="AZ8" i="30" a="1"/>
  <c r="AZ8" i="30" s="1"/>
  <c r="AZ11" i="30" a="1"/>
  <c r="AZ11" i="30" s="1"/>
  <c r="AZ19" i="30" a="1"/>
  <c r="AZ19" i="30" s="1"/>
  <c r="AZ31" i="30" a="1"/>
  <c r="AZ31" i="30" s="1"/>
  <c r="AZ9" i="30" a="1"/>
  <c r="AZ9" i="30" s="1"/>
  <c r="AZ33" i="30" a="1"/>
  <c r="AZ33" i="30" s="1"/>
  <c r="AZ15" i="30" a="1"/>
  <c r="AZ15" i="30" s="1"/>
  <c r="AZ29" i="30" a="1"/>
  <c r="AZ29" i="30" s="1"/>
  <c r="AZ18" i="30" a="1"/>
  <c r="AZ18" i="30" s="1"/>
  <c r="B70" i="4"/>
  <c r="B69" i="4"/>
  <c r="B68" i="4"/>
  <c r="B67" i="4"/>
  <c r="B66" i="4"/>
  <c r="D69" i="4"/>
  <c r="B97" i="4"/>
  <c r="B96" i="4"/>
  <c r="B95" i="4"/>
  <c r="B94" i="4"/>
  <c r="B93" i="4"/>
  <c r="H99" i="4" l="1"/>
  <c r="F99" i="4"/>
  <c r="G99" i="4"/>
  <c r="I99" i="4"/>
  <c r="G72" i="4"/>
  <c r="H72" i="4"/>
  <c r="I72" i="4"/>
  <c r="J72" i="4"/>
  <c r="F72" i="4"/>
  <c r="D66" i="4"/>
  <c r="D68" i="4"/>
  <c r="D70" i="4"/>
  <c r="D72" i="4" s="1"/>
  <c r="D67" i="4"/>
  <c r="E35" i="2" l="1"/>
  <c r="AY64" i="13"/>
  <c r="AY59" i="13"/>
  <c r="AY56" i="13"/>
  <c r="I93" i="9"/>
  <c r="I91" i="9"/>
  <c r="I89" i="9"/>
  <c r="I87" i="9"/>
  <c r="I85" i="9"/>
  <c r="I83" i="9"/>
  <c r="C30" i="9" s="1"/>
  <c r="I81" i="9"/>
  <c r="C28" i="9" s="1"/>
  <c r="I79" i="9"/>
  <c r="C26" i="9" s="1"/>
  <c r="I77" i="9"/>
  <c r="I75" i="9"/>
  <c r="I73" i="9"/>
  <c r="I72" i="9"/>
  <c r="AY62" i="18" l="1"/>
  <c r="AY65" i="17"/>
  <c r="AY54" i="18"/>
  <c r="AY58" i="18"/>
  <c r="AY66" i="18"/>
  <c r="AY56" i="17"/>
  <c r="AY59" i="17"/>
  <c r="AY64" i="17"/>
  <c r="AY60" i="17"/>
  <c r="AY63" i="17"/>
  <c r="AY65" i="14"/>
  <c r="AY61" i="14"/>
  <c r="AY61" i="15"/>
  <c r="AY65" i="15"/>
  <c r="AY57" i="15"/>
  <c r="AY41" i="18"/>
  <c r="AY45" i="18"/>
  <c r="AY50" i="18"/>
  <c r="AY49" i="18"/>
  <c r="AY48" i="17"/>
  <c r="AY40" i="17"/>
  <c r="AY44" i="17"/>
  <c r="AY52" i="17"/>
  <c r="AY55" i="17"/>
  <c r="AY60" i="13"/>
  <c r="AY63" i="13"/>
  <c r="AY44" i="13"/>
  <c r="AY52" i="13"/>
  <c r="AY55" i="13"/>
  <c r="AY40" i="13"/>
  <c r="AY48" i="13"/>
  <c r="AY51" i="13"/>
  <c r="AY59" i="15"/>
  <c r="AY63" i="15"/>
  <c r="I74" i="9"/>
  <c r="I76" i="9"/>
  <c r="I78" i="9"/>
  <c r="I80" i="9"/>
  <c r="C27" i="9" s="1"/>
  <c r="I82" i="9"/>
  <c r="C29" i="9" s="1"/>
  <c r="I84" i="9"/>
  <c r="C31" i="9" s="1"/>
  <c r="I86" i="9"/>
  <c r="C33" i="9" s="1"/>
  <c r="I88" i="9"/>
  <c r="I90" i="9"/>
  <c r="I92" i="9"/>
  <c r="AY42" i="13"/>
  <c r="AY46" i="13"/>
  <c r="AY49" i="13"/>
  <c r="AY50" i="13"/>
  <c r="AY53" i="13"/>
  <c r="AY54" i="13"/>
  <c r="AY57" i="13"/>
  <c r="AY58" i="13"/>
  <c r="AY61" i="13"/>
  <c r="AY62" i="13"/>
  <c r="AY65" i="13"/>
  <c r="AY66" i="13"/>
  <c r="AY59" i="14"/>
  <c r="AY63" i="14"/>
  <c r="AY42" i="17"/>
  <c r="AY46" i="17"/>
  <c r="AY50" i="17"/>
  <c r="AY54" i="17"/>
  <c r="AY57" i="17"/>
  <c r="AY58" i="17"/>
  <c r="AY61" i="17"/>
  <c r="AY62" i="17"/>
  <c r="AY66" i="17"/>
  <c r="AY43" i="18"/>
  <c r="AY47" i="18"/>
  <c r="AY51" i="18"/>
  <c r="AY55" i="18"/>
  <c r="AY59" i="18"/>
  <c r="AY63" i="18"/>
  <c r="AY56" i="15"/>
  <c r="AY60" i="15"/>
  <c r="AY64" i="15"/>
  <c r="F73" i="9"/>
  <c r="F75" i="9"/>
  <c r="F77" i="9"/>
  <c r="F79" i="9"/>
  <c r="D26" i="9" s="1"/>
  <c r="F81" i="9"/>
  <c r="D28" i="9" s="1"/>
  <c r="F83" i="9"/>
  <c r="D30" i="9" s="1"/>
  <c r="F85" i="9"/>
  <c r="D32" i="9" s="1"/>
  <c r="C18" i="41" s="1"/>
  <c r="F18" i="41" s="1"/>
  <c r="F87" i="9"/>
  <c r="D34" i="9" s="1"/>
  <c r="C20" i="41" s="1"/>
  <c r="F20" i="41" s="1"/>
  <c r="F89" i="9"/>
  <c r="F91" i="9"/>
  <c r="F93" i="9"/>
  <c r="AY43" i="13"/>
  <c r="AY47" i="13"/>
  <c r="AY60" i="14"/>
  <c r="AY64" i="14"/>
  <c r="AY39" i="17"/>
  <c r="AY43" i="17"/>
  <c r="AY47" i="17"/>
  <c r="AY51" i="17"/>
  <c r="AY40" i="18"/>
  <c r="AY44" i="18"/>
  <c r="AY48" i="18"/>
  <c r="AY52" i="18"/>
  <c r="AY56" i="18"/>
  <c r="AY60" i="18"/>
  <c r="AY64" i="18"/>
  <c r="AY53" i="18"/>
  <c r="AY57" i="18"/>
  <c r="AY61" i="18"/>
  <c r="AY65" i="18"/>
  <c r="AY58" i="15"/>
  <c r="AY62" i="15"/>
  <c r="AY66" i="15"/>
  <c r="F76" i="9"/>
  <c r="F78" i="9"/>
  <c r="F80" i="9"/>
  <c r="D27" i="9" s="1"/>
  <c r="C13" i="41" s="1"/>
  <c r="F13" i="41" s="1"/>
  <c r="F82" i="9"/>
  <c r="D29" i="9" s="1"/>
  <c r="C15" i="41" s="1"/>
  <c r="F15" i="41" s="1"/>
  <c r="F84" i="9"/>
  <c r="D31" i="9" s="1"/>
  <c r="C17" i="41" s="1"/>
  <c r="F17" i="41" s="1"/>
  <c r="F86" i="9"/>
  <c r="D33" i="9" s="1"/>
  <c r="F88" i="9"/>
  <c r="F90" i="9"/>
  <c r="F92" i="9"/>
  <c r="AY41" i="13"/>
  <c r="AY45" i="13"/>
  <c r="AY62" i="14"/>
  <c r="AY66" i="14"/>
  <c r="AY41" i="17"/>
  <c r="AY45" i="17"/>
  <c r="AY49" i="17"/>
  <c r="AY53" i="17"/>
  <c r="AY42" i="18"/>
  <c r="AY46" i="18"/>
  <c r="AY37" i="18"/>
  <c r="AY38" i="13"/>
  <c r="I71" i="9"/>
  <c r="I70" i="9"/>
  <c r="F71" i="9"/>
  <c r="AY37" i="13"/>
  <c r="AY38" i="18"/>
  <c r="AY39" i="18"/>
  <c r="AY35" i="15"/>
  <c r="F70" i="9"/>
  <c r="F72" i="9"/>
  <c r="F74" i="9"/>
  <c r="I51" i="9"/>
  <c r="I55" i="9"/>
  <c r="I45" i="9"/>
  <c r="I49" i="9"/>
  <c r="I53" i="9"/>
  <c r="I61" i="9"/>
  <c r="I47" i="9"/>
  <c r="I59" i="9"/>
  <c r="AY34" i="15"/>
  <c r="AY36" i="13"/>
  <c r="AY37" i="17"/>
  <c r="I65" i="9"/>
  <c r="I69" i="9"/>
  <c r="AY38" i="17"/>
  <c r="AY34" i="13"/>
  <c r="I63" i="9"/>
  <c r="AY35" i="13"/>
  <c r="AY39" i="13"/>
  <c r="I44" i="9"/>
  <c r="I48" i="9"/>
  <c r="I52" i="9"/>
  <c r="I56" i="9"/>
  <c r="I60" i="9"/>
  <c r="I64" i="9"/>
  <c r="I68" i="9"/>
  <c r="I57" i="9"/>
  <c r="I46" i="9"/>
  <c r="I50" i="9"/>
  <c r="I54" i="9"/>
  <c r="I58" i="9"/>
  <c r="I62" i="9"/>
  <c r="I66" i="9"/>
  <c r="I67" i="9"/>
  <c r="AJ7" i="17"/>
  <c r="AF33" i="17"/>
  <c r="AV33" i="17" s="1"/>
  <c r="AE33" i="17"/>
  <c r="AU33" i="17" s="1"/>
  <c r="AD33" i="17"/>
  <c r="AT33" i="17" s="1"/>
  <c r="AC33" i="17"/>
  <c r="AS33" i="17" s="1"/>
  <c r="AA33" i="17"/>
  <c r="AQ33" i="17" s="1"/>
  <c r="Z33" i="17"/>
  <c r="AP33" i="17" s="1"/>
  <c r="Y33" i="17"/>
  <c r="AO33" i="17" s="1"/>
  <c r="X33" i="17"/>
  <c r="AN33" i="17" s="1"/>
  <c r="W33" i="17"/>
  <c r="AM33" i="17" s="1"/>
  <c r="V33" i="17"/>
  <c r="AL33" i="17" s="1"/>
  <c r="U33" i="17"/>
  <c r="AK33" i="17" s="1"/>
  <c r="T33" i="17"/>
  <c r="AJ33" i="17" s="1"/>
  <c r="AF32" i="17"/>
  <c r="AV32" i="17" s="1"/>
  <c r="AE32" i="17"/>
  <c r="AU32" i="17" s="1"/>
  <c r="AD32" i="17"/>
  <c r="AT32" i="17" s="1"/>
  <c r="AC32" i="17"/>
  <c r="AS32" i="17" s="1"/>
  <c r="AA32" i="17"/>
  <c r="AQ32" i="17" s="1"/>
  <c r="Z32" i="17"/>
  <c r="AP32" i="17" s="1"/>
  <c r="Y32" i="17"/>
  <c r="AO32" i="17" s="1"/>
  <c r="X32" i="17"/>
  <c r="AN32" i="17" s="1"/>
  <c r="W32" i="17"/>
  <c r="AM32" i="17" s="1"/>
  <c r="V32" i="17"/>
  <c r="AL32" i="17" s="1"/>
  <c r="U32" i="17"/>
  <c r="AK32" i="17" s="1"/>
  <c r="T32" i="17"/>
  <c r="AJ32" i="17" s="1"/>
  <c r="AF31" i="17"/>
  <c r="AV31" i="17" s="1"/>
  <c r="AE31" i="17"/>
  <c r="AU31" i="17" s="1"/>
  <c r="AD31" i="17"/>
  <c r="AT31" i="17" s="1"/>
  <c r="AC31" i="17"/>
  <c r="AS31" i="17" s="1"/>
  <c r="AA31" i="17"/>
  <c r="AQ31" i="17" s="1"/>
  <c r="Z31" i="17"/>
  <c r="AP31" i="17" s="1"/>
  <c r="Y31" i="17"/>
  <c r="AO31" i="17" s="1"/>
  <c r="X31" i="17"/>
  <c r="AN31" i="17" s="1"/>
  <c r="W31" i="17"/>
  <c r="AM31" i="17" s="1"/>
  <c r="V31" i="17"/>
  <c r="AL31" i="17" s="1"/>
  <c r="U31" i="17"/>
  <c r="AK31" i="17" s="1"/>
  <c r="T31" i="17"/>
  <c r="AJ31" i="17" s="1"/>
  <c r="AF30" i="17"/>
  <c r="AV30" i="17" s="1"/>
  <c r="AE30" i="17"/>
  <c r="AU30" i="17" s="1"/>
  <c r="AD30" i="17"/>
  <c r="AT30" i="17" s="1"/>
  <c r="AC30" i="17"/>
  <c r="AS30" i="17" s="1"/>
  <c r="AA30" i="17"/>
  <c r="AQ30" i="17" s="1"/>
  <c r="Z30" i="17"/>
  <c r="AP30" i="17" s="1"/>
  <c r="Y30" i="17"/>
  <c r="AO30" i="17" s="1"/>
  <c r="X30" i="17"/>
  <c r="AN30" i="17" s="1"/>
  <c r="W30" i="17"/>
  <c r="AM30" i="17" s="1"/>
  <c r="V30" i="17"/>
  <c r="AL30" i="17" s="1"/>
  <c r="U30" i="17"/>
  <c r="AK30" i="17" s="1"/>
  <c r="T30" i="17"/>
  <c r="AJ30" i="17" s="1"/>
  <c r="AF29" i="17"/>
  <c r="AV29" i="17" s="1"/>
  <c r="AE29" i="17"/>
  <c r="AU29" i="17" s="1"/>
  <c r="AD29" i="17"/>
  <c r="AT29" i="17" s="1"/>
  <c r="AC29" i="17"/>
  <c r="AS29" i="17" s="1"/>
  <c r="AA29" i="17"/>
  <c r="AQ29" i="17" s="1"/>
  <c r="Z29" i="17"/>
  <c r="AP29" i="17" s="1"/>
  <c r="Y29" i="17"/>
  <c r="AO29" i="17" s="1"/>
  <c r="X29" i="17"/>
  <c r="AN29" i="17" s="1"/>
  <c r="W29" i="17"/>
  <c r="AM29" i="17" s="1"/>
  <c r="V29" i="17"/>
  <c r="AL29" i="17" s="1"/>
  <c r="U29" i="17"/>
  <c r="AK29" i="17" s="1"/>
  <c r="T29" i="17"/>
  <c r="AJ29" i="17" s="1"/>
  <c r="AF28" i="17"/>
  <c r="AV28" i="17" s="1"/>
  <c r="AE28" i="17"/>
  <c r="AU28" i="17" s="1"/>
  <c r="AD28" i="17"/>
  <c r="AT28" i="17" s="1"/>
  <c r="AC28" i="17"/>
  <c r="AS28" i="17" s="1"/>
  <c r="AA28" i="17"/>
  <c r="AQ28" i="17" s="1"/>
  <c r="Z28" i="17"/>
  <c r="AP28" i="17" s="1"/>
  <c r="Y28" i="17"/>
  <c r="AO28" i="17" s="1"/>
  <c r="X28" i="17"/>
  <c r="AN28" i="17" s="1"/>
  <c r="W28" i="17"/>
  <c r="AM28" i="17" s="1"/>
  <c r="V28" i="17"/>
  <c r="AL28" i="17" s="1"/>
  <c r="U28" i="17"/>
  <c r="AK28" i="17" s="1"/>
  <c r="T28" i="17"/>
  <c r="AJ28" i="17" s="1"/>
  <c r="AF27" i="17"/>
  <c r="AV27" i="17" s="1"/>
  <c r="AE27" i="17"/>
  <c r="AU27" i="17" s="1"/>
  <c r="AD27" i="17"/>
  <c r="AT27" i="17" s="1"/>
  <c r="AC27" i="17"/>
  <c r="AS27" i="17" s="1"/>
  <c r="AA27" i="17"/>
  <c r="AQ27" i="17" s="1"/>
  <c r="Z27" i="17"/>
  <c r="AP27" i="17" s="1"/>
  <c r="Y27" i="17"/>
  <c r="AO27" i="17" s="1"/>
  <c r="X27" i="17"/>
  <c r="AN27" i="17" s="1"/>
  <c r="W27" i="17"/>
  <c r="AM27" i="17" s="1"/>
  <c r="V27" i="17"/>
  <c r="AL27" i="17" s="1"/>
  <c r="U27" i="17"/>
  <c r="AK27" i="17" s="1"/>
  <c r="T27" i="17"/>
  <c r="AJ27" i="17" s="1"/>
  <c r="AF26" i="17"/>
  <c r="AV26" i="17" s="1"/>
  <c r="AE26" i="17"/>
  <c r="AU26" i="17" s="1"/>
  <c r="AD26" i="17"/>
  <c r="AT26" i="17" s="1"/>
  <c r="AC26" i="17"/>
  <c r="AS26" i="17" s="1"/>
  <c r="AA26" i="17"/>
  <c r="AQ26" i="17" s="1"/>
  <c r="Z26" i="17"/>
  <c r="AP26" i="17" s="1"/>
  <c r="Y26" i="17"/>
  <c r="AO26" i="17" s="1"/>
  <c r="X26" i="17"/>
  <c r="AN26" i="17" s="1"/>
  <c r="W26" i="17"/>
  <c r="AM26" i="17" s="1"/>
  <c r="V26" i="17"/>
  <c r="AL26" i="17" s="1"/>
  <c r="U26" i="17"/>
  <c r="AK26" i="17" s="1"/>
  <c r="T26" i="17"/>
  <c r="AJ26" i="17" s="1"/>
  <c r="AF25" i="17"/>
  <c r="AV25" i="17" s="1"/>
  <c r="AE25" i="17"/>
  <c r="AU25" i="17" s="1"/>
  <c r="AD25" i="17"/>
  <c r="AT25" i="17" s="1"/>
  <c r="AC25" i="17"/>
  <c r="AS25" i="17" s="1"/>
  <c r="AA25" i="17"/>
  <c r="AQ25" i="17" s="1"/>
  <c r="Z25" i="17"/>
  <c r="AP25" i="17" s="1"/>
  <c r="Y25" i="17"/>
  <c r="AO25" i="17" s="1"/>
  <c r="X25" i="17"/>
  <c r="AN25" i="17" s="1"/>
  <c r="W25" i="17"/>
  <c r="AM25" i="17" s="1"/>
  <c r="V25" i="17"/>
  <c r="AL25" i="17" s="1"/>
  <c r="U25" i="17"/>
  <c r="AK25" i="17" s="1"/>
  <c r="T25" i="17"/>
  <c r="AJ25" i="17" s="1"/>
  <c r="AF24" i="17"/>
  <c r="AV24" i="17" s="1"/>
  <c r="AE24" i="17"/>
  <c r="AU24" i="17" s="1"/>
  <c r="AD24" i="17"/>
  <c r="AT24" i="17" s="1"/>
  <c r="AC24" i="17"/>
  <c r="AS24" i="17" s="1"/>
  <c r="AA24" i="17"/>
  <c r="AQ24" i="17" s="1"/>
  <c r="Z24" i="17"/>
  <c r="AP24" i="17" s="1"/>
  <c r="Y24" i="17"/>
  <c r="AO24" i="17" s="1"/>
  <c r="X24" i="17"/>
  <c r="AN24" i="17" s="1"/>
  <c r="W24" i="17"/>
  <c r="AM24" i="17" s="1"/>
  <c r="V24" i="17"/>
  <c r="AL24" i="17" s="1"/>
  <c r="U24" i="17"/>
  <c r="AK24" i="17" s="1"/>
  <c r="T24" i="17"/>
  <c r="AJ24" i="17" s="1"/>
  <c r="AF23" i="17"/>
  <c r="AV23" i="17" s="1"/>
  <c r="AE23" i="17"/>
  <c r="AU23" i="17" s="1"/>
  <c r="AD23" i="17"/>
  <c r="AT23" i="17" s="1"/>
  <c r="AC23" i="17"/>
  <c r="AS23" i="17" s="1"/>
  <c r="AA23" i="17"/>
  <c r="AQ23" i="17" s="1"/>
  <c r="Z23" i="17"/>
  <c r="AP23" i="17" s="1"/>
  <c r="Y23" i="17"/>
  <c r="AO23" i="17" s="1"/>
  <c r="X23" i="17"/>
  <c r="AN23" i="17" s="1"/>
  <c r="W23" i="17"/>
  <c r="AM23" i="17" s="1"/>
  <c r="V23" i="17"/>
  <c r="AL23" i="17" s="1"/>
  <c r="U23" i="17"/>
  <c r="AK23" i="17" s="1"/>
  <c r="T23" i="17"/>
  <c r="AJ23" i="17" s="1"/>
  <c r="AF22" i="17"/>
  <c r="AV22" i="17" s="1"/>
  <c r="AE22" i="17"/>
  <c r="AU22" i="17" s="1"/>
  <c r="AD22" i="17"/>
  <c r="AT22" i="17" s="1"/>
  <c r="AC22" i="17"/>
  <c r="AS22" i="17" s="1"/>
  <c r="AA22" i="17"/>
  <c r="AQ22" i="17" s="1"/>
  <c r="Z22" i="17"/>
  <c r="AP22" i="17" s="1"/>
  <c r="Y22" i="17"/>
  <c r="AO22" i="17" s="1"/>
  <c r="X22" i="17"/>
  <c r="AN22" i="17" s="1"/>
  <c r="W22" i="17"/>
  <c r="AM22" i="17" s="1"/>
  <c r="V22" i="17"/>
  <c r="AL22" i="17" s="1"/>
  <c r="U22" i="17"/>
  <c r="AK22" i="17" s="1"/>
  <c r="T22" i="17"/>
  <c r="AJ22" i="17" s="1"/>
  <c r="AF21" i="17"/>
  <c r="AV21" i="17" s="1"/>
  <c r="AE21" i="17"/>
  <c r="AU21" i="17" s="1"/>
  <c r="AD21" i="17"/>
  <c r="AT21" i="17" s="1"/>
  <c r="AC21" i="17"/>
  <c r="AS21" i="17" s="1"/>
  <c r="AA21" i="17"/>
  <c r="AQ21" i="17" s="1"/>
  <c r="Z21" i="17"/>
  <c r="AP21" i="17" s="1"/>
  <c r="Y21" i="17"/>
  <c r="AO21" i="17" s="1"/>
  <c r="X21" i="17"/>
  <c r="AN21" i="17" s="1"/>
  <c r="W21" i="17"/>
  <c r="AM21" i="17" s="1"/>
  <c r="V21" i="17"/>
  <c r="AL21" i="17" s="1"/>
  <c r="U21" i="17"/>
  <c r="AK21" i="17" s="1"/>
  <c r="T21" i="17"/>
  <c r="AJ21" i="17" s="1"/>
  <c r="AF20" i="17"/>
  <c r="AV20" i="17" s="1"/>
  <c r="AE20" i="17"/>
  <c r="AU20" i="17" s="1"/>
  <c r="AD20" i="17"/>
  <c r="AT20" i="17" s="1"/>
  <c r="AC20" i="17"/>
  <c r="AS20" i="17" s="1"/>
  <c r="AA20" i="17"/>
  <c r="AQ20" i="17" s="1"/>
  <c r="Z20" i="17"/>
  <c r="AP20" i="17" s="1"/>
  <c r="Y20" i="17"/>
  <c r="AO20" i="17" s="1"/>
  <c r="X20" i="17"/>
  <c r="AN20" i="17" s="1"/>
  <c r="W20" i="17"/>
  <c r="AM20" i="17" s="1"/>
  <c r="V20" i="17"/>
  <c r="AL20" i="17" s="1"/>
  <c r="U20" i="17"/>
  <c r="AK20" i="17" s="1"/>
  <c r="T20" i="17"/>
  <c r="AJ20" i="17" s="1"/>
  <c r="AF19" i="17"/>
  <c r="AV19" i="17" s="1"/>
  <c r="AE19" i="17"/>
  <c r="AU19" i="17" s="1"/>
  <c r="AD19" i="17"/>
  <c r="AT19" i="17" s="1"/>
  <c r="AC19" i="17"/>
  <c r="AS19" i="17" s="1"/>
  <c r="AA19" i="17"/>
  <c r="AQ19" i="17" s="1"/>
  <c r="Z19" i="17"/>
  <c r="AP19" i="17" s="1"/>
  <c r="Y19" i="17"/>
  <c r="AO19" i="17" s="1"/>
  <c r="X19" i="17"/>
  <c r="AN19" i="17" s="1"/>
  <c r="W19" i="17"/>
  <c r="AM19" i="17" s="1"/>
  <c r="V19" i="17"/>
  <c r="AL19" i="17" s="1"/>
  <c r="U19" i="17"/>
  <c r="AK19" i="17" s="1"/>
  <c r="T19" i="17"/>
  <c r="AJ19" i="17" s="1"/>
  <c r="AF18" i="17"/>
  <c r="AV18" i="17" s="1"/>
  <c r="AE18" i="17"/>
  <c r="AU18" i="17" s="1"/>
  <c r="AD18" i="17"/>
  <c r="AT18" i="17" s="1"/>
  <c r="AC18" i="17"/>
  <c r="AS18" i="17" s="1"/>
  <c r="AA18" i="17"/>
  <c r="AQ18" i="17" s="1"/>
  <c r="Z18" i="17"/>
  <c r="AP18" i="17" s="1"/>
  <c r="Y18" i="17"/>
  <c r="AO18" i="17" s="1"/>
  <c r="X18" i="17"/>
  <c r="AN18" i="17" s="1"/>
  <c r="W18" i="17"/>
  <c r="AM18" i="17" s="1"/>
  <c r="V18" i="17"/>
  <c r="AL18" i="17" s="1"/>
  <c r="U18" i="17"/>
  <c r="AK18" i="17" s="1"/>
  <c r="T18" i="17"/>
  <c r="AJ18" i="17" s="1"/>
  <c r="AF17" i="17"/>
  <c r="AV17" i="17" s="1"/>
  <c r="AE17" i="17"/>
  <c r="AU17" i="17" s="1"/>
  <c r="AD17" i="17"/>
  <c r="AT17" i="17" s="1"/>
  <c r="AC17" i="17"/>
  <c r="AS17" i="17" s="1"/>
  <c r="AA17" i="17"/>
  <c r="AQ17" i="17" s="1"/>
  <c r="Z17" i="17"/>
  <c r="AP17" i="17" s="1"/>
  <c r="Y17" i="17"/>
  <c r="AO17" i="17" s="1"/>
  <c r="X17" i="17"/>
  <c r="AN17" i="17" s="1"/>
  <c r="W17" i="17"/>
  <c r="AM17" i="17" s="1"/>
  <c r="V17" i="17"/>
  <c r="AL17" i="17" s="1"/>
  <c r="U17" i="17"/>
  <c r="AJ17" i="17"/>
  <c r="AF16" i="17"/>
  <c r="AV16" i="17" s="1"/>
  <c r="AE16" i="17"/>
  <c r="AU16" i="17" s="1"/>
  <c r="AD16" i="17"/>
  <c r="AT16" i="17" s="1"/>
  <c r="AC16" i="17"/>
  <c r="AS16" i="17" s="1"/>
  <c r="AA16" i="17"/>
  <c r="AQ16" i="17" s="1"/>
  <c r="Z16" i="17"/>
  <c r="AP16" i="17" s="1"/>
  <c r="Y16" i="17"/>
  <c r="AO16" i="17" s="1"/>
  <c r="X16" i="17"/>
  <c r="AN16" i="17" s="1"/>
  <c r="W16" i="17"/>
  <c r="AM16" i="17" s="1"/>
  <c r="V16" i="17"/>
  <c r="AL16" i="17" s="1"/>
  <c r="U16" i="17"/>
  <c r="AJ16" i="17"/>
  <c r="AF15" i="17"/>
  <c r="AV15" i="17" s="1"/>
  <c r="AE15" i="17"/>
  <c r="AU15" i="17" s="1"/>
  <c r="AD15" i="17"/>
  <c r="AT15" i="17" s="1"/>
  <c r="AC15" i="17"/>
  <c r="AS15" i="17" s="1"/>
  <c r="AA15" i="17"/>
  <c r="AQ15" i="17" s="1"/>
  <c r="Z15" i="17"/>
  <c r="AP15" i="17" s="1"/>
  <c r="Y15" i="17"/>
  <c r="AO15" i="17" s="1"/>
  <c r="X15" i="17"/>
  <c r="AN15" i="17" s="1"/>
  <c r="W15" i="17"/>
  <c r="AM15" i="17" s="1"/>
  <c r="V15" i="17"/>
  <c r="AL15" i="17" s="1"/>
  <c r="U15" i="17"/>
  <c r="AJ15" i="17"/>
  <c r="AF14" i="17"/>
  <c r="AV14" i="17" s="1"/>
  <c r="AE14" i="17"/>
  <c r="AU14" i="17" s="1"/>
  <c r="AD14" i="17"/>
  <c r="AT14" i="17" s="1"/>
  <c r="AC14" i="17"/>
  <c r="AS14" i="17" s="1"/>
  <c r="AA14" i="17"/>
  <c r="AQ14" i="17" s="1"/>
  <c r="Z14" i="17"/>
  <c r="AP14" i="17" s="1"/>
  <c r="Y14" i="17"/>
  <c r="AO14" i="17" s="1"/>
  <c r="X14" i="17"/>
  <c r="AN14" i="17" s="1"/>
  <c r="W14" i="17"/>
  <c r="AM14" i="17" s="1"/>
  <c r="V14" i="17"/>
  <c r="AL14" i="17" s="1"/>
  <c r="U14" i="17"/>
  <c r="AJ14" i="17"/>
  <c r="AF13" i="17"/>
  <c r="AV13" i="17" s="1"/>
  <c r="AE13" i="17"/>
  <c r="AU13" i="17" s="1"/>
  <c r="AD13" i="17"/>
  <c r="AT13" i="17" s="1"/>
  <c r="AC13" i="17"/>
  <c r="AS13" i="17" s="1"/>
  <c r="AA13" i="17"/>
  <c r="AQ13" i="17" s="1"/>
  <c r="Z13" i="17"/>
  <c r="AP13" i="17" s="1"/>
  <c r="Y13" i="17"/>
  <c r="AO13" i="17" s="1"/>
  <c r="X13" i="17"/>
  <c r="AN13" i="17" s="1"/>
  <c r="W13" i="17"/>
  <c r="AM13" i="17" s="1"/>
  <c r="V13" i="17"/>
  <c r="AL13" i="17" s="1"/>
  <c r="U13" i="17"/>
  <c r="AJ13" i="17"/>
  <c r="AF12" i="17"/>
  <c r="AV12" i="17" s="1"/>
  <c r="AE12" i="17"/>
  <c r="AU12" i="17" s="1"/>
  <c r="AD12" i="17"/>
  <c r="AT12" i="17" s="1"/>
  <c r="AC12" i="17"/>
  <c r="AS12" i="17" s="1"/>
  <c r="AA12" i="17"/>
  <c r="AQ12" i="17" s="1"/>
  <c r="Z12" i="17"/>
  <c r="AP12" i="17" s="1"/>
  <c r="Y12" i="17"/>
  <c r="AO12" i="17" s="1"/>
  <c r="X12" i="17"/>
  <c r="AN12" i="17" s="1"/>
  <c r="W12" i="17"/>
  <c r="AM12" i="17" s="1"/>
  <c r="V12" i="17"/>
  <c r="AL12" i="17" s="1"/>
  <c r="U12" i="17"/>
  <c r="AJ12" i="17"/>
  <c r="AF11" i="17"/>
  <c r="AV11" i="17" s="1"/>
  <c r="AE11" i="17"/>
  <c r="AU11" i="17" s="1"/>
  <c r="AD11" i="17"/>
  <c r="AT11" i="17" s="1"/>
  <c r="AC11" i="17"/>
  <c r="AS11" i="17" s="1"/>
  <c r="AA11" i="17"/>
  <c r="AQ11" i="17" s="1"/>
  <c r="Z11" i="17"/>
  <c r="AP11" i="17" s="1"/>
  <c r="Y11" i="17"/>
  <c r="AO11" i="17" s="1"/>
  <c r="X11" i="17"/>
  <c r="AN11" i="17" s="1"/>
  <c r="W11" i="17"/>
  <c r="AM11" i="17" s="1"/>
  <c r="V11" i="17"/>
  <c r="AL11" i="17" s="1"/>
  <c r="U11" i="17"/>
  <c r="AJ11" i="17"/>
  <c r="AF10" i="17"/>
  <c r="AV10" i="17" s="1"/>
  <c r="AE10" i="17"/>
  <c r="AU10" i="17" s="1"/>
  <c r="AD10" i="17"/>
  <c r="AT10" i="17" s="1"/>
  <c r="AC10" i="17"/>
  <c r="AS10" i="17" s="1"/>
  <c r="AA10" i="17"/>
  <c r="AQ10" i="17" s="1"/>
  <c r="Z10" i="17"/>
  <c r="AP10" i="17" s="1"/>
  <c r="Y10" i="17"/>
  <c r="AO10" i="17" s="1"/>
  <c r="X10" i="17"/>
  <c r="AN10" i="17" s="1"/>
  <c r="W10" i="17"/>
  <c r="AM10" i="17" s="1"/>
  <c r="V10" i="17"/>
  <c r="AL10" i="17" s="1"/>
  <c r="U10" i="17"/>
  <c r="AJ10" i="17"/>
  <c r="AF9" i="17"/>
  <c r="AV9" i="17" s="1"/>
  <c r="AE9" i="17"/>
  <c r="AU9" i="17" s="1"/>
  <c r="AD9" i="17"/>
  <c r="AT9" i="17" s="1"/>
  <c r="AC9" i="17"/>
  <c r="AS9" i="17" s="1"/>
  <c r="AA9" i="17"/>
  <c r="AQ9" i="17" s="1"/>
  <c r="Z9" i="17"/>
  <c r="AP9" i="17" s="1"/>
  <c r="Y9" i="17"/>
  <c r="AO9" i="17" s="1"/>
  <c r="X9" i="17"/>
  <c r="AN9" i="17" s="1"/>
  <c r="W9" i="17"/>
  <c r="AM9" i="17" s="1"/>
  <c r="V9" i="17"/>
  <c r="AL9" i="17" s="1"/>
  <c r="U9" i="17"/>
  <c r="AJ9" i="17"/>
  <c r="AF8" i="17"/>
  <c r="AV8" i="17" s="1"/>
  <c r="AE8" i="17"/>
  <c r="AU8" i="17" s="1"/>
  <c r="AD8" i="17"/>
  <c r="AT8" i="17" s="1"/>
  <c r="AC8" i="17"/>
  <c r="AS8" i="17" s="1"/>
  <c r="AA8" i="17"/>
  <c r="AQ8" i="17" s="1"/>
  <c r="Z8" i="17"/>
  <c r="AP8" i="17" s="1"/>
  <c r="Y8" i="17"/>
  <c r="AO8" i="17" s="1"/>
  <c r="X8" i="17"/>
  <c r="AN8" i="17" s="1"/>
  <c r="W8" i="17"/>
  <c r="AM8" i="17" s="1"/>
  <c r="V8" i="17"/>
  <c r="AL8" i="17" s="1"/>
  <c r="U8" i="17"/>
  <c r="AJ8" i="17"/>
  <c r="AF7" i="17"/>
  <c r="AV7" i="17" s="1"/>
  <c r="AE7" i="17"/>
  <c r="AU7" i="17" s="1"/>
  <c r="AD7" i="17"/>
  <c r="AT7" i="17" s="1"/>
  <c r="AC7" i="17"/>
  <c r="AS7" i="17" s="1"/>
  <c r="AA7" i="17"/>
  <c r="AQ7" i="17" s="1"/>
  <c r="Z7" i="17"/>
  <c r="AP7" i="17" s="1"/>
  <c r="Y7" i="17"/>
  <c r="AO7" i="17" s="1"/>
  <c r="X7" i="17"/>
  <c r="AN7" i="17" s="1"/>
  <c r="W7" i="17"/>
  <c r="AM7" i="17" s="1"/>
  <c r="V7" i="17"/>
  <c r="AL7" i="17" s="1"/>
  <c r="U7" i="17"/>
  <c r="AF6" i="17"/>
  <c r="AE6" i="17"/>
  <c r="AD6" i="17"/>
  <c r="AC6" i="17"/>
  <c r="AA6" i="17"/>
  <c r="Z6" i="17"/>
  <c r="Y6" i="17"/>
  <c r="X6" i="17"/>
  <c r="W6" i="17"/>
  <c r="V6" i="17"/>
  <c r="U6" i="17"/>
  <c r="T6" i="17"/>
  <c r="P6" i="17"/>
  <c r="O6" i="17"/>
  <c r="N6" i="17"/>
  <c r="M6" i="17"/>
  <c r="K6" i="17"/>
  <c r="J6" i="17"/>
  <c r="I6" i="17"/>
  <c r="H6" i="17"/>
  <c r="G6" i="17"/>
  <c r="F6" i="17"/>
  <c r="E6" i="17"/>
  <c r="D6" i="17"/>
  <c r="AH33" i="15"/>
  <c r="AX33" i="15" s="1"/>
  <c r="AF33" i="15"/>
  <c r="AV33" i="15" s="1"/>
  <c r="AE33" i="15"/>
  <c r="AU33" i="15" s="1"/>
  <c r="AD33" i="15"/>
  <c r="AT33" i="15" s="1"/>
  <c r="AC33" i="15"/>
  <c r="AS33" i="15" s="1"/>
  <c r="AA33" i="15"/>
  <c r="AQ33" i="15" s="1"/>
  <c r="Z33" i="15"/>
  <c r="AP33" i="15" s="1"/>
  <c r="Y33" i="15"/>
  <c r="AO33" i="15" s="1"/>
  <c r="X33" i="15"/>
  <c r="AN33" i="15" s="1"/>
  <c r="W33" i="15"/>
  <c r="AM33" i="15" s="1"/>
  <c r="V33" i="15"/>
  <c r="AL33" i="15" s="1"/>
  <c r="U33" i="15"/>
  <c r="AK33" i="15" s="1"/>
  <c r="T33" i="15"/>
  <c r="AJ33" i="15" s="1"/>
  <c r="AH32" i="15"/>
  <c r="AX32" i="15" s="1"/>
  <c r="AF32" i="15"/>
  <c r="AV32" i="15" s="1"/>
  <c r="AE32" i="15"/>
  <c r="AU32" i="15" s="1"/>
  <c r="AD32" i="15"/>
  <c r="AT32" i="15" s="1"/>
  <c r="AC32" i="15"/>
  <c r="AS32" i="15" s="1"/>
  <c r="AA32" i="15"/>
  <c r="AQ32" i="15" s="1"/>
  <c r="Z32" i="15"/>
  <c r="AP32" i="15" s="1"/>
  <c r="Y32" i="15"/>
  <c r="AO32" i="15" s="1"/>
  <c r="X32" i="15"/>
  <c r="AN32" i="15" s="1"/>
  <c r="W32" i="15"/>
  <c r="AM32" i="15" s="1"/>
  <c r="V32" i="15"/>
  <c r="AL32" i="15" s="1"/>
  <c r="U32" i="15"/>
  <c r="AK32" i="15" s="1"/>
  <c r="T32" i="15"/>
  <c r="AJ32" i="15" s="1"/>
  <c r="AH31" i="15"/>
  <c r="AX31" i="15" s="1"/>
  <c r="AF31" i="15"/>
  <c r="AV31" i="15" s="1"/>
  <c r="AE31" i="15"/>
  <c r="AU31" i="15" s="1"/>
  <c r="AD31" i="15"/>
  <c r="AT31" i="15" s="1"/>
  <c r="AC31" i="15"/>
  <c r="AS31" i="15" s="1"/>
  <c r="AA31" i="15"/>
  <c r="AQ31" i="15" s="1"/>
  <c r="Z31" i="15"/>
  <c r="AP31" i="15" s="1"/>
  <c r="Y31" i="15"/>
  <c r="AO31" i="15" s="1"/>
  <c r="X31" i="15"/>
  <c r="AN31" i="15" s="1"/>
  <c r="W31" i="15"/>
  <c r="AM31" i="15" s="1"/>
  <c r="V31" i="15"/>
  <c r="AL31" i="15" s="1"/>
  <c r="U31" i="15"/>
  <c r="AK31" i="15" s="1"/>
  <c r="T31" i="15"/>
  <c r="AJ31" i="15" s="1"/>
  <c r="AH30" i="15"/>
  <c r="AX30" i="15" s="1"/>
  <c r="AF30" i="15"/>
  <c r="AV30" i="15" s="1"/>
  <c r="AE30" i="15"/>
  <c r="AU30" i="15" s="1"/>
  <c r="AD30" i="15"/>
  <c r="AT30" i="15" s="1"/>
  <c r="AC30" i="15"/>
  <c r="AS30" i="15" s="1"/>
  <c r="AA30" i="15"/>
  <c r="AQ30" i="15" s="1"/>
  <c r="Z30" i="15"/>
  <c r="AP30" i="15" s="1"/>
  <c r="Y30" i="15"/>
  <c r="AO30" i="15" s="1"/>
  <c r="X30" i="15"/>
  <c r="AN30" i="15" s="1"/>
  <c r="W30" i="15"/>
  <c r="AM30" i="15" s="1"/>
  <c r="V30" i="15"/>
  <c r="AL30" i="15" s="1"/>
  <c r="U30" i="15"/>
  <c r="AK30" i="15" s="1"/>
  <c r="T30" i="15"/>
  <c r="AJ30" i="15" s="1"/>
  <c r="AH29" i="15"/>
  <c r="AX29" i="15" s="1"/>
  <c r="AF29" i="15"/>
  <c r="AV29" i="15" s="1"/>
  <c r="AE29" i="15"/>
  <c r="AU29" i="15" s="1"/>
  <c r="AD29" i="15"/>
  <c r="AT29" i="15" s="1"/>
  <c r="AC29" i="15"/>
  <c r="AS29" i="15" s="1"/>
  <c r="AA29" i="15"/>
  <c r="AQ29" i="15" s="1"/>
  <c r="Z29" i="15"/>
  <c r="AP29" i="15" s="1"/>
  <c r="Y29" i="15"/>
  <c r="AO29" i="15" s="1"/>
  <c r="X29" i="15"/>
  <c r="AN29" i="15" s="1"/>
  <c r="W29" i="15"/>
  <c r="AM29" i="15" s="1"/>
  <c r="V29" i="15"/>
  <c r="AL29" i="15" s="1"/>
  <c r="U29" i="15"/>
  <c r="AK29" i="15" s="1"/>
  <c r="T29" i="15"/>
  <c r="AJ29" i="15" s="1"/>
  <c r="AH28" i="15"/>
  <c r="AX28" i="15" s="1"/>
  <c r="AF28" i="15"/>
  <c r="AV28" i="15" s="1"/>
  <c r="AE28" i="15"/>
  <c r="AU28" i="15" s="1"/>
  <c r="AD28" i="15"/>
  <c r="AT28" i="15" s="1"/>
  <c r="AC28" i="15"/>
  <c r="AS28" i="15" s="1"/>
  <c r="AA28" i="15"/>
  <c r="AQ28" i="15" s="1"/>
  <c r="Z28" i="15"/>
  <c r="AP28" i="15" s="1"/>
  <c r="Y28" i="15"/>
  <c r="AO28" i="15" s="1"/>
  <c r="X28" i="15"/>
  <c r="AN28" i="15" s="1"/>
  <c r="W28" i="15"/>
  <c r="AM28" i="15" s="1"/>
  <c r="V28" i="15"/>
  <c r="AL28" i="15" s="1"/>
  <c r="U28" i="15"/>
  <c r="AK28" i="15" s="1"/>
  <c r="T28" i="15"/>
  <c r="AJ28" i="15" s="1"/>
  <c r="AH27" i="15"/>
  <c r="AX27" i="15" s="1"/>
  <c r="AF27" i="15"/>
  <c r="AV27" i="15" s="1"/>
  <c r="AE27" i="15"/>
  <c r="AU27" i="15" s="1"/>
  <c r="AD27" i="15"/>
  <c r="AT27" i="15" s="1"/>
  <c r="AC27" i="15"/>
  <c r="AS27" i="15" s="1"/>
  <c r="AA27" i="15"/>
  <c r="AQ27" i="15" s="1"/>
  <c r="Z27" i="15"/>
  <c r="AP27" i="15" s="1"/>
  <c r="Y27" i="15"/>
  <c r="AO27" i="15" s="1"/>
  <c r="X27" i="15"/>
  <c r="AN27" i="15" s="1"/>
  <c r="W27" i="15"/>
  <c r="AM27" i="15" s="1"/>
  <c r="V27" i="15"/>
  <c r="AL27" i="15" s="1"/>
  <c r="U27" i="15"/>
  <c r="AK27" i="15" s="1"/>
  <c r="T27" i="15"/>
  <c r="AJ27" i="15" s="1"/>
  <c r="AH26" i="15"/>
  <c r="AX26" i="15" s="1"/>
  <c r="AF26" i="15"/>
  <c r="AV26" i="15" s="1"/>
  <c r="AE26" i="15"/>
  <c r="AU26" i="15" s="1"/>
  <c r="AD26" i="15"/>
  <c r="AT26" i="15" s="1"/>
  <c r="AC26" i="15"/>
  <c r="AS26" i="15" s="1"/>
  <c r="AA26" i="15"/>
  <c r="AQ26" i="15" s="1"/>
  <c r="Z26" i="15"/>
  <c r="AP26" i="15" s="1"/>
  <c r="Y26" i="15"/>
  <c r="AO26" i="15" s="1"/>
  <c r="X26" i="15"/>
  <c r="AN26" i="15" s="1"/>
  <c r="W26" i="15"/>
  <c r="AM26" i="15" s="1"/>
  <c r="V26" i="15"/>
  <c r="AL26" i="15" s="1"/>
  <c r="U26" i="15"/>
  <c r="AK26" i="15" s="1"/>
  <c r="T26" i="15"/>
  <c r="AJ26" i="15" s="1"/>
  <c r="AH25" i="15"/>
  <c r="AX25" i="15" s="1"/>
  <c r="AF25" i="15"/>
  <c r="AV25" i="15" s="1"/>
  <c r="AE25" i="15"/>
  <c r="AU25" i="15" s="1"/>
  <c r="AD25" i="15"/>
  <c r="AT25" i="15" s="1"/>
  <c r="AC25" i="15"/>
  <c r="AS25" i="15" s="1"/>
  <c r="AA25" i="15"/>
  <c r="AQ25" i="15" s="1"/>
  <c r="Z25" i="15"/>
  <c r="AP25" i="15" s="1"/>
  <c r="Y25" i="15"/>
  <c r="AO25" i="15" s="1"/>
  <c r="X25" i="15"/>
  <c r="AN25" i="15" s="1"/>
  <c r="W25" i="15"/>
  <c r="AM25" i="15" s="1"/>
  <c r="V25" i="15"/>
  <c r="AL25" i="15" s="1"/>
  <c r="U25" i="15"/>
  <c r="AK25" i="15" s="1"/>
  <c r="T25" i="15"/>
  <c r="AJ25" i="15" s="1"/>
  <c r="AH24" i="15"/>
  <c r="AX24" i="15" s="1"/>
  <c r="AF24" i="15"/>
  <c r="AV24" i="15" s="1"/>
  <c r="AE24" i="15"/>
  <c r="AU24" i="15" s="1"/>
  <c r="AD24" i="15"/>
  <c r="AT24" i="15" s="1"/>
  <c r="AC24" i="15"/>
  <c r="AS24" i="15" s="1"/>
  <c r="AA24" i="15"/>
  <c r="AQ24" i="15" s="1"/>
  <c r="Z24" i="15"/>
  <c r="AP24" i="15" s="1"/>
  <c r="Y24" i="15"/>
  <c r="AO24" i="15" s="1"/>
  <c r="X24" i="15"/>
  <c r="AN24" i="15" s="1"/>
  <c r="W24" i="15"/>
  <c r="AM24" i="15" s="1"/>
  <c r="V24" i="15"/>
  <c r="AL24" i="15" s="1"/>
  <c r="U24" i="15"/>
  <c r="AK24" i="15" s="1"/>
  <c r="T24" i="15"/>
  <c r="AJ24" i="15" s="1"/>
  <c r="AH23" i="15"/>
  <c r="AX23" i="15" s="1"/>
  <c r="AF23" i="15"/>
  <c r="AV23" i="15" s="1"/>
  <c r="AE23" i="15"/>
  <c r="AU23" i="15" s="1"/>
  <c r="AD23" i="15"/>
  <c r="AT23" i="15" s="1"/>
  <c r="AC23" i="15"/>
  <c r="AS23" i="15" s="1"/>
  <c r="AA23" i="15"/>
  <c r="AQ23" i="15" s="1"/>
  <c r="Z23" i="15"/>
  <c r="AP23" i="15" s="1"/>
  <c r="Y23" i="15"/>
  <c r="AO23" i="15" s="1"/>
  <c r="X23" i="15"/>
  <c r="AN23" i="15" s="1"/>
  <c r="W23" i="15"/>
  <c r="AM23" i="15" s="1"/>
  <c r="V23" i="15"/>
  <c r="AL23" i="15" s="1"/>
  <c r="U23" i="15"/>
  <c r="AK23" i="15" s="1"/>
  <c r="T23" i="15"/>
  <c r="AJ23" i="15" s="1"/>
  <c r="AH22" i="15"/>
  <c r="AX22" i="15" s="1"/>
  <c r="AF22" i="15"/>
  <c r="AV22" i="15" s="1"/>
  <c r="AE22" i="15"/>
  <c r="AU22" i="15" s="1"/>
  <c r="AD22" i="15"/>
  <c r="AT22" i="15" s="1"/>
  <c r="AC22" i="15"/>
  <c r="AS22" i="15" s="1"/>
  <c r="AA22" i="15"/>
  <c r="AQ22" i="15" s="1"/>
  <c r="Z22" i="15"/>
  <c r="AP22" i="15" s="1"/>
  <c r="Y22" i="15"/>
  <c r="AO22" i="15" s="1"/>
  <c r="X22" i="15"/>
  <c r="AN22" i="15" s="1"/>
  <c r="W22" i="15"/>
  <c r="AM22" i="15" s="1"/>
  <c r="V22" i="15"/>
  <c r="AL22" i="15" s="1"/>
  <c r="U22" i="15"/>
  <c r="AK22" i="15" s="1"/>
  <c r="T22" i="15"/>
  <c r="AJ22" i="15" s="1"/>
  <c r="AH21" i="15"/>
  <c r="AX21" i="15" s="1"/>
  <c r="AF21" i="15"/>
  <c r="AV21" i="15" s="1"/>
  <c r="AE21" i="15"/>
  <c r="AU21" i="15" s="1"/>
  <c r="AD21" i="15"/>
  <c r="AT21" i="15" s="1"/>
  <c r="AC21" i="15"/>
  <c r="AS21" i="15" s="1"/>
  <c r="AA21" i="15"/>
  <c r="AQ21" i="15" s="1"/>
  <c r="Z21" i="15"/>
  <c r="AP21" i="15" s="1"/>
  <c r="Y21" i="15"/>
  <c r="AO21" i="15" s="1"/>
  <c r="X21" i="15"/>
  <c r="AN21" i="15" s="1"/>
  <c r="W21" i="15"/>
  <c r="AM21" i="15" s="1"/>
  <c r="V21" i="15"/>
  <c r="AL21" i="15" s="1"/>
  <c r="U21" i="15"/>
  <c r="AK21" i="15" s="1"/>
  <c r="T21" i="15"/>
  <c r="AJ21" i="15" s="1"/>
  <c r="AH20" i="15"/>
  <c r="AX20" i="15" s="1"/>
  <c r="AF20" i="15"/>
  <c r="AV20" i="15" s="1"/>
  <c r="AE20" i="15"/>
  <c r="AU20" i="15" s="1"/>
  <c r="AD20" i="15"/>
  <c r="AT20" i="15" s="1"/>
  <c r="AC20" i="15"/>
  <c r="AS20" i="15" s="1"/>
  <c r="AA20" i="15"/>
  <c r="AQ20" i="15" s="1"/>
  <c r="Z20" i="15"/>
  <c r="AP20" i="15" s="1"/>
  <c r="Y20" i="15"/>
  <c r="AO20" i="15" s="1"/>
  <c r="X20" i="15"/>
  <c r="AN20" i="15" s="1"/>
  <c r="W20" i="15"/>
  <c r="AM20" i="15" s="1"/>
  <c r="V20" i="15"/>
  <c r="AL20" i="15" s="1"/>
  <c r="U20" i="15"/>
  <c r="AK20" i="15" s="1"/>
  <c r="T20" i="15"/>
  <c r="AJ20" i="15" s="1"/>
  <c r="AH19" i="15"/>
  <c r="AX19" i="15" s="1"/>
  <c r="AF19" i="15"/>
  <c r="AV19" i="15" s="1"/>
  <c r="AE19" i="15"/>
  <c r="AU19" i="15" s="1"/>
  <c r="AD19" i="15"/>
  <c r="AT19" i="15" s="1"/>
  <c r="AC19" i="15"/>
  <c r="AS19" i="15" s="1"/>
  <c r="AA19" i="15"/>
  <c r="AQ19" i="15" s="1"/>
  <c r="Z19" i="15"/>
  <c r="AP19" i="15" s="1"/>
  <c r="Y19" i="15"/>
  <c r="AO19" i="15" s="1"/>
  <c r="X19" i="15"/>
  <c r="AN19" i="15" s="1"/>
  <c r="W19" i="15"/>
  <c r="AM19" i="15" s="1"/>
  <c r="V19" i="15"/>
  <c r="AL19" i="15" s="1"/>
  <c r="U19" i="15"/>
  <c r="AK19" i="15" s="1"/>
  <c r="T19" i="15"/>
  <c r="AJ19" i="15" s="1"/>
  <c r="AH18" i="15"/>
  <c r="AX18" i="15" s="1"/>
  <c r="AF18" i="15"/>
  <c r="AV18" i="15" s="1"/>
  <c r="AE18" i="15"/>
  <c r="AU18" i="15" s="1"/>
  <c r="AD18" i="15"/>
  <c r="AT18" i="15" s="1"/>
  <c r="AC18" i="15"/>
  <c r="AS18" i="15" s="1"/>
  <c r="AA18" i="15"/>
  <c r="AQ18" i="15" s="1"/>
  <c r="Z18" i="15"/>
  <c r="AP18" i="15" s="1"/>
  <c r="Y18" i="15"/>
  <c r="AO18" i="15" s="1"/>
  <c r="X18" i="15"/>
  <c r="AN18" i="15" s="1"/>
  <c r="W18" i="15"/>
  <c r="AM18" i="15" s="1"/>
  <c r="V18" i="15"/>
  <c r="AL18" i="15" s="1"/>
  <c r="U18" i="15"/>
  <c r="AK18" i="15" s="1"/>
  <c r="T18" i="15"/>
  <c r="AJ18" i="15" s="1"/>
  <c r="AH17" i="15"/>
  <c r="AX17" i="15" s="1"/>
  <c r="AF17" i="15"/>
  <c r="AV17" i="15" s="1"/>
  <c r="AE17" i="15"/>
  <c r="AU17" i="15" s="1"/>
  <c r="AD17" i="15"/>
  <c r="AT17" i="15" s="1"/>
  <c r="AC17" i="15"/>
  <c r="AS17" i="15" s="1"/>
  <c r="AA17" i="15"/>
  <c r="AQ17" i="15" s="1"/>
  <c r="Z17" i="15"/>
  <c r="AP17" i="15" s="1"/>
  <c r="Y17" i="15"/>
  <c r="AO17" i="15" s="1"/>
  <c r="X17" i="15"/>
  <c r="AN17" i="15" s="1"/>
  <c r="W17" i="15"/>
  <c r="AM17" i="15" s="1"/>
  <c r="V17" i="15"/>
  <c r="AL17" i="15" s="1"/>
  <c r="U17" i="15"/>
  <c r="T17" i="15"/>
  <c r="AJ17" i="15" s="1"/>
  <c r="AH16" i="15"/>
  <c r="AX16" i="15" s="1"/>
  <c r="AF16" i="15"/>
  <c r="AV16" i="15" s="1"/>
  <c r="AE16" i="15"/>
  <c r="AU16" i="15" s="1"/>
  <c r="AD16" i="15"/>
  <c r="AT16" i="15" s="1"/>
  <c r="AC16" i="15"/>
  <c r="AS16" i="15" s="1"/>
  <c r="AA16" i="15"/>
  <c r="AQ16" i="15" s="1"/>
  <c r="Z16" i="15"/>
  <c r="AP16" i="15" s="1"/>
  <c r="Y16" i="15"/>
  <c r="AO16" i="15" s="1"/>
  <c r="X16" i="15"/>
  <c r="AN16" i="15" s="1"/>
  <c r="W16" i="15"/>
  <c r="AM16" i="15" s="1"/>
  <c r="V16" i="15"/>
  <c r="AL16" i="15" s="1"/>
  <c r="U16" i="15"/>
  <c r="T16" i="15"/>
  <c r="AJ16" i="15" s="1"/>
  <c r="AH15" i="15"/>
  <c r="AX15" i="15" s="1"/>
  <c r="AF15" i="15"/>
  <c r="AV15" i="15" s="1"/>
  <c r="AE15" i="15"/>
  <c r="AU15" i="15" s="1"/>
  <c r="AD15" i="15"/>
  <c r="AT15" i="15" s="1"/>
  <c r="AC15" i="15"/>
  <c r="AS15" i="15" s="1"/>
  <c r="AA15" i="15"/>
  <c r="AQ15" i="15" s="1"/>
  <c r="Z15" i="15"/>
  <c r="AP15" i="15" s="1"/>
  <c r="Y15" i="15"/>
  <c r="AO15" i="15" s="1"/>
  <c r="X15" i="15"/>
  <c r="AN15" i="15" s="1"/>
  <c r="W15" i="15"/>
  <c r="AM15" i="15" s="1"/>
  <c r="V15" i="15"/>
  <c r="AL15" i="15" s="1"/>
  <c r="U15" i="15"/>
  <c r="T15" i="15"/>
  <c r="AJ15" i="15" s="1"/>
  <c r="AH14" i="15"/>
  <c r="AX14" i="15" s="1"/>
  <c r="AF14" i="15"/>
  <c r="AV14" i="15" s="1"/>
  <c r="AE14" i="15"/>
  <c r="AU14" i="15" s="1"/>
  <c r="AD14" i="15"/>
  <c r="AT14" i="15" s="1"/>
  <c r="AC14" i="15"/>
  <c r="AS14" i="15" s="1"/>
  <c r="AA14" i="15"/>
  <c r="AQ14" i="15" s="1"/>
  <c r="Z14" i="15"/>
  <c r="AP14" i="15" s="1"/>
  <c r="Y14" i="15"/>
  <c r="AO14" i="15" s="1"/>
  <c r="X14" i="15"/>
  <c r="AN14" i="15" s="1"/>
  <c r="W14" i="15"/>
  <c r="AM14" i="15" s="1"/>
  <c r="V14" i="15"/>
  <c r="AL14" i="15" s="1"/>
  <c r="U14" i="15"/>
  <c r="T14" i="15"/>
  <c r="AJ14" i="15" s="1"/>
  <c r="AH13" i="15"/>
  <c r="AX13" i="15" s="1"/>
  <c r="AF13" i="15"/>
  <c r="AV13" i="15" s="1"/>
  <c r="AE13" i="15"/>
  <c r="AU13" i="15" s="1"/>
  <c r="AD13" i="15"/>
  <c r="AT13" i="15" s="1"/>
  <c r="AC13" i="15"/>
  <c r="AS13" i="15" s="1"/>
  <c r="AA13" i="15"/>
  <c r="AQ13" i="15" s="1"/>
  <c r="Z13" i="15"/>
  <c r="AP13" i="15" s="1"/>
  <c r="Y13" i="15"/>
  <c r="AO13" i="15" s="1"/>
  <c r="X13" i="15"/>
  <c r="AN13" i="15" s="1"/>
  <c r="W13" i="15"/>
  <c r="AM13" i="15" s="1"/>
  <c r="V13" i="15"/>
  <c r="AL13" i="15" s="1"/>
  <c r="U13" i="15"/>
  <c r="T13" i="15"/>
  <c r="AJ13" i="15" s="1"/>
  <c r="AH12" i="15"/>
  <c r="AX12" i="15" s="1"/>
  <c r="AF12" i="15"/>
  <c r="AV12" i="15" s="1"/>
  <c r="AE12" i="15"/>
  <c r="AU12" i="15" s="1"/>
  <c r="AD12" i="15"/>
  <c r="AT12" i="15" s="1"/>
  <c r="AC12" i="15"/>
  <c r="AS12" i="15" s="1"/>
  <c r="AA12" i="15"/>
  <c r="AQ12" i="15" s="1"/>
  <c r="Z12" i="15"/>
  <c r="AP12" i="15" s="1"/>
  <c r="Y12" i="15"/>
  <c r="AO12" i="15" s="1"/>
  <c r="X12" i="15"/>
  <c r="AN12" i="15" s="1"/>
  <c r="W12" i="15"/>
  <c r="AM12" i="15" s="1"/>
  <c r="V12" i="15"/>
  <c r="AL12" i="15" s="1"/>
  <c r="U12" i="15"/>
  <c r="T12" i="15"/>
  <c r="AJ12" i="15" s="1"/>
  <c r="AH11" i="15"/>
  <c r="AX11" i="15" s="1"/>
  <c r="AF11" i="15"/>
  <c r="AV11" i="15" s="1"/>
  <c r="AE11" i="15"/>
  <c r="AU11" i="15" s="1"/>
  <c r="AD11" i="15"/>
  <c r="AT11" i="15" s="1"/>
  <c r="AC11" i="15"/>
  <c r="AS11" i="15" s="1"/>
  <c r="AA11" i="15"/>
  <c r="AQ11" i="15" s="1"/>
  <c r="Z11" i="15"/>
  <c r="AP11" i="15" s="1"/>
  <c r="Y11" i="15"/>
  <c r="AO11" i="15" s="1"/>
  <c r="X11" i="15"/>
  <c r="AN11" i="15" s="1"/>
  <c r="W11" i="15"/>
  <c r="AM11" i="15" s="1"/>
  <c r="V11" i="15"/>
  <c r="AL11" i="15" s="1"/>
  <c r="U11" i="15"/>
  <c r="T11" i="15"/>
  <c r="AJ11" i="15" s="1"/>
  <c r="AH10" i="15"/>
  <c r="AX10" i="15" s="1"/>
  <c r="AF10" i="15"/>
  <c r="AV10" i="15" s="1"/>
  <c r="AE10" i="15"/>
  <c r="AU10" i="15" s="1"/>
  <c r="AD10" i="15"/>
  <c r="AT10" i="15" s="1"/>
  <c r="AC10" i="15"/>
  <c r="AS10" i="15" s="1"/>
  <c r="AA10" i="15"/>
  <c r="AQ10" i="15" s="1"/>
  <c r="Z10" i="15"/>
  <c r="AP10" i="15" s="1"/>
  <c r="Y10" i="15"/>
  <c r="AO10" i="15" s="1"/>
  <c r="X10" i="15"/>
  <c r="AN10" i="15" s="1"/>
  <c r="W10" i="15"/>
  <c r="AM10" i="15" s="1"/>
  <c r="V10" i="15"/>
  <c r="AL10" i="15" s="1"/>
  <c r="U10" i="15"/>
  <c r="T10" i="15"/>
  <c r="AJ10" i="15" s="1"/>
  <c r="AH9" i="15"/>
  <c r="AX9" i="15" s="1"/>
  <c r="AF9" i="15"/>
  <c r="AV9" i="15" s="1"/>
  <c r="AE9" i="15"/>
  <c r="AU9" i="15" s="1"/>
  <c r="AD9" i="15"/>
  <c r="AT9" i="15" s="1"/>
  <c r="AC9" i="15"/>
  <c r="AS9" i="15" s="1"/>
  <c r="AA9" i="15"/>
  <c r="AQ9" i="15" s="1"/>
  <c r="Z9" i="15"/>
  <c r="AP9" i="15" s="1"/>
  <c r="Y9" i="15"/>
  <c r="AO9" i="15" s="1"/>
  <c r="X9" i="15"/>
  <c r="AN9" i="15" s="1"/>
  <c r="W9" i="15"/>
  <c r="AM9" i="15" s="1"/>
  <c r="V9" i="15"/>
  <c r="AL9" i="15" s="1"/>
  <c r="U9" i="15"/>
  <c r="T9" i="15"/>
  <c r="AJ9" i="15" s="1"/>
  <c r="AH8" i="15"/>
  <c r="AX8" i="15" s="1"/>
  <c r="AF8" i="15"/>
  <c r="AV8" i="15" s="1"/>
  <c r="AE8" i="15"/>
  <c r="AU8" i="15" s="1"/>
  <c r="AD8" i="15"/>
  <c r="AT8" i="15" s="1"/>
  <c r="AC8" i="15"/>
  <c r="AS8" i="15" s="1"/>
  <c r="AA8" i="15"/>
  <c r="AQ8" i="15" s="1"/>
  <c r="Z8" i="15"/>
  <c r="AP8" i="15" s="1"/>
  <c r="Y8" i="15"/>
  <c r="AO8" i="15" s="1"/>
  <c r="X8" i="15"/>
  <c r="AN8" i="15" s="1"/>
  <c r="W8" i="15"/>
  <c r="AM8" i="15" s="1"/>
  <c r="V8" i="15"/>
  <c r="AL8" i="15" s="1"/>
  <c r="U8" i="15"/>
  <c r="T8" i="15"/>
  <c r="AJ8" i="15" s="1"/>
  <c r="AH7" i="15"/>
  <c r="AX7" i="15" s="1"/>
  <c r="AF7" i="15"/>
  <c r="AV7" i="15" s="1"/>
  <c r="AE7" i="15"/>
  <c r="AU7" i="15" s="1"/>
  <c r="AD7" i="15"/>
  <c r="AT7" i="15" s="1"/>
  <c r="AC7" i="15"/>
  <c r="AS7" i="15" s="1"/>
  <c r="AA7" i="15"/>
  <c r="AQ7" i="15" s="1"/>
  <c r="Z7" i="15"/>
  <c r="AP7" i="15" s="1"/>
  <c r="Y7" i="15"/>
  <c r="AO7" i="15" s="1"/>
  <c r="X7" i="15"/>
  <c r="AN7" i="15" s="1"/>
  <c r="W7" i="15"/>
  <c r="AM7" i="15" s="1"/>
  <c r="V7" i="15"/>
  <c r="AL7" i="15" s="1"/>
  <c r="U7" i="15"/>
  <c r="T7" i="15"/>
  <c r="AJ7" i="15" s="1"/>
  <c r="E93" i="9"/>
  <c r="D93" i="9"/>
  <c r="A93" i="9" s="1" a="1"/>
  <c r="A93" i="9" s="1"/>
  <c r="E92" i="9"/>
  <c r="D92" i="9"/>
  <c r="A92" i="9" s="1" a="1"/>
  <c r="A92" i="9" s="1"/>
  <c r="E91" i="9"/>
  <c r="D91" i="9"/>
  <c r="A91" i="9" s="1" a="1"/>
  <c r="A91" i="9" s="1"/>
  <c r="E90" i="9"/>
  <c r="D90" i="9"/>
  <c r="A90" i="9" s="1" a="1"/>
  <c r="A90" i="9" s="1"/>
  <c r="E89" i="9"/>
  <c r="D89" i="9"/>
  <c r="A89" i="9" s="1" a="1"/>
  <c r="A89" i="9" s="1"/>
  <c r="E88" i="9"/>
  <c r="D88" i="9"/>
  <c r="A88" i="9" s="1" a="1"/>
  <c r="A88" i="9" s="1"/>
  <c r="E87" i="9"/>
  <c r="D87" i="9"/>
  <c r="A87" i="9" s="1" a="1"/>
  <c r="A87" i="9" s="1"/>
  <c r="E86" i="9"/>
  <c r="D86" i="9"/>
  <c r="A86" i="9" s="1" a="1"/>
  <c r="A86" i="9" s="1"/>
  <c r="E85" i="9"/>
  <c r="D85" i="9"/>
  <c r="A85" i="9" s="1" a="1"/>
  <c r="A85" i="9" s="1"/>
  <c r="E84" i="9"/>
  <c r="D84" i="9"/>
  <c r="A84" i="9" s="1" a="1"/>
  <c r="A84" i="9" s="1"/>
  <c r="E83" i="9"/>
  <c r="D83" i="9"/>
  <c r="A83" i="9" s="1" a="1"/>
  <c r="A83" i="9" s="1"/>
  <c r="E82" i="9"/>
  <c r="D82" i="9"/>
  <c r="A82" i="9" s="1" a="1"/>
  <c r="A82" i="9" s="1"/>
  <c r="E81" i="9"/>
  <c r="D81" i="9"/>
  <c r="E80" i="9"/>
  <c r="D80" i="9"/>
  <c r="E79" i="9"/>
  <c r="D79" i="9"/>
  <c r="E78" i="9"/>
  <c r="D78" i="9"/>
  <c r="E77" i="9"/>
  <c r="D77" i="9"/>
  <c r="E76" i="9"/>
  <c r="D76" i="9"/>
  <c r="E75" i="9"/>
  <c r="D75" i="9"/>
  <c r="E74" i="9"/>
  <c r="D74" i="9"/>
  <c r="E73" i="9"/>
  <c r="D73" i="9"/>
  <c r="E72" i="9"/>
  <c r="D72" i="9"/>
  <c r="E71" i="9"/>
  <c r="D71" i="9"/>
  <c r="E70" i="9"/>
  <c r="D70" i="9"/>
  <c r="E69" i="9"/>
  <c r="D69" i="9"/>
  <c r="E68" i="9"/>
  <c r="D68" i="9"/>
  <c r="E67" i="9"/>
  <c r="D67" i="9"/>
  <c r="E66" i="9"/>
  <c r="D66" i="9"/>
  <c r="E65" i="9"/>
  <c r="D65" i="9"/>
  <c r="E64" i="9"/>
  <c r="D64" i="9"/>
  <c r="E63" i="9"/>
  <c r="D63" i="9"/>
  <c r="E62" i="9"/>
  <c r="D62" i="9"/>
  <c r="E61" i="9"/>
  <c r="D61" i="9"/>
  <c r="E60" i="9"/>
  <c r="D60" i="9"/>
  <c r="E59" i="9"/>
  <c r="D59" i="9"/>
  <c r="E58" i="9"/>
  <c r="D58" i="9"/>
  <c r="A58" i="9" s="1" a="1"/>
  <c r="E57" i="9"/>
  <c r="D57" i="9"/>
  <c r="E56" i="9"/>
  <c r="D56" i="9"/>
  <c r="E55" i="9"/>
  <c r="D55" i="9"/>
  <c r="E54" i="9"/>
  <c r="D54" i="9"/>
  <c r="E48" i="9"/>
  <c r="D48" i="9"/>
  <c r="E47" i="9"/>
  <c r="D47" i="9"/>
  <c r="E46" i="9"/>
  <c r="D46" i="9"/>
  <c r="E45" i="9"/>
  <c r="D45" i="9"/>
  <c r="E44" i="9"/>
  <c r="D44" i="9"/>
  <c r="E43" i="9"/>
  <c r="D43" i="9"/>
  <c r="D37" i="9"/>
  <c r="C23" i="41" s="1"/>
  <c r="F23" i="41" s="1"/>
  <c r="C37" i="9"/>
  <c r="D36" i="9"/>
  <c r="C22" i="41" s="1"/>
  <c r="F22" i="41" s="1"/>
  <c r="C36" i="9"/>
  <c r="D35" i="9"/>
  <c r="C21" i="41" s="1"/>
  <c r="F21" i="41" s="1"/>
  <c r="C35" i="9"/>
  <c r="C34" i="9"/>
  <c r="C32" i="9"/>
  <c r="AI67" i="5"/>
  <c r="AG67" i="5"/>
  <c r="AF67" i="5"/>
  <c r="AE67" i="5"/>
  <c r="AD67" i="5"/>
  <c r="AB67" i="5"/>
  <c r="AA67" i="5"/>
  <c r="Z67" i="5"/>
  <c r="Y67" i="5"/>
  <c r="X67" i="5"/>
  <c r="W67" i="5"/>
  <c r="V67" i="5"/>
  <c r="U67" i="5"/>
  <c r="CG67" i="5"/>
  <c r="CE67" i="5"/>
  <c r="CD67" i="5"/>
  <c r="CC67" i="5"/>
  <c r="CB67" i="5"/>
  <c r="BZ67" i="5"/>
  <c r="BY67" i="5"/>
  <c r="BX67" i="5"/>
  <c r="BW67" i="5"/>
  <c r="BV67" i="5"/>
  <c r="BU67" i="5"/>
  <c r="BT67" i="5"/>
  <c r="B3" i="17"/>
  <c r="B1" i="17"/>
  <c r="B1" i="15"/>
  <c r="B1" i="5"/>
  <c r="B88" i="4"/>
  <c r="M88" i="4" s="1"/>
  <c r="B87" i="4"/>
  <c r="M87" i="4" s="1"/>
  <c r="B86" i="4"/>
  <c r="M86" i="4" s="1"/>
  <c r="B85" i="4"/>
  <c r="M85" i="4" s="1"/>
  <c r="B84" i="4"/>
  <c r="M84" i="4" s="1"/>
  <c r="B61" i="4"/>
  <c r="B60" i="4"/>
  <c r="B59" i="4"/>
  <c r="B58" i="4"/>
  <c r="B57" i="4"/>
  <c r="AH67" i="13"/>
  <c r="AF67" i="13"/>
  <c r="AE67" i="13"/>
  <c r="AD67" i="13"/>
  <c r="B12" i="9"/>
  <c r="B11" i="9"/>
  <c r="B10" i="9"/>
  <c r="B9" i="9"/>
  <c r="B8" i="9"/>
  <c r="BJ118" i="9"/>
  <c r="H16" i="4"/>
  <c r="H15" i="4"/>
  <c r="B1" i="14"/>
  <c r="B1" i="18"/>
  <c r="B1" i="13"/>
  <c r="B1" i="9"/>
  <c r="AK14" i="15" l="1"/>
  <c r="AY14" i="15" s="1"/>
  <c r="AK7" i="15"/>
  <c r="AY7" i="15" s="1"/>
  <c r="AK11" i="15"/>
  <c r="AY11" i="15" s="1"/>
  <c r="AK15" i="15"/>
  <c r="AK10" i="15"/>
  <c r="AK8" i="15"/>
  <c r="AK12" i="15"/>
  <c r="AY12" i="15" s="1"/>
  <c r="AK16" i="15"/>
  <c r="AY16" i="15" s="1"/>
  <c r="AK9" i="15"/>
  <c r="AY9" i="15" s="1"/>
  <c r="AK13" i="15"/>
  <c r="AK17" i="15"/>
  <c r="AY17" i="15" s="1"/>
  <c r="AK7" i="17"/>
  <c r="AK8" i="17"/>
  <c r="AK9" i="17"/>
  <c r="AY9" i="17" s="1"/>
  <c r="AK10" i="17"/>
  <c r="AY10" i="17" s="1"/>
  <c r="AK11" i="17"/>
  <c r="AY11" i="17" s="1"/>
  <c r="AK12" i="17"/>
  <c r="AK13" i="17"/>
  <c r="AY13" i="17" s="1"/>
  <c r="AK14" i="17"/>
  <c r="AK15" i="17"/>
  <c r="AY15" i="17" s="1"/>
  <c r="AK16" i="17"/>
  <c r="AK17" i="17"/>
  <c r="AY17" i="17" s="1"/>
  <c r="C19" i="41"/>
  <c r="F19" i="41" s="1"/>
  <c r="AX67" i="15"/>
  <c r="E30" i="9"/>
  <c r="C16" i="41"/>
  <c r="F16" i="41" s="1"/>
  <c r="E26" i="9"/>
  <c r="C12" i="41"/>
  <c r="F12" i="41" s="1"/>
  <c r="E28" i="9"/>
  <c r="C14" i="41"/>
  <c r="F14" i="41" s="1"/>
  <c r="AD68" i="5"/>
  <c r="H90" i="4"/>
  <c r="J90" i="4"/>
  <c r="F90" i="4"/>
  <c r="G90" i="4"/>
  <c r="I90" i="4"/>
  <c r="H63" i="4"/>
  <c r="G63" i="4"/>
  <c r="F63" i="4"/>
  <c r="I63" i="4"/>
  <c r="J63" i="4"/>
  <c r="A46" i="9" a="1"/>
  <c r="A46" i="9" s="1"/>
  <c r="A54" i="9" a="1"/>
  <c r="A54" i="9" s="1"/>
  <c r="A45" i="9" a="1"/>
  <c r="A45" i="9" s="1"/>
  <c r="A69" i="9" a="1"/>
  <c r="A69" i="9" s="1"/>
  <c r="A81" i="9" a="1"/>
  <c r="A81" i="9" s="1"/>
  <c r="A66" i="9" a="1"/>
  <c r="A74" i="9" a="1"/>
  <c r="A74" i="9" s="1"/>
  <c r="E36" i="9"/>
  <c r="F36" i="9" s="1"/>
  <c r="A61" i="9" a="1"/>
  <c r="A61" i="9" s="1"/>
  <c r="A73" i="9" a="1"/>
  <c r="A73" i="9" s="1"/>
  <c r="A62" i="9" a="1"/>
  <c r="A62" i="9" s="1"/>
  <c r="A70" i="9" a="1"/>
  <c r="A70" i="9" s="1"/>
  <c r="A78" i="9" a="1"/>
  <c r="A78" i="9" s="1"/>
  <c r="A43" i="9" a="1"/>
  <c r="A43" i="9" s="1"/>
  <c r="A47" i="9" a="1"/>
  <c r="A47" i="9" s="1"/>
  <c r="A55" i="9" a="1"/>
  <c r="A55" i="9" s="1"/>
  <c r="A65" i="9" a="1"/>
  <c r="A65" i="9" s="1"/>
  <c r="A77" i="9" a="1"/>
  <c r="A77" i="9" s="1"/>
  <c r="E37" i="9"/>
  <c r="F37" i="9" s="1"/>
  <c r="A71" i="9" a="1"/>
  <c r="A71" i="9" s="1"/>
  <c r="A57" i="9" a="1"/>
  <c r="A57" i="9" s="1"/>
  <c r="A59" i="9" a="1"/>
  <c r="A59" i="9" s="1"/>
  <c r="A63" i="9" a="1"/>
  <c r="A63" i="9" s="1"/>
  <c r="A67" i="9" a="1"/>
  <c r="A67" i="9" s="1"/>
  <c r="A75" i="9" a="1"/>
  <c r="A75" i="9" s="1"/>
  <c r="A79" i="9" a="1"/>
  <c r="A79" i="9" s="1"/>
  <c r="A44" i="9" a="1"/>
  <c r="A44" i="9" s="1"/>
  <c r="A48" i="9" a="1"/>
  <c r="A48" i="9" s="1"/>
  <c r="A56" i="9" a="1"/>
  <c r="A56" i="9" s="1"/>
  <c r="E35" i="9"/>
  <c r="F35" i="9" s="1"/>
  <c r="A60" i="9" a="1"/>
  <c r="A60" i="9" s="1"/>
  <c r="A64" i="9" a="1"/>
  <c r="A64" i="9" s="1"/>
  <c r="A68" i="9" a="1"/>
  <c r="A68" i="9" s="1"/>
  <c r="A72" i="9" a="1"/>
  <c r="A72" i="9" s="1"/>
  <c r="A76" i="9" a="1"/>
  <c r="A76" i="9" s="1"/>
  <c r="A80" i="9" a="1"/>
  <c r="A80" i="9" s="1"/>
  <c r="D41" i="4"/>
  <c r="D42" i="4"/>
  <c r="E31" i="9"/>
  <c r="E29" i="9"/>
  <c r="E27" i="9"/>
  <c r="E33" i="9"/>
  <c r="E32" i="9"/>
  <c r="E34" i="9"/>
  <c r="E28" i="4"/>
  <c r="AJ5" i="18"/>
  <c r="C25" i="2"/>
  <c r="C9" i="9" s="1"/>
  <c r="D38" i="4"/>
  <c r="D34" i="4"/>
  <c r="D36" i="4"/>
  <c r="D35" i="4"/>
  <c r="D37" i="4"/>
  <c r="D87" i="4"/>
  <c r="AJ5" i="14"/>
  <c r="B1" i="30"/>
  <c r="B1" i="31"/>
  <c r="A58" i="9"/>
  <c r="A66" i="9"/>
  <c r="B2" i="2"/>
  <c r="D85" i="4"/>
  <c r="D58" i="4"/>
  <c r="D84" i="4"/>
  <c r="D60" i="4"/>
  <c r="D57" i="4"/>
  <c r="D59" i="4"/>
  <c r="D5" i="18"/>
  <c r="AK67" i="13"/>
  <c r="AO67" i="13"/>
  <c r="AQ67" i="13"/>
  <c r="AM67" i="13"/>
  <c r="AV67" i="13"/>
  <c r="I41" i="9"/>
  <c r="B3" i="13"/>
  <c r="AN67" i="13"/>
  <c r="AT67" i="13"/>
  <c r="AS67" i="13"/>
  <c r="AJ67" i="13"/>
  <c r="Z67" i="14"/>
  <c r="AD67" i="14"/>
  <c r="AC67" i="14"/>
  <c r="V67" i="14"/>
  <c r="Y67" i="14"/>
  <c r="X67" i="14"/>
  <c r="AA67" i="14"/>
  <c r="U67" i="14"/>
  <c r="T67" i="14"/>
  <c r="AE67" i="14"/>
  <c r="W67" i="14"/>
  <c r="AF67" i="14"/>
  <c r="BB67" i="5"/>
  <c r="BK67" i="5"/>
  <c r="BC67" i="5"/>
  <c r="BG67" i="5"/>
  <c r="BL67" i="5"/>
  <c r="BD67" i="5"/>
  <c r="BH67" i="5"/>
  <c r="BM67" i="5"/>
  <c r="BA67" i="5"/>
  <c r="F69" i="9"/>
  <c r="F46" i="9"/>
  <c r="F55" i="9"/>
  <c r="F53" i="9"/>
  <c r="AM67" i="14"/>
  <c r="AQ67" i="14"/>
  <c r="AV67" i="14"/>
  <c r="AK67" i="14"/>
  <c r="AO67" i="14"/>
  <c r="AT67" i="14"/>
  <c r="F50" i="9"/>
  <c r="F54" i="9"/>
  <c r="F49" i="9"/>
  <c r="F47" i="9"/>
  <c r="F45" i="9"/>
  <c r="F65" i="9"/>
  <c r="F67" i="9"/>
  <c r="F61" i="9"/>
  <c r="F57" i="9"/>
  <c r="F44" i="9"/>
  <c r="F51" i="9"/>
  <c r="F52" i="9"/>
  <c r="F48" i="9"/>
  <c r="AY7" i="13"/>
  <c r="AL67" i="14"/>
  <c r="AP67" i="14"/>
  <c r="AU67" i="14"/>
  <c r="F64" i="9"/>
  <c r="F58" i="9"/>
  <c r="AA67" i="17"/>
  <c r="AL67" i="13"/>
  <c r="AP67" i="13"/>
  <c r="AU67" i="13"/>
  <c r="AJ67" i="14"/>
  <c r="AN67" i="14"/>
  <c r="AS67" i="14"/>
  <c r="F60" i="9"/>
  <c r="F59" i="9"/>
  <c r="F56" i="9"/>
  <c r="F68" i="9"/>
  <c r="F63" i="9"/>
  <c r="F62" i="9"/>
  <c r="F66" i="9"/>
  <c r="AJ5" i="13"/>
  <c r="T5" i="14"/>
  <c r="B3" i="18"/>
  <c r="B27" i="4"/>
  <c r="E27" i="4" s="1"/>
  <c r="E24" i="2" s="1"/>
  <c r="D88" i="4"/>
  <c r="D86" i="4"/>
  <c r="D5" i="14"/>
  <c r="B3" i="14"/>
  <c r="AU67" i="15"/>
  <c r="AE67" i="15"/>
  <c r="AJ67" i="15"/>
  <c r="T67" i="15"/>
  <c r="AN67" i="15"/>
  <c r="AO67" i="15"/>
  <c r="AP67" i="15"/>
  <c r="Y67" i="15"/>
  <c r="X67" i="15"/>
  <c r="W67" i="15"/>
  <c r="AY15" i="15"/>
  <c r="AY19" i="15"/>
  <c r="Z67" i="15"/>
  <c r="V67" i="15"/>
  <c r="AY13" i="15"/>
  <c r="AY21" i="15"/>
  <c r="AY25" i="15"/>
  <c r="AY29" i="15"/>
  <c r="AY33" i="15"/>
  <c r="T67" i="17"/>
  <c r="AY7" i="14"/>
  <c r="AY18" i="15"/>
  <c r="AY22" i="15"/>
  <c r="AY26" i="15"/>
  <c r="AY30" i="15"/>
  <c r="AY19" i="17"/>
  <c r="AY21" i="17"/>
  <c r="AY23" i="17"/>
  <c r="AY25" i="17"/>
  <c r="AY27" i="17"/>
  <c r="AY29" i="17"/>
  <c r="AY31" i="17"/>
  <c r="AY33" i="17"/>
  <c r="AY23" i="15"/>
  <c r="AY27" i="15"/>
  <c r="AY31" i="15"/>
  <c r="AY20" i="15"/>
  <c r="AY24" i="15"/>
  <c r="AY28" i="15"/>
  <c r="AY32" i="15"/>
  <c r="AY8" i="17"/>
  <c r="AY12" i="17"/>
  <c r="AY14" i="17"/>
  <c r="AY16" i="17"/>
  <c r="AY18" i="17"/>
  <c r="AY20" i="17"/>
  <c r="AY22" i="17"/>
  <c r="AY24" i="17"/>
  <c r="AY26" i="17"/>
  <c r="AY28" i="17"/>
  <c r="AY30" i="17"/>
  <c r="AY32" i="17"/>
  <c r="AD67" i="15"/>
  <c r="AC67" i="15"/>
  <c r="AH67" i="15"/>
  <c r="AA67" i="15"/>
  <c r="AY28" i="14"/>
  <c r="AY20" i="14"/>
  <c r="AY12" i="14"/>
  <c r="AY28" i="13"/>
  <c r="AY20" i="13"/>
  <c r="AY12" i="13"/>
  <c r="AY26" i="14"/>
  <c r="AY18" i="14"/>
  <c r="AY10" i="14"/>
  <c r="AY30" i="13"/>
  <c r="AY22" i="13"/>
  <c r="AY14" i="13"/>
  <c r="AL67" i="15"/>
  <c r="AY33" i="13"/>
  <c r="AY25" i="13"/>
  <c r="AY17" i="13"/>
  <c r="AY9" i="13"/>
  <c r="AY27" i="14"/>
  <c r="AY19" i="14"/>
  <c r="AY11" i="14"/>
  <c r="AY31" i="13"/>
  <c r="AY23" i="13"/>
  <c r="AY15" i="13"/>
  <c r="AQ67" i="15"/>
  <c r="AY29" i="14"/>
  <c r="AY21" i="14"/>
  <c r="AY13" i="14"/>
  <c r="U67" i="15"/>
  <c r="AF67" i="15"/>
  <c r="AQ67" i="17"/>
  <c r="AY32" i="14"/>
  <c r="AY24" i="14"/>
  <c r="AY16" i="14"/>
  <c r="AY8" i="14"/>
  <c r="AY32" i="13"/>
  <c r="AY24" i="13"/>
  <c r="AY16" i="13"/>
  <c r="AY8" i="13"/>
  <c r="AY30" i="14"/>
  <c r="AY22" i="14"/>
  <c r="AY14" i="14"/>
  <c r="AY26" i="13"/>
  <c r="AY18" i="13"/>
  <c r="AY10" i="13"/>
  <c r="AS67" i="15"/>
  <c r="AY29" i="13"/>
  <c r="AY21" i="13"/>
  <c r="AY13" i="13"/>
  <c r="AY31" i="14"/>
  <c r="AY23" i="14"/>
  <c r="AY15" i="14"/>
  <c r="AY27" i="13"/>
  <c r="AY19" i="13"/>
  <c r="AY11" i="13"/>
  <c r="AY33" i="14"/>
  <c r="AY25" i="14"/>
  <c r="AY17" i="14"/>
  <c r="AY9" i="14"/>
  <c r="AT67" i="15"/>
  <c r="BF67" i="5"/>
  <c r="BS67" i="5"/>
  <c r="BE67" i="5"/>
  <c r="BJ67" i="5"/>
  <c r="BO67" i="5"/>
  <c r="U67" i="17"/>
  <c r="Y67" i="17"/>
  <c r="AD67" i="17"/>
  <c r="AT67" i="17"/>
  <c r="AV67" i="15"/>
  <c r="AO67" i="17"/>
  <c r="AV67" i="17"/>
  <c r="V67" i="17"/>
  <c r="AL67" i="17"/>
  <c r="AF67" i="17"/>
  <c r="AE67" i="17"/>
  <c r="W67" i="17"/>
  <c r="AM67" i="17"/>
  <c r="Z67" i="17"/>
  <c r="AP67" i="17"/>
  <c r="AC67" i="17"/>
  <c r="AS67" i="17"/>
  <c r="X67" i="17"/>
  <c r="AN67" i="17"/>
  <c r="AJ67" i="17"/>
  <c r="AK67" i="15" l="1"/>
  <c r="AK67" i="17"/>
  <c r="D7" i="5"/>
  <c r="D16" i="5"/>
  <c r="D15" i="5"/>
  <c r="D14" i="5"/>
  <c r="D13" i="5"/>
  <c r="D11" i="5"/>
  <c r="D12" i="5"/>
  <c r="D8" i="5"/>
  <c r="D17" i="5"/>
  <c r="D10" i="5"/>
  <c r="D9" i="5"/>
  <c r="D18" i="5"/>
  <c r="D40" i="4"/>
  <c r="J30" i="34" s="1"/>
  <c r="D90" i="4"/>
  <c r="C18" i="2" s="1"/>
  <c r="L17" i="2" s="1"/>
  <c r="E17" i="2"/>
  <c r="I30" i="35"/>
  <c r="I30" i="34"/>
  <c r="E26" i="2"/>
  <c r="E16" i="2" s="1"/>
  <c r="K30" i="2"/>
  <c r="E36" i="2"/>
  <c r="E18" i="2"/>
  <c r="C24" i="2"/>
  <c r="C8" i="9" s="1"/>
  <c r="D5" i="13"/>
  <c r="T5" i="18"/>
  <c r="T5" i="13"/>
  <c r="B6" i="13"/>
  <c r="B6" i="18"/>
  <c r="B6" i="14"/>
  <c r="AK4" i="5"/>
  <c r="D93" i="4"/>
  <c r="C37" i="2"/>
  <c r="D95" i="4"/>
  <c r="D97" i="4"/>
  <c r="D61" i="4"/>
  <c r="D63" i="4" s="1"/>
  <c r="C17" i="2" s="1"/>
  <c r="L16" i="2" s="1"/>
  <c r="AY9" i="18"/>
  <c r="AY10" i="15"/>
  <c r="AY15" i="18"/>
  <c r="AY7" i="18"/>
  <c r="AF67" i="18"/>
  <c r="AC67" i="18"/>
  <c r="U67" i="18"/>
  <c r="AA67" i="18"/>
  <c r="Z67" i="18"/>
  <c r="T67" i="18"/>
  <c r="AD67" i="18"/>
  <c r="W67" i="18"/>
  <c r="V67" i="18"/>
  <c r="Y67" i="18"/>
  <c r="X67" i="18"/>
  <c r="AE67" i="18"/>
  <c r="AM67" i="15"/>
  <c r="AY20" i="18"/>
  <c r="AO67" i="18"/>
  <c r="AN67" i="18"/>
  <c r="CH67" i="5"/>
  <c r="I43" i="9"/>
  <c r="I118" i="9" s="1"/>
  <c r="BP67" i="5"/>
  <c r="F43" i="9"/>
  <c r="F118" i="9" s="1"/>
  <c r="AY25" i="18"/>
  <c r="AY31" i="18"/>
  <c r="AY24" i="18"/>
  <c r="AY32" i="18"/>
  <c r="AY29" i="18"/>
  <c r="AY27" i="18"/>
  <c r="AY22" i="18"/>
  <c r="AY17" i="18"/>
  <c r="AY12" i="18"/>
  <c r="AY26" i="18"/>
  <c r="AY21" i="18"/>
  <c r="AY16" i="18"/>
  <c r="AY14" i="18"/>
  <c r="AQ67" i="18"/>
  <c r="AY18" i="18"/>
  <c r="AY19" i="18"/>
  <c r="AM67" i="18"/>
  <c r="AY33" i="18"/>
  <c r="AY30" i="18"/>
  <c r="AY28" i="18"/>
  <c r="AY23" i="18"/>
  <c r="AY13" i="18"/>
  <c r="D25" i="9"/>
  <c r="F11" i="41" s="1"/>
  <c r="AY11" i="18"/>
  <c r="AY10" i="18"/>
  <c r="AT67" i="18"/>
  <c r="AV67" i="18"/>
  <c r="AP67" i="18"/>
  <c r="AU67" i="18"/>
  <c r="AJ67" i="18"/>
  <c r="AL67" i="18"/>
  <c r="AK67" i="18"/>
  <c r="C24" i="9"/>
  <c r="B26" i="4"/>
  <c r="E26" i="4" s="1"/>
  <c r="J30" i="2" s="1"/>
  <c r="C22" i="9"/>
  <c r="AY8" i="15"/>
  <c r="AY67" i="14"/>
  <c r="C25" i="9"/>
  <c r="AY67" i="13"/>
  <c r="AY7" i="17"/>
  <c r="AU67" i="17"/>
  <c r="D22" i="9"/>
  <c r="F8" i="41" s="1"/>
  <c r="BQ21" i="5" l="1"/>
  <c r="J30" i="35"/>
  <c r="L30" i="2"/>
  <c r="BQ13" i="5"/>
  <c r="BQ17" i="5"/>
  <c r="BQ10" i="5"/>
  <c r="BQ12" i="5"/>
  <c r="C9" i="2"/>
  <c r="C11" i="2" s="1"/>
  <c r="BQ9" i="5"/>
  <c r="I11" i="34"/>
  <c r="K11" i="2"/>
  <c r="BQ43" i="5"/>
  <c r="BQ40" i="5"/>
  <c r="BQ50" i="5"/>
  <c r="BQ38" i="5"/>
  <c r="BQ14" i="5"/>
  <c r="BQ48" i="5"/>
  <c r="BQ51" i="5"/>
  <c r="BQ30" i="5"/>
  <c r="BQ20" i="5"/>
  <c r="BQ36" i="5"/>
  <c r="BQ22" i="5"/>
  <c r="BQ47" i="5"/>
  <c r="BQ53" i="5"/>
  <c r="BQ41" i="5"/>
  <c r="BQ46" i="5"/>
  <c r="BQ26" i="5"/>
  <c r="BQ39" i="5"/>
  <c r="BQ54" i="5"/>
  <c r="BQ7" i="5"/>
  <c r="BQ19" i="5"/>
  <c r="BQ33" i="5"/>
  <c r="BQ45" i="5"/>
  <c r="BQ24" i="5"/>
  <c r="BQ8" i="5"/>
  <c r="BQ16" i="5"/>
  <c r="BQ52" i="5"/>
  <c r="BQ34" i="5"/>
  <c r="BQ37" i="5"/>
  <c r="BQ23" i="5"/>
  <c r="BQ44" i="5"/>
  <c r="BQ18" i="5"/>
  <c r="BQ11" i="5"/>
  <c r="BQ32" i="5"/>
  <c r="BQ15" i="5"/>
  <c r="BQ49" i="5"/>
  <c r="BQ55" i="5"/>
  <c r="BQ25" i="5"/>
  <c r="BQ42" i="5"/>
  <c r="BQ28" i="5"/>
  <c r="H30" i="35"/>
  <c r="H30" i="34"/>
  <c r="C38" i="2"/>
  <c r="J36" i="2"/>
  <c r="E37" i="2"/>
  <c r="D96" i="4"/>
  <c r="J99" i="4"/>
  <c r="C36" i="2"/>
  <c r="B25" i="4"/>
  <c r="E25" i="4" s="1"/>
  <c r="D94" i="4"/>
  <c r="C21" i="9"/>
  <c r="C23" i="2"/>
  <c r="C26" i="2" s="1"/>
  <c r="AY67" i="15"/>
  <c r="E25" i="9"/>
  <c r="D24" i="9"/>
  <c r="D23" i="9"/>
  <c r="F9" i="41" s="1"/>
  <c r="C23" i="9"/>
  <c r="AS67" i="18"/>
  <c r="AY8" i="18"/>
  <c r="E22" i="9"/>
  <c r="AY67" i="17"/>
  <c r="D21" i="9"/>
  <c r="W10" i="42" l="1"/>
  <c r="W11" i="42"/>
  <c r="AY67" i="18"/>
  <c r="K21" i="2"/>
  <c r="K34" i="2" s="1"/>
  <c r="K36" i="2" s="1"/>
  <c r="I21" i="34"/>
  <c r="I34" i="34" s="1"/>
  <c r="I35" i="34" s="1"/>
  <c r="D99" i="4"/>
  <c r="C35" i="2" s="1"/>
  <c r="C39" i="2" s="1"/>
  <c r="X10" i="42"/>
  <c r="L11" i="2"/>
  <c r="X11" i="42"/>
  <c r="C39" i="9"/>
  <c r="F7" i="41"/>
  <c r="D39" i="9"/>
  <c r="C11" i="34"/>
  <c r="C13" i="34" s="1"/>
  <c r="J11" i="34" s="1"/>
  <c r="C11" i="35"/>
  <c r="C13" i="35" s="1"/>
  <c r="J11" i="35" s="1"/>
  <c r="E24" i="9"/>
  <c r="F10" i="41"/>
  <c r="G30" i="35"/>
  <c r="G33" i="35" s="1"/>
  <c r="H35" i="35"/>
  <c r="I30" i="2"/>
  <c r="I36" i="2" s="1"/>
  <c r="G30" i="34"/>
  <c r="H35" i="34"/>
  <c r="E38" i="2"/>
  <c r="E39" i="2" s="1"/>
  <c r="E30" i="2" s="1"/>
  <c r="C11" i="9"/>
  <c r="C10" i="9"/>
  <c r="C16" i="2"/>
  <c r="E23" i="9"/>
  <c r="C38" i="9"/>
  <c r="D38" i="9"/>
  <c r="E21" i="9"/>
  <c r="W26" i="42" l="1"/>
  <c r="X26" i="42" s="1"/>
  <c r="C21" i="43"/>
  <c r="C35" i="43"/>
  <c r="C22" i="43"/>
  <c r="C41" i="43"/>
  <c r="C26" i="43"/>
  <c r="C54" i="43"/>
  <c r="C39" i="43"/>
  <c r="C31" i="43"/>
  <c r="C25" i="43"/>
  <c r="C56" i="43"/>
  <c r="C19" i="43"/>
  <c r="C30" i="43"/>
  <c r="C49" i="43"/>
  <c r="C29" i="43"/>
  <c r="C48" i="43"/>
  <c r="C40" i="43"/>
  <c r="C27" i="43"/>
  <c r="C50" i="43"/>
  <c r="C32" i="43"/>
  <c r="C20" i="43"/>
  <c r="C53" i="43"/>
  <c r="C47" i="43"/>
  <c r="C34" i="43"/>
  <c r="C55" i="43"/>
  <c r="C42" i="43"/>
  <c r="C33" i="43"/>
  <c r="C23" i="43"/>
  <c r="C38" i="43"/>
  <c r="C44" i="43"/>
  <c r="C51" i="43"/>
  <c r="C24" i="43"/>
  <c r="C28" i="43"/>
  <c r="C46" i="43"/>
  <c r="C43" i="43"/>
  <c r="C52" i="43"/>
  <c r="C45" i="43"/>
  <c r="C37" i="43"/>
  <c r="C36" i="43"/>
  <c r="C14" i="43"/>
  <c r="C15" i="43"/>
  <c r="C9" i="43"/>
  <c r="C11" i="43"/>
  <c r="C18" i="43"/>
  <c r="C17" i="43"/>
  <c r="C12" i="43"/>
  <c r="C16" i="43"/>
  <c r="C13" i="43"/>
  <c r="C8" i="43"/>
  <c r="C10" i="43"/>
  <c r="J21" i="34"/>
  <c r="J34" i="34" s="1"/>
  <c r="J35" i="34" s="1"/>
  <c r="I21" i="35"/>
  <c r="I34" i="35" s="1"/>
  <c r="I35" i="35" s="1"/>
  <c r="J21" i="35"/>
  <c r="J34" i="35" s="1"/>
  <c r="J35" i="35" s="1"/>
  <c r="L15" i="2"/>
  <c r="F4" i="42"/>
  <c r="G35" i="35"/>
  <c r="G36" i="35" s="1"/>
  <c r="H32" i="35" s="1"/>
  <c r="H33" i="35" s="1"/>
  <c r="I33" i="2"/>
  <c r="I37" i="2" s="1"/>
  <c r="J32" i="2" s="1"/>
  <c r="G33" i="34"/>
  <c r="G35" i="34"/>
  <c r="E32" i="2"/>
  <c r="E19" i="2" s="1"/>
  <c r="E20" i="2" s="1"/>
  <c r="C30" i="2"/>
  <c r="L18" i="2" s="1"/>
  <c r="D25" i="5"/>
  <c r="D42" i="5"/>
  <c r="D24" i="5"/>
  <c r="D26" i="5"/>
  <c r="D41" i="5"/>
  <c r="D20" i="5"/>
  <c r="D21" i="5"/>
  <c r="D49" i="5"/>
  <c r="D48" i="5"/>
  <c r="D50" i="5"/>
  <c r="D47" i="5"/>
  <c r="D32" i="5"/>
  <c r="D28" i="5"/>
  <c r="D29" i="5"/>
  <c r="D22" i="5"/>
  <c r="D19" i="5"/>
  <c r="D51" i="5"/>
  <c r="D40" i="5"/>
  <c r="D36" i="5"/>
  <c r="D37" i="5"/>
  <c r="D30" i="5"/>
  <c r="D23" i="5"/>
  <c r="D33" i="5"/>
  <c r="D27" i="5"/>
  <c r="D44" i="5"/>
  <c r="D45" i="5"/>
  <c r="D38" i="5"/>
  <c r="D31" i="5"/>
  <c r="D35" i="5"/>
  <c r="D54" i="5"/>
  <c r="D55" i="5"/>
  <c r="D52" i="5"/>
  <c r="D53" i="5"/>
  <c r="D46" i="5"/>
  <c r="D39" i="5"/>
  <c r="D43" i="5"/>
  <c r="D34" i="5"/>
  <c r="H36" i="35" l="1"/>
  <c r="I32" i="35" s="1"/>
  <c r="I33" i="35" s="1"/>
  <c r="I36" i="35" s="1"/>
  <c r="J32" i="35" s="1"/>
  <c r="C19" i="35" s="1"/>
  <c r="C20" i="35" s="1"/>
  <c r="C14" i="35" s="1"/>
  <c r="C15" i="35" s="1"/>
  <c r="D15" i="35" s="1"/>
  <c r="G36" i="34"/>
  <c r="H32" i="34" s="1"/>
  <c r="H33" i="34" s="1"/>
  <c r="H36" i="34" s="1"/>
  <c r="I32" i="34" s="1"/>
  <c r="I33" i="34" s="1"/>
  <c r="I36" i="34" s="1"/>
  <c r="J32" i="34" s="1"/>
  <c r="J33" i="2" l="1"/>
  <c r="J37" i="2" s="1"/>
  <c r="K32" i="2" s="1"/>
  <c r="J33" i="35"/>
  <c r="J36" i="35" s="1"/>
  <c r="C19" i="34"/>
  <c r="C20" i="34" s="1"/>
  <c r="C14" i="34" s="1"/>
  <c r="C15" i="34" s="1"/>
  <c r="D15" i="34" s="1"/>
  <c r="J33" i="34"/>
  <c r="J36" i="34" s="1"/>
  <c r="K33" i="2" l="1"/>
  <c r="K37" i="2" s="1"/>
  <c r="L32" i="2" s="1"/>
  <c r="C29" i="2" s="1"/>
  <c r="C32" i="2" s="1"/>
  <c r="C19" i="2" s="1"/>
  <c r="L33" i="2" l="1"/>
  <c r="C12" i="9"/>
  <c r="C15" i="9" s="1"/>
  <c r="L14" i="2"/>
  <c r="C20" i="2"/>
  <c r="C12" i="2" s="1"/>
  <c r="C13" i="2" s="1"/>
  <c r="D13" i="2" s="1"/>
  <c r="L21" i="2" l="1"/>
  <c r="L34" i="2" s="1"/>
  <c r="L36" i="2" s="1"/>
  <c r="L37" i="2" s="1"/>
  <c r="F31" i="9"/>
  <c r="F26" i="9"/>
  <c r="F28" i="9"/>
  <c r="F29" i="9"/>
  <c r="F30" i="9"/>
  <c r="F27" i="9"/>
  <c r="F32" i="9"/>
  <c r="F34" i="9"/>
  <c r="F33" i="9"/>
  <c r="F25" i="9"/>
  <c r="F23" i="9"/>
  <c r="F21" i="9"/>
  <c r="F22" i="9"/>
  <c r="F24" i="9"/>
</calcChain>
</file>

<file path=xl/comments1.xml><?xml version="1.0" encoding="utf-8"?>
<comments xmlns="http://schemas.openxmlformats.org/spreadsheetml/2006/main">
  <authors>
    <author>Author</author>
  </authors>
  <commentList>
    <comment ref="N38" authorId="0" shapeId="0">
      <text>
        <r>
          <rPr>
            <b/>
            <sz val="9"/>
            <color indexed="81"/>
            <rFont val="Tahoma"/>
            <family val="2"/>
          </rPr>
          <t>United Energy:</t>
        </r>
        <r>
          <rPr>
            <sz val="9"/>
            <color indexed="81"/>
            <rFont val="Tahoma"/>
            <family val="2"/>
          </rPr>
          <t xml:space="preserve">
UPDATED</t>
        </r>
      </text>
    </comment>
    <comment ref="F56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Relates to t-3 year (i.e. 2018/19)
</t>
        </r>
      </text>
    </comment>
    <comment ref="F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STPIS for 2019</t>
        </r>
      </text>
    </comment>
    <comment ref="G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STPIS for 2020 and HY21</t>
        </r>
      </text>
    </comment>
    <comment ref="H65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Reverts to t-2 lag (i.e. 2021/22)
</t>
        </r>
      </text>
    </comment>
    <comment ref="F70" authorId="0" shapeId="0">
      <text>
        <r>
          <rPr>
            <b/>
            <sz val="9"/>
            <color indexed="81"/>
            <rFont val="Tahoma"/>
            <family val="2"/>
          </rPr>
          <t>United Energy:</t>
        </r>
        <r>
          <rPr>
            <sz val="9"/>
            <color indexed="81"/>
            <rFont val="Tahoma"/>
            <family val="2"/>
          </rPr>
          <t xml:space="preserve">
UPDATED: STPIS Banking</t>
        </r>
      </text>
    </comment>
    <comment ref="F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DMIS for 2019</t>
        </r>
      </text>
    </comment>
    <comment ref="G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Including DMIS for 2020 and HY21</t>
        </r>
      </text>
    </comment>
    <comment ref="H110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Reverts to t-2 lag (i.e. 2021/22)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D4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As defined by NER 6.4.3, as specified in NER 6.18.1C(a)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42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Input Tariff Class Name consistent with Tariff Class Names in the Rebalancing control summary above.</t>
        </r>
      </text>
    </comment>
    <comment ref="C42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Input Tariff Class Name consistent with Tariff Class Names in the Rebalancing control summary above.</t>
        </r>
      </text>
    </comment>
  </commentList>
</comments>
</file>

<file path=xl/sharedStrings.xml><?xml version="1.0" encoding="utf-8"?>
<sst xmlns="http://schemas.openxmlformats.org/spreadsheetml/2006/main" count="682" uniqueCount="363">
  <si>
    <t>Year t</t>
  </si>
  <si>
    <t>(forecast)</t>
  </si>
  <si>
    <t>(A) Revenue from DUoS charges</t>
  </si>
  <si>
    <t>Opening balance</t>
  </si>
  <si>
    <t>Under/over recovery of revenue for regulatory year</t>
  </si>
  <si>
    <t xml:space="preserve">Tariff Approval Template for </t>
  </si>
  <si>
    <t>t</t>
  </si>
  <si>
    <t>=</t>
  </si>
  <si>
    <t>t-1</t>
  </si>
  <si>
    <t>t-2</t>
  </si>
  <si>
    <t>t-3</t>
  </si>
  <si>
    <t>CPI</t>
  </si>
  <si>
    <t>Jemena</t>
  </si>
  <si>
    <t>CitiPower</t>
  </si>
  <si>
    <t>Powercor</t>
  </si>
  <si>
    <t>United Energy</t>
  </si>
  <si>
    <t>F factor Scheme</t>
  </si>
  <si>
    <t>AusNet Services</t>
  </si>
  <si>
    <t>Table 1- Compliance with AER Final Determination Total Annual Revenue</t>
  </si>
  <si>
    <t>B factor for year t</t>
  </si>
  <si>
    <t>CPI for period t</t>
  </si>
  <si>
    <t>X factor for period t</t>
  </si>
  <si>
    <t>Table 3 -  Adjusted Annual Revenue for year t (AARt)</t>
  </si>
  <si>
    <t>Table 2 - Total Annual Revenue for year t (TARt)</t>
  </si>
  <si>
    <t>Revenue from DUoS charges for year t</t>
  </si>
  <si>
    <t>Total Annual Revenue for year t</t>
  </si>
  <si>
    <t>Adjusted Annual Smoothed Revenue for year t</t>
  </si>
  <si>
    <t>Adjusted Annual Smoothed Revenue for year t-1</t>
  </si>
  <si>
    <t>Total</t>
  </si>
  <si>
    <t>License Fee Recovery Amount for year t</t>
  </si>
  <si>
    <t>t-4</t>
  </si>
  <si>
    <t>Proposed tariff</t>
  </si>
  <si>
    <t>Existing tariff</t>
  </si>
  <si>
    <t>PropRev
Total</t>
  </si>
  <si>
    <t>ExistRev
Total</t>
  </si>
  <si>
    <t>CPI Index June 2019</t>
  </si>
  <si>
    <t>CPI Index June 2018</t>
  </si>
  <si>
    <t>CPI Index June 2017</t>
  </si>
  <si>
    <t>CPI Index June 2016</t>
  </si>
  <si>
    <t>CPI 2018</t>
  </si>
  <si>
    <t>CPI 2019</t>
  </si>
  <si>
    <t>CPI 2020</t>
  </si>
  <si>
    <t>Distribution tariff rebalancing control</t>
  </si>
  <si>
    <t>Rebalancing control summary</t>
  </si>
  <si>
    <t>Tariff Class (Input Class Name)</t>
  </si>
  <si>
    <t>Existing ($)</t>
  </si>
  <si>
    <t>Proposed ($)</t>
  </si>
  <si>
    <t>Movement</t>
  </si>
  <si>
    <t>Check Total</t>
  </si>
  <si>
    <t>New Tariff Test</t>
  </si>
  <si>
    <t>Destination tariff class</t>
  </si>
  <si>
    <t>Source tariff class</t>
  </si>
  <si>
    <t>+ Adjusted annual smoothed revenue</t>
  </si>
  <si>
    <t>Year t-2</t>
  </si>
  <si>
    <t>Year (t)</t>
  </si>
  <si>
    <t>Calendar year</t>
  </si>
  <si>
    <t xml:space="preserve"> DUoS</t>
  </si>
  <si>
    <t>Table 3 - Transmission charges for year t</t>
  </si>
  <si>
    <t>Table 2 - Total DPPC related payments for year t</t>
  </si>
  <si>
    <t>Transmission charges for year t</t>
  </si>
  <si>
    <t>(B) Less Total DPPC related payments =</t>
  </si>
  <si>
    <t>Table 4 - DPPC Recovery Arrangements</t>
  </si>
  <si>
    <t>Table 5 - DPPC Unders and Overs Account</t>
  </si>
  <si>
    <t>Total DPPC related payments for year t</t>
  </si>
  <si>
    <t>Table 1- Compliance with DPPC Revenue Formula</t>
  </si>
  <si>
    <t>Table 1- Compliance with JSA Revenue Formula</t>
  </si>
  <si>
    <t>Total JSA related payments for year t</t>
  </si>
  <si>
    <t>Table 2 - Total JSA related payments for year t</t>
  </si>
  <si>
    <t>Table 4 - JSA Recovery Arrangements</t>
  </si>
  <si>
    <t>(B) Less Total JSA related payments =</t>
  </si>
  <si>
    <t>Table 5 - JSA Unders and Overs Account</t>
  </si>
  <si>
    <t>DuoS</t>
  </si>
  <si>
    <t>(t-1)</t>
  </si>
  <si>
    <t>(t-2)</t>
  </si>
  <si>
    <t>Pass through Amounts</t>
  </si>
  <si>
    <t>Closing balance of DPPC overs/ (unders) account</t>
  </si>
  <si>
    <t>Closing balance of JSA overs/ (unders) account</t>
  </si>
  <si>
    <t>(t)</t>
  </si>
  <si>
    <t>Real Vanilla WACC (rvw)</t>
  </si>
  <si>
    <t>Table 4- B factor for year t</t>
  </si>
  <si>
    <t>(estimate)</t>
  </si>
  <si>
    <t>Interest on under/over recovery for regulatory year</t>
  </si>
  <si>
    <t>Year t-1</t>
  </si>
  <si>
    <t>Nominal WACC</t>
  </si>
  <si>
    <t>Interest on Opening balance</t>
  </si>
  <si>
    <t>DMIA Carryover adjustment</t>
  </si>
  <si>
    <t>Materiality threshold</t>
  </si>
  <si>
    <t>TSS name</t>
  </si>
  <si>
    <t>Proposal name</t>
  </si>
  <si>
    <t>Explanation required?</t>
  </si>
  <si>
    <t>financial year ending</t>
  </si>
  <si>
    <t>CPI Index December 2020</t>
  </si>
  <si>
    <t>CPI Index December 2021</t>
  </si>
  <si>
    <t>CPI Index December 2022</t>
  </si>
  <si>
    <t>CPI Index December 2023</t>
  </si>
  <si>
    <t>CPI Index December 2024</t>
  </si>
  <si>
    <t>(t-3)</t>
  </si>
  <si>
    <t>CPI HY21</t>
  </si>
  <si>
    <t>CPI Index used changes for transition from calendar years to financial years</t>
  </si>
  <si>
    <t>CPI Index December 2019</t>
  </si>
  <si>
    <t>CPI measured as December t-2 to December t-1 for year t in 2021–26 determination (t is financial year), e.g. December 2019 (2019/20) - December 2020 (2020/21) for year 2021/22</t>
  </si>
  <si>
    <t>CPI measured as June t-2 to June t-1 for year t in 2016–20 determination (t is calendar year), e.g. June 2018 - June 2019 for year 2020</t>
  </si>
  <si>
    <t>In HY21, CPI index covers the gap between June 2019 and December 2019 to ensure a continuous index. This CPI index is used for calculating the adjusted nominal WACC for the HY21 unders/overs calcualtions, and differs from CPI used to escalate relevant price-capped services in the HY21 pricing proposals (as those CPI indexations were a whole year for escalation of prices from one year to the next).</t>
  </si>
  <si>
    <t>2022/23</t>
  </si>
  <si>
    <t>2021/22</t>
  </si>
  <si>
    <t>2023/24</t>
  </si>
  <si>
    <t>2024/25</t>
  </si>
  <si>
    <t>2025/26</t>
  </si>
  <si>
    <t>CPI 2021/22</t>
  </si>
  <si>
    <t>CPI 2022/23</t>
  </si>
  <si>
    <t>CPI 2023/24</t>
  </si>
  <si>
    <t>CPI 2024/25</t>
  </si>
  <si>
    <t>CPI 2025/26</t>
  </si>
  <si>
    <t>HY21</t>
  </si>
  <si>
    <t>S-factor scheme applied on two year lag, i.e. s-factor for 2019/20 will be applied in 2021/22</t>
  </si>
  <si>
    <t>License fees applied on two year lag, i.e. license fee for 2019/20 will be applied in 2021/22</t>
  </si>
  <si>
    <t>DuoS adjustments</t>
  </si>
  <si>
    <t>Initial year</t>
  </si>
  <si>
    <t>Actual revenues being trued up should reflect values in annual reporting RINs, or else auditing requirements apply.</t>
  </si>
  <si>
    <t>t-3 will apply in the 2021/22 and 2022/23 pricing proposals</t>
  </si>
  <si>
    <t xml:space="preserve">Estimated revenues for t-1 year should reflect best estimates of the current year revenues. </t>
  </si>
  <si>
    <t>The t-2 year in the 2021/22 pricing proposal (reflecting the 2020 year) should be actual revenues recovered in 2020 where known, otherwise best estimates.</t>
  </si>
  <si>
    <t>Allowed revenues</t>
  </si>
  <si>
    <t>Fixed charges</t>
  </si>
  <si>
    <t>Consumption charges</t>
  </si>
  <si>
    <t>Demand charges</t>
  </si>
  <si>
    <t>Fixed</t>
  </si>
  <si>
    <t>PkBlk1</t>
  </si>
  <si>
    <t>PkBlk2</t>
  </si>
  <si>
    <t>PkBlk3</t>
  </si>
  <si>
    <t>PkBlk4</t>
  </si>
  <si>
    <t>OPkBlk1</t>
  </si>
  <si>
    <t>OPkBlk2</t>
  </si>
  <si>
    <t>OPkBlk3</t>
  </si>
  <si>
    <t>OPkBlk4</t>
  </si>
  <si>
    <t>DemBlk1</t>
  </si>
  <si>
    <t>DemBlk2</t>
  </si>
  <si>
    <t>DemBlk3</t>
  </si>
  <si>
    <t>DemBlk4</t>
  </si>
  <si>
    <t>Total consumption</t>
  </si>
  <si>
    <t>Side constraints</t>
  </si>
  <si>
    <t>t-1 DUOS</t>
  </si>
  <si>
    <t>t-1 TUOS</t>
  </si>
  <si>
    <t>t-1 JUOS</t>
  </si>
  <si>
    <t>I factor for year t</t>
  </si>
  <si>
    <t>C factor for year t</t>
  </si>
  <si>
    <t>H factor (CSIS)</t>
  </si>
  <si>
    <t>S factor (STPIS)</t>
  </si>
  <si>
    <t>DUOS AAR (for t-1 values)</t>
  </si>
  <si>
    <t>2019/20</t>
  </si>
  <si>
    <t>2020/21</t>
  </si>
  <si>
    <t>L (t-2)</t>
  </si>
  <si>
    <t>Nominal WACC (t)</t>
  </si>
  <si>
    <t>Nominal WACC (t-1)</t>
  </si>
  <si>
    <t>Nominal WACC (t-2)</t>
  </si>
  <si>
    <t>DUOS over/unders adjustment (for t-1 values)</t>
  </si>
  <si>
    <t>+ I factor</t>
  </si>
  <si>
    <t>L factor for year t</t>
  </si>
  <si>
    <t>Table 5 - L factor for year t</t>
  </si>
  <si>
    <t>Distribution (TAR for U/O)</t>
  </si>
  <si>
    <t>COVID-19 adjustment</t>
  </si>
  <si>
    <t>+ (B factor - under/over recovery adjustment)</t>
  </si>
  <si>
    <t>+ C factor</t>
  </si>
  <si>
    <t>DMIS adjustment</t>
  </si>
  <si>
    <t>Designated pricing proposal charges (DPPC)</t>
  </si>
  <si>
    <t>Table 6 - Distribtion Recovery Arrangements</t>
  </si>
  <si>
    <t>Table 7 - Distribution Unders and Overs Account</t>
  </si>
  <si>
    <t>Total transmission charges for year t</t>
  </si>
  <si>
    <t>AEMO</t>
  </si>
  <si>
    <t>Transmission connection</t>
  </si>
  <si>
    <t>Embedded generators</t>
  </si>
  <si>
    <t>Inter-network (deducted from other charges)</t>
  </si>
  <si>
    <t>The DNSP is expected to achieve a closing balance as close to (but not less than) zero as practicable in its DUoS unders and overs account in each forecast year (t).</t>
  </si>
  <si>
    <t xml:space="preserve">(B) Less TAR for regulatory year = </t>
  </si>
  <si>
    <t>Closing balance of DUoS overs/ (unders) account</t>
  </si>
  <si>
    <t>The DNSP is expected to achieve a closing balance as close to (but not less than) zero as practicable in its DPPC unders and overs account in each forecast year (t).</t>
  </si>
  <si>
    <t>Jurisdictional Scheme Amounts (JSA)</t>
  </si>
  <si>
    <t>Revenue from JUoS charges for year t</t>
  </si>
  <si>
    <t>Revenue from TUoS charges for year t</t>
  </si>
  <si>
    <t>FiT charges for year t</t>
  </si>
  <si>
    <t>Table 3 - FiT charges for year t</t>
  </si>
  <si>
    <t>PFiT charges</t>
  </si>
  <si>
    <t>TFiT charges</t>
  </si>
  <si>
    <t>Total FiT charges for year t</t>
  </si>
  <si>
    <t>The DNSP is expected to achieve a closing balance as close to (but not less than) zero as practicable in its JSA unders and overs account in each forecast year (t).</t>
  </si>
  <si>
    <t>(A) Revenue from TUoS charges</t>
  </si>
  <si>
    <t>(A) Revenue from JUoS charges</t>
  </si>
  <si>
    <t>DPPC</t>
  </si>
  <si>
    <t>JSA</t>
  </si>
  <si>
    <t>Prop TUOS</t>
  </si>
  <si>
    <t>Prop JUOS</t>
  </si>
  <si>
    <t>Prop DUOS</t>
  </si>
  <si>
    <t>Dist.</t>
  </si>
  <si>
    <t>Indicative t</t>
  </si>
  <si>
    <t>Indicative t+1</t>
  </si>
  <si>
    <t>Compliant?</t>
  </si>
  <si>
    <t>TAR should be as per approved pricing proposal for that year, unless otherwise advised by AER.</t>
  </si>
  <si>
    <t>Actual revenues and charges being trued up should reflect values in annual reporting RINs, or else auditing requirements apply.</t>
  </si>
  <si>
    <t xml:space="preserve">Estimated revenues and charges for t-1 year should reflect best estimates of the current year revenues. </t>
  </si>
  <si>
    <t>The t-2 year in the 2021/22 pricing proposal (reflecting the 2020 year) should be actual revenues recovered and charges incurred in 2020 where known, otherwise best estimates.</t>
  </si>
  <si>
    <t>Pricing Tariff Approval Model</t>
  </si>
  <si>
    <t>Electricity Distribution Network Service Provider</t>
  </si>
  <si>
    <t>For 2021–26 regulatory control period</t>
  </si>
  <si>
    <t>Forecast quantities for (t)</t>
  </si>
  <si>
    <t>Proposed tariff prices for (t)</t>
  </si>
  <si>
    <t>Estimated quantities for (t-1)</t>
  </si>
  <si>
    <t>Estimated revenue for (t-2) in relevant transition years</t>
  </si>
  <si>
    <t>'Dist.'</t>
  </si>
  <si>
    <t>'Side constraints'</t>
  </si>
  <si>
    <t>Tariff class names and categorisation for each tariff</t>
  </si>
  <si>
    <t>'Prop DUOS'</t>
  </si>
  <si>
    <t>Proposed tariff names for (t)</t>
  </si>
  <si>
    <t>Tariff charging component names</t>
  </si>
  <si>
    <t>'t-1 DUOS'</t>
  </si>
  <si>
    <t>'DPPC'</t>
  </si>
  <si>
    <t>Forecast designated pricing proposal charges for (t)</t>
  </si>
  <si>
    <t>Estimated designated pricing proposal charges for (t-1) (and (t-2) in relevant transition years)</t>
  </si>
  <si>
    <t>'Prop TUOS'</t>
  </si>
  <si>
    <t>'JSA'</t>
  </si>
  <si>
    <t>'Prop JUOS'</t>
  </si>
  <si>
    <t>Forecast FiT charges for (t)</t>
  </si>
  <si>
    <t>Estimated FiT charges for (t-1) (and (t-2) in relevant transition years)</t>
  </si>
  <si>
    <t>'Indicative t'</t>
  </si>
  <si>
    <t>Any explanations as required for material differences from indicative tariffs</t>
  </si>
  <si>
    <t>'Input'</t>
  </si>
  <si>
    <t>Actual revenue from RINs for (t-2) (and (t-3) in relevant transition years)</t>
  </si>
  <si>
    <t>Existing tariff names from previous proposal</t>
  </si>
  <si>
    <t>Opening unders/overs account balance from previous proposal</t>
  </si>
  <si>
    <t>Approved prices for (t-1)</t>
  </si>
  <si>
    <t>Actual charges from RINs for (t-2) (and (t-3) in relevant transition years)</t>
  </si>
  <si>
    <t>'t-1 TUOS'</t>
  </si>
  <si>
    <t>'t-1 JUOS'</t>
  </si>
  <si>
    <t>Indicative tariffs for (t) from previous proposal</t>
  </si>
  <si>
    <t>All inputs required for escalation of prices or revenue caps, as well as business name and year</t>
  </si>
  <si>
    <t>NB - the AER may input placeholder information in the above inputs, or retain inputs from previous year proposal when providing template to business each year</t>
  </si>
  <si>
    <t>VERSION RECORD</t>
  </si>
  <si>
    <t>Version</t>
  </si>
  <si>
    <t>Date</t>
  </si>
  <si>
    <t>Description</t>
  </si>
  <si>
    <t>Initial model for 2021–26, based on previous model used for 2015–20 period</t>
  </si>
  <si>
    <t>Incorporated t-3 period to unders and overs for transition</t>
  </si>
  <si>
    <t>Moved some general/basic inputs to input page from revenue compliance pages</t>
  </si>
  <si>
    <t>Updated to reflect 2021–26 determination (incentive schemes, COVID-19 adjustment, licence fees, etc.)</t>
  </si>
  <si>
    <t>Linked tariff pages to 'Prop DUOS' sheet to reduce errors</t>
  </si>
  <si>
    <t>Set tariff component sections (demand, consumption) to reduce inconsistencies across businesses</t>
  </si>
  <si>
    <t>Removed DPPC cost breakdown sheet</t>
  </si>
  <si>
    <t>Removed side constraints in year 1</t>
  </si>
  <si>
    <t>Charging parameters</t>
  </si>
  <si>
    <t>cents</t>
  </si>
  <si>
    <t>day</t>
  </si>
  <si>
    <t>year</t>
  </si>
  <si>
    <t>$</t>
  </si>
  <si>
    <t>Days in year</t>
  </si>
  <si>
    <t>Added mechanism to allow prices in multiple formats (e.g. cents/day, $/year, etc.)</t>
  </si>
  <si>
    <t>kWh</t>
  </si>
  <si>
    <t>month</t>
  </si>
  <si>
    <t>kW</t>
  </si>
  <si>
    <t>kVA</t>
  </si>
  <si>
    <t>Format of charges (cents/year, day/month/year) - NB revenue calculations depend on this selection - quantities do not need to be adjusted</t>
  </si>
  <si>
    <t>Tariff class</t>
  </si>
  <si>
    <t>Revenue ($000s)</t>
  </si>
  <si>
    <t>Standalone costs ($000s)</t>
  </si>
  <si>
    <t>Avoidable costs ($000s)</t>
  </si>
  <si>
    <t>Indicative tariffs for the remaining years of the regulatory period</t>
  </si>
  <si>
    <t>'Indicative t+1...'</t>
  </si>
  <si>
    <t>%</t>
  </si>
  <si>
    <t>Tariff name</t>
  </si>
  <si>
    <t>Distribution</t>
  </si>
  <si>
    <t>Individual threshold</t>
  </si>
  <si>
    <t>Cumulative threshold</t>
  </si>
  <si>
    <t>Component 2</t>
  </si>
  <si>
    <t>Component 1</t>
  </si>
  <si>
    <t>Component 3</t>
  </si>
  <si>
    <t>Component 4</t>
  </si>
  <si>
    <t>Revenue from TSS tariffs</t>
  </si>
  <si>
    <t>Revenue from trial tariffs</t>
  </si>
  <si>
    <t>'SA v A costs'</t>
  </si>
  <si>
    <t>Standalone and avoidable costs for each tariff class</t>
  </si>
  <si>
    <t>'Trial tariffs'</t>
  </si>
  <si>
    <t>Added SA v A costs to model</t>
  </si>
  <si>
    <t>Added trial tariffs to model</t>
  </si>
  <si>
    <t>Tariffs, tariff classes, prices, quantities, and revenues for each trial tariff (t-1)</t>
  </si>
  <si>
    <t>Distribution prices (t-1)</t>
  </si>
  <si>
    <t>DPPC prices (t-1)</t>
  </si>
  <si>
    <t>JSA prices (t-1)</t>
  </si>
  <si>
    <t>Quantities (t-1)</t>
  </si>
  <si>
    <t>Revenue for side constraints, measured as p(t-1)*q(t)</t>
  </si>
  <si>
    <t>Estimated Revenue for side constraints p(t-1)*q(t)</t>
  </si>
  <si>
    <t xml:space="preserve">Please enter tariff , tariff class, and total revenues for each trial tariff below. </t>
  </si>
  <si>
    <t>Trial tariffs</t>
  </si>
  <si>
    <t>DemBlk5</t>
  </si>
  <si>
    <t>Tariffs, tariff classes, and revenues for each trial tariff (t)</t>
  </si>
  <si>
    <t>Table 1 - Forecast trial tariffs, side constraints</t>
  </si>
  <si>
    <t>Table 2 - Previous year trial tariffs</t>
  </si>
  <si>
    <t>ESV levy</t>
  </si>
  <si>
    <t>ESC-V License Fees</t>
  </si>
  <si>
    <t>Dist. %</t>
  </si>
  <si>
    <t>The above standalone and avoidable costs bounds should be supported by a model detailing calculations</t>
  </si>
  <si>
    <t>Please provide estimated revenue p(t-1)*q(t) for the purpose of side constraints as instructed by AER.</t>
  </si>
  <si>
    <t>Please enter details for trial tariffs from previous year where applicable</t>
  </si>
  <si>
    <t>COVID-19 adjustment (CitiPower only)</t>
  </si>
  <si>
    <t>P factor (COVID-19 smoothing adjustment for CitiPower only)</t>
  </si>
  <si>
    <t>(C) Revenue deliberately under-recovered in year</t>
  </si>
  <si>
    <t>(A minus B plus C) Under/over recovery of revenue for regulatory year</t>
  </si>
  <si>
    <t>DPPC revenue under/over recovery adjustment</t>
  </si>
  <si>
    <t>DUoS revenue under/over recovery adjustment</t>
  </si>
  <si>
    <t>JSA revenue under/over recovery adjustment</t>
  </si>
  <si>
    <t>Revenues deliberately under-recovered in each year</t>
  </si>
  <si>
    <t>May 2021</t>
  </si>
  <si>
    <t>The AER is required to update (cells highlighted in this colour throughout model):</t>
  </si>
  <si>
    <t>The business is required to update (cells highlighted in this colour throughout model):</t>
  </si>
  <si>
    <t>JSA charges</t>
  </si>
  <si>
    <t>DPPC charges</t>
  </si>
  <si>
    <t>Distribution charges</t>
  </si>
  <si>
    <t>Network charges</t>
  </si>
  <si>
    <t>Forecast 21–26</t>
  </si>
  <si>
    <t>TO BE INPUT IN 2021/22 TO BALANCE UNDERS/OVERS ACCOUNT</t>
  </si>
  <si>
    <t>WACC true-up</t>
  </si>
  <si>
    <t>OPkBlk5</t>
  </si>
  <si>
    <t>Low voltage small 1 rate</t>
  </si>
  <si>
    <t>Winter economy tariff</t>
  </si>
  <si>
    <t>Low voltage small 2 rate</t>
  </si>
  <si>
    <t>Dedicated circuit</t>
  </si>
  <si>
    <t>Low voltage medium 1 rate</t>
  </si>
  <si>
    <t>Low voltage medium 2 rate 5 day</t>
  </si>
  <si>
    <t>Low voltage medium 2 rate 7 day</t>
  </si>
  <si>
    <t>Unmetered supplies</t>
  </si>
  <si>
    <t>Low voltage large 1 rate</t>
  </si>
  <si>
    <t>Low voltage large 2 rate</t>
  </si>
  <si>
    <t>Low voltage KW time of use</t>
  </si>
  <si>
    <t>Low voltage KW time of use - HOT</t>
  </si>
  <si>
    <t>Low voltage large KVA time of use</t>
  </si>
  <si>
    <t>High voltage KVA time of use</t>
  </si>
  <si>
    <t>Subtransmission KVA time of use</t>
  </si>
  <si>
    <t>TOD</t>
  </si>
  <si>
    <t>TOD9</t>
  </si>
  <si>
    <t>TOU</t>
  </si>
  <si>
    <t>TODFLEX</t>
  </si>
  <si>
    <t>Low Voltage KW 1 rate</t>
  </si>
  <si>
    <t>Low voltage medium KW time of use (opt-in)</t>
  </si>
  <si>
    <t>Low voltage medium KW 1 rate (mandatory)</t>
  </si>
  <si>
    <t>Residential Single Rate</t>
  </si>
  <si>
    <t>Residential Demand</t>
  </si>
  <si>
    <t>High voltage</t>
  </si>
  <si>
    <t>Subtransmission</t>
  </si>
  <si>
    <t>Large low Voltage</t>
  </si>
  <si>
    <t>Small Business Demand</t>
  </si>
  <si>
    <t>Small Business ToU</t>
  </si>
  <si>
    <t>Small Business Single Rate</t>
  </si>
  <si>
    <t>Low voltage medium KW 1 rate</t>
  </si>
  <si>
    <t>Residential ToU</t>
  </si>
  <si>
    <t>Residential</t>
  </si>
  <si>
    <t>Small and medium business</t>
  </si>
  <si>
    <t>Large low voltage</t>
  </si>
  <si>
    <t>High Voltage</t>
  </si>
  <si>
    <t>Days in H1 2021</t>
  </si>
  <si>
    <t>Quantities adjusted for UOM change (i.e. divided by number of days in period)</t>
  </si>
  <si>
    <t>Formulae adjusted for number of days in period</t>
  </si>
  <si>
    <t>Electric vehicle critical peak tariff</t>
  </si>
  <si>
    <t>Pole-mounted battery tariff</t>
  </si>
  <si>
    <t>Small business</t>
  </si>
  <si>
    <t>Default TOU tariff with solar sponge no charge for 10am-3pm, peak charge 3pm-9pm, and $5/kWh critical peak charge 4pm-8pm called on up to 10 days</t>
  </si>
  <si>
    <t>Zero network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</si>
</sst>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6" formatCode="&quot;$&quot;#,##0;[Red]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0.000000%"/>
    <numFmt numFmtId="166" formatCode="&quot;$&quot;#,##0;[Red]&quot;$&quot;#,##0"/>
    <numFmt numFmtId="167" formatCode="&quot;$&quot;#,##0.00;[Red]&quot;$&quot;#,##0.00"/>
    <numFmt numFmtId="168" formatCode="_-* #,##0_-;\-* #,##0_-;_-* &quot;-&quot;??_-;_-@_-"/>
    <numFmt numFmtId="169" formatCode="0.000"/>
    <numFmt numFmtId="170" formatCode="#,##0.000"/>
    <numFmt numFmtId="171" formatCode="_(* #,##0.00_);_(* \(#,##0.00\);_(* &quot;-&quot;??_);_(@_)"/>
    <numFmt numFmtId="172" formatCode="_-* #,##0.000_-;\-* #,##0.000_-;_-* &quot;-&quot;??_-;_-@_-"/>
    <numFmt numFmtId="173" formatCode="_-* #,##0.0000_-;\-* #,##0.0000_-;_-* &quot;-&quot;??_-;_-@_-"/>
    <numFmt numFmtId="174" formatCode="0.0%"/>
    <numFmt numFmtId="175" formatCode="0.0000%"/>
    <numFmt numFmtId="176" formatCode="0.000%"/>
    <numFmt numFmtId="177" formatCode="_(#,##0_);\(#,##0\);_(&quot;-&quot;_)"/>
    <numFmt numFmtId="178" formatCode="0.000000000000000000%"/>
    <numFmt numFmtId="179" formatCode="#,##0_ ;\-#,##0\ "/>
    <numFmt numFmtId="180" formatCode="_([$€-2]* #,##0.00_);_([$€-2]* \(#,##0.00\);_([$€-2]* &quot;-&quot;??_)"/>
    <numFmt numFmtId="181" formatCode="_(* #,##0.0_);_(* \(#,##0.0\);_(* &quot;-&quot;?_);_(@_)"/>
    <numFmt numFmtId="182" formatCode="_(* #,##0_);_(* \(#,##0\);_(* &quot;-&quot;?_);_(@_)"/>
    <numFmt numFmtId="183" formatCode="_-* #,##0.00_-;[Red]\(#,##0.00\)_-;_-* &quot;-&quot;??_-;_-@_-"/>
    <numFmt numFmtId="184" formatCode="mm/dd/yy"/>
    <numFmt numFmtId="185" formatCode="0_);[Red]\(0\)"/>
    <numFmt numFmtId="186" formatCode="#,##0.0_);\(#,##0.0\)"/>
    <numFmt numFmtId="187" formatCode="#,##0;[Red]\(#,##0.0\)"/>
    <numFmt numFmtId="188" formatCode="#,##0_ ;[Red]\(#,##0\)\ "/>
    <numFmt numFmtId="189" formatCode="#,##0.00;\(#,##0.00\)"/>
    <numFmt numFmtId="190" formatCode="_)d\-mmm\-yy_)"/>
    <numFmt numFmtId="191" formatCode="_(#,##0.0_);\(#,##0.0\);_(&quot;-&quot;_)"/>
    <numFmt numFmtId="192" formatCode="_(###0_);\(###0\);_(###0_)"/>
    <numFmt numFmtId="193" formatCode="#,##0.0000_);[Red]\(#,##0.0000\)"/>
    <numFmt numFmtId="194" formatCode="#,##0.000_ ;[Red]\-#,##0.000\ "/>
    <numFmt numFmtId="195" formatCode="_-* #,##0.0%_-;\-* #,##0.0%_-;_-* &quot;-&quot;??_-;_-@_-"/>
  </numFmts>
  <fonts count="11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name val="Verdan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1"/>
      <color indexed="12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1"/>
      <color indexed="17"/>
      <name val="Arial"/>
      <family val="2"/>
    </font>
    <font>
      <b/>
      <sz val="11"/>
      <color indexed="8"/>
      <name val="Arial"/>
      <family val="2"/>
    </font>
    <font>
      <b/>
      <i/>
      <sz val="11"/>
      <color indexed="12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rgb="FF0000FF"/>
      <name val="Arial"/>
      <family val="2"/>
    </font>
    <font>
      <b/>
      <sz val="12"/>
      <color theme="1"/>
      <name val="Arial"/>
      <family val="2"/>
    </font>
    <font>
      <b/>
      <i/>
      <sz val="14"/>
      <name val="Arial"/>
      <family val="2"/>
    </font>
    <font>
      <b/>
      <u/>
      <sz val="11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u/>
      <sz val="1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rgb="FF0000FF"/>
      <name val="Verdana"/>
      <family val="2"/>
    </font>
    <font>
      <b/>
      <sz val="11"/>
      <color rgb="FFFF0000"/>
      <name val="Arial"/>
      <family val="2"/>
    </font>
    <font>
      <sz val="9"/>
      <name val="Verdana"/>
      <family val="2"/>
    </font>
    <font>
      <sz val="11"/>
      <color theme="0"/>
      <name val="Arial"/>
      <family val="2"/>
    </font>
    <font>
      <sz val="10"/>
      <color theme="0" tint="-0.249977111117893"/>
      <name val="Arial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b/>
      <sz val="36"/>
      <color theme="1"/>
      <name val="Arial"/>
      <family val="2"/>
    </font>
    <font>
      <b/>
      <sz val="48"/>
      <color theme="1"/>
      <name val="Arial"/>
      <family val="2"/>
    </font>
    <font>
      <sz val="48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0"/>
      <color theme="0"/>
      <name val="Verdana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color theme="0"/>
      <name val="Calibri"/>
      <family val="2"/>
      <scheme val="minor"/>
    </font>
    <font>
      <b/>
      <sz val="9"/>
      <name val="Arial"/>
      <family val="2"/>
    </font>
    <font>
      <b/>
      <sz val="12"/>
      <color theme="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Arial"/>
      <family val="2"/>
    </font>
    <font>
      <sz val="10"/>
      <name val="Helv"/>
      <charset val="204"/>
    </font>
    <font>
      <sz val="14"/>
      <name val="System"/>
      <family val="2"/>
    </font>
    <font>
      <u/>
      <sz val="11"/>
      <color theme="10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sz val="10"/>
      <name val="MS Sans Serif"/>
      <family val="2"/>
    </font>
    <font>
      <sz val="10"/>
      <color indexed="24"/>
      <name val="Arial"/>
      <family val="2"/>
    </font>
    <font>
      <sz val="9"/>
      <name val="GillSans"/>
      <family val="2"/>
    </font>
    <font>
      <sz val="9"/>
      <name val="GillSans Light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2"/>
      <color indexed="14"/>
      <name val="Arial"/>
      <family val="2"/>
    </font>
    <font>
      <sz val="8"/>
      <name val="Palatino"/>
      <family val="1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9"/>
      <name val="Arial"/>
      <family val="2"/>
    </font>
    <font>
      <sz val="10"/>
      <color theme="1"/>
      <name val="Verdana"/>
      <family val="2"/>
    </font>
    <font>
      <u/>
      <sz val="10"/>
      <color indexed="12"/>
      <name val="MS Sans Serif"/>
      <family val="2"/>
    </font>
    <font>
      <sz val="9"/>
      <color indexed="21"/>
      <name val="Helvetica-Black"/>
      <family val="2"/>
    </font>
    <font>
      <sz val="11"/>
      <name val="Helvetica-Black"/>
      <family val="2"/>
    </font>
    <font>
      <sz val="10"/>
      <color rgb="FFFF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44"/>
      </patternFill>
    </fill>
    <fill>
      <patternFill patternType="solid">
        <fgColor rgb="FFFDE9D9"/>
        <bgColor indexed="64"/>
      </patternFill>
    </fill>
    <fill>
      <patternFill patternType="solid">
        <fgColor rgb="FF92D050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50">
    <xf numFmtId="0" fontId="0" fillId="0" borderId="0"/>
    <xf numFmtId="0" fontId="7" fillId="0" borderId="0"/>
    <xf numFmtId="0" fontId="8" fillId="0" borderId="0"/>
    <xf numFmtId="9" fontId="7" fillId="0" borderId="0" applyFont="0" applyFill="0" applyBorder="0" applyAlignment="0" applyProtection="0"/>
    <xf numFmtId="0" fontId="9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3" fontId="8" fillId="6" borderId="0" applyNumberFormat="0" applyFont="0" applyBorder="0" applyAlignment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7" borderId="0" applyNumberFormat="0" applyBorder="0" applyAlignment="0" applyProtection="0"/>
    <xf numFmtId="171" fontId="7" fillId="0" borderId="0" applyFont="0" applyFill="0" applyBorder="0" applyAlignment="0" applyProtection="0"/>
    <xf numFmtId="0" fontId="7" fillId="0" borderId="0"/>
    <xf numFmtId="0" fontId="8" fillId="0" borderId="0"/>
    <xf numFmtId="0" fontId="9" fillId="0" borderId="0"/>
    <xf numFmtId="9" fontId="9" fillId="0" borderId="0" applyFont="0" applyFill="0" applyBorder="0" applyAlignment="0" applyProtection="0"/>
    <xf numFmtId="177" fontId="23" fillId="0" borderId="47">
      <alignment horizontal="right" vertical="center"/>
      <protection locked="0"/>
    </xf>
    <xf numFmtId="43" fontId="7" fillId="0" borderId="0" applyFont="0" applyFill="0" applyBorder="0" applyAlignment="0" applyProtection="0"/>
    <xf numFmtId="0" fontId="3" fillId="0" borderId="0"/>
    <xf numFmtId="41" fontId="8" fillId="8" borderId="0" applyNumberFormat="0" applyFont="0" applyBorder="0" applyAlignment="0">
      <alignment horizontal="right"/>
    </xf>
    <xf numFmtId="43" fontId="8" fillId="0" borderId="0" applyFont="0" applyFill="0" applyBorder="0" applyAlignment="0" applyProtection="0"/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10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1" fontId="8" fillId="8" borderId="0" applyNumberFormat="0" applyFont="0" applyBorder="0" applyAlignment="0">
      <alignment horizontal="right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55" fillId="17" borderId="0">
      <alignment vertical="center"/>
      <protection locked="0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7" fillId="17" borderId="74">
      <alignment vertical="center"/>
    </xf>
    <xf numFmtId="0" fontId="8" fillId="2" borderId="0"/>
    <xf numFmtId="0" fontId="8" fillId="2" borderId="0"/>
    <xf numFmtId="41" fontId="8" fillId="35" borderId="0" applyFont="0" applyBorder="0" applyAlignment="0">
      <alignment horizontal="right"/>
      <protection locked="0"/>
    </xf>
    <xf numFmtId="0" fontId="7" fillId="0" borderId="0"/>
    <xf numFmtId="0" fontId="8" fillId="0" borderId="0"/>
    <xf numFmtId="0" fontId="8" fillId="2" borderId="0"/>
    <xf numFmtId="43" fontId="8" fillId="0" borderId="0" applyFont="0" applyFill="0" applyBorder="0" applyAlignment="0" applyProtection="0"/>
    <xf numFmtId="0" fontId="8" fillId="2" borderId="0"/>
    <xf numFmtId="41" fontId="8" fillId="8" borderId="0" applyNumberFormat="0" applyFont="0" applyBorder="0" applyAlignment="0">
      <alignment horizontal="right"/>
    </xf>
    <xf numFmtId="0" fontId="8" fillId="0" borderId="0"/>
    <xf numFmtId="0" fontId="8" fillId="2" borderId="0"/>
    <xf numFmtId="0" fontId="8" fillId="0" borderId="0"/>
    <xf numFmtId="0" fontId="8" fillId="0" borderId="0"/>
    <xf numFmtId="0" fontId="8" fillId="0" borderId="0"/>
    <xf numFmtId="0" fontId="8" fillId="0" borderId="0" applyFill="0"/>
    <xf numFmtId="0" fontId="8" fillId="0" borderId="0"/>
    <xf numFmtId="0" fontId="8" fillId="0" borderId="0"/>
    <xf numFmtId="0" fontId="8" fillId="0" borderId="0"/>
    <xf numFmtId="180" fontId="8" fillId="0" borderId="0"/>
    <xf numFmtId="0" fontId="77" fillId="0" borderId="0"/>
    <xf numFmtId="0" fontId="77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81" fontId="8" fillId="4" borderId="0" applyFont="0" applyBorder="0">
      <alignment horizontal="right"/>
    </xf>
    <xf numFmtId="0" fontId="8" fillId="2" borderId="0"/>
    <xf numFmtId="44" fontId="8" fillId="0" borderId="0" applyFont="0" applyFill="0" applyBorder="0" applyAlignment="0" applyProtection="0"/>
    <xf numFmtId="180" fontId="8" fillId="0" borderId="0"/>
    <xf numFmtId="0" fontId="2" fillId="0" borderId="0"/>
    <xf numFmtId="0" fontId="2" fillId="0" borderId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9" fillId="32" borderId="0" applyNumberFormat="0" applyBorder="0" applyAlignment="0" applyProtection="0"/>
    <xf numFmtId="41" fontId="8" fillId="8" borderId="0" applyNumberFormat="0" applyFont="0" applyBorder="0" applyAlignment="0">
      <alignment horizontal="right"/>
    </xf>
    <xf numFmtId="0" fontId="60" fillId="24" borderId="75" applyNumberFormat="0" applyAlignment="0" applyProtection="0"/>
    <xf numFmtId="0" fontId="61" fillId="33" borderId="76" applyNumberFormat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34" borderId="0" applyNumberFormat="0" applyBorder="0" applyAlignment="0" applyProtection="0"/>
    <xf numFmtId="0" fontId="64" fillId="0" borderId="77" applyNumberFormat="0" applyFill="0" applyAlignment="0" applyProtection="0"/>
    <xf numFmtId="0" fontId="65" fillId="0" borderId="78" applyNumberFormat="0" applyFill="0" applyAlignment="0" applyProtection="0"/>
    <xf numFmtId="0" fontId="66" fillId="0" borderId="79" applyNumberFormat="0" applyFill="0" applyAlignment="0" applyProtection="0"/>
    <xf numFmtId="0" fontId="66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22" borderId="75" applyNumberFormat="0" applyAlignment="0" applyProtection="0"/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182" fontId="8" fillId="38" borderId="0" applyFont="0" applyBorder="0">
      <alignment horizontal="right"/>
      <protection locked="0"/>
    </xf>
    <xf numFmtId="182" fontId="8" fillId="38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69" fillId="0" borderId="80" applyNumberFormat="0" applyFill="0" applyAlignment="0" applyProtection="0"/>
    <xf numFmtId="0" fontId="70" fillId="25" borderId="0" applyNumberFormat="0" applyBorder="0" applyAlignment="0" applyProtection="0"/>
    <xf numFmtId="0" fontId="8" fillId="0" borderId="0"/>
    <xf numFmtId="0" fontId="7" fillId="0" borderId="0"/>
    <xf numFmtId="0" fontId="8" fillId="0" borderId="0"/>
    <xf numFmtId="0" fontId="8" fillId="2" borderId="0"/>
    <xf numFmtId="0" fontId="2" fillId="0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2" fillId="0" borderId="0" applyNumberFormat="0" applyFill="0" applyBorder="0" applyAlignment="0" applyProtection="0"/>
    <xf numFmtId="0" fontId="73" fillId="0" borderId="83" applyNumberFormat="0" applyFill="0" applyAlignment="0" applyProtection="0"/>
    <xf numFmtId="0" fontId="74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8" fillId="0" borderId="0"/>
    <xf numFmtId="0" fontId="8" fillId="0" borderId="0"/>
    <xf numFmtId="0" fontId="8" fillId="0" borderId="0"/>
    <xf numFmtId="183" fontId="23" fillId="0" borderId="0"/>
    <xf numFmtId="183" fontId="23" fillId="0" borderId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27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28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58" fillId="42" borderId="0" applyNumberFormat="0" applyBorder="0" applyAlignment="0" applyProtection="0"/>
    <xf numFmtId="0" fontId="58" fillId="29" borderId="0" applyNumberFormat="0" applyBorder="0" applyAlignment="0" applyProtection="0"/>
    <xf numFmtId="0" fontId="10" fillId="39" borderId="0" applyNumberFormat="0" applyBorder="0" applyAlignment="0" applyProtection="0"/>
    <xf numFmtId="0" fontId="10" fillId="42" borderId="0" applyNumberFormat="0" applyBorder="0" applyAlignment="0" applyProtection="0"/>
    <xf numFmtId="0" fontId="58" fillId="42" borderId="0" applyNumberFormat="0" applyBorder="0" applyAlignment="0" applyProtection="0"/>
    <xf numFmtId="0" fontId="58" fillId="30" borderId="0" applyNumberFormat="0" applyBorder="0" applyAlignment="0" applyProtection="0"/>
    <xf numFmtId="0" fontId="10" fillId="45" borderId="0" applyNumberFormat="0" applyBorder="0" applyAlignment="0" applyProtection="0"/>
    <xf numFmtId="0" fontId="10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27" borderId="0" applyNumberFormat="0" applyBorder="0" applyAlignment="0" applyProtection="0"/>
    <xf numFmtId="0" fontId="10" fillId="41" borderId="0" applyNumberFormat="0" applyBorder="0" applyAlignment="0" applyProtection="0"/>
    <xf numFmtId="0" fontId="10" fillId="46" borderId="0" applyNumberFormat="0" applyBorder="0" applyAlignment="0" applyProtection="0"/>
    <xf numFmtId="0" fontId="58" fillId="46" borderId="0" applyNumberFormat="0" applyBorder="0" applyAlignment="0" applyProtection="0"/>
    <xf numFmtId="0" fontId="58" fillId="31" borderId="0" applyNumberFormat="0" applyBorder="0" applyAlignment="0" applyProtection="0"/>
    <xf numFmtId="0" fontId="80" fillId="0" borderId="0"/>
    <xf numFmtId="42" fontId="81" fillId="0" borderId="0" applyFont="0" applyFill="0" applyBorder="0" applyAlignment="0" applyProtection="0"/>
    <xf numFmtId="0" fontId="59" fillId="32" borderId="0" applyNumberFormat="0" applyBorder="0" applyAlignment="0" applyProtection="0"/>
    <xf numFmtId="0" fontId="82" fillId="0" borderId="0" applyNumberFormat="0" applyFill="0" applyBorder="0" applyAlignment="0"/>
    <xf numFmtId="0" fontId="83" fillId="0" borderId="0" applyNumberFormat="0" applyFill="0" applyBorder="0" applyAlignment="0">
      <protection locked="0"/>
    </xf>
    <xf numFmtId="0" fontId="60" fillId="24" borderId="75" applyNumberFormat="0" applyAlignment="0" applyProtection="0"/>
    <xf numFmtId="0" fontId="61" fillId="33" borderId="76" applyNumberFormat="0" applyAlignment="0" applyProtection="0"/>
    <xf numFmtId="41" fontId="8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49" borderId="0" applyNumberFormat="0" applyBorder="0" applyAlignment="0" applyProtection="0"/>
    <xf numFmtId="180" fontId="1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185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0" fontId="86" fillId="0" borderId="0"/>
    <xf numFmtId="0" fontId="87" fillId="0" borderId="0"/>
    <xf numFmtId="0" fontId="63" fillId="34" borderId="0" applyNumberFormat="0" applyBorder="0" applyAlignment="0" applyProtection="0"/>
    <xf numFmtId="0" fontId="22" fillId="0" borderId="0" applyFill="0" applyBorder="0">
      <alignment vertical="center"/>
    </xf>
    <xf numFmtId="0" fontId="64" fillId="0" borderId="77" applyNumberFormat="0" applyFill="0" applyAlignment="0" applyProtection="0"/>
    <xf numFmtId="0" fontId="22" fillId="0" borderId="0" applyFill="0" applyBorder="0">
      <alignment vertical="center"/>
    </xf>
    <xf numFmtId="0" fontId="56" fillId="0" borderId="0" applyFill="0" applyBorder="0">
      <alignment vertical="center"/>
    </xf>
    <xf numFmtId="0" fontId="65" fillId="0" borderId="78" applyNumberFormat="0" applyFill="0" applyAlignment="0" applyProtection="0"/>
    <xf numFmtId="0" fontId="56" fillId="0" borderId="0" applyFill="0" applyBorder="0">
      <alignment vertical="center"/>
    </xf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53" fillId="0" borderId="0" applyFill="0" applyBorder="0">
      <alignment vertical="center"/>
    </xf>
    <xf numFmtId="0" fontId="53" fillId="0" borderId="0" applyFill="0" applyBorder="0">
      <alignment vertical="center"/>
    </xf>
    <xf numFmtId="0" fontId="23" fillId="0" borderId="0" applyFill="0" applyBorder="0">
      <alignment vertical="center"/>
    </xf>
    <xf numFmtId="0" fontId="66" fillId="0" borderId="0" applyNumberFormat="0" applyFill="0" applyBorder="0" applyAlignment="0" applyProtection="0"/>
    <xf numFmtId="0" fontId="23" fillId="0" borderId="0" applyFill="0" applyBorder="0">
      <alignment vertical="center"/>
    </xf>
    <xf numFmtId="174" fontId="88" fillId="0" borderId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Fill="0" applyBorder="0">
      <alignment horizontal="center" vertical="center"/>
      <protection locked="0"/>
    </xf>
    <xf numFmtId="0" fontId="91" fillId="0" borderId="0" applyFill="0" applyBorder="0">
      <alignment horizontal="left" vertical="center"/>
      <protection locked="0"/>
    </xf>
    <xf numFmtId="0" fontId="68" fillId="22" borderId="75" applyNumberFormat="0" applyAlignment="0" applyProtection="0"/>
    <xf numFmtId="41" fontId="8" fillId="20" borderId="0" applyFont="0" applyBorder="0" applyAlignment="0">
      <alignment horizontal="right"/>
      <protection locked="0"/>
    </xf>
    <xf numFmtId="0" fontId="23" fillId="8" borderId="0"/>
    <xf numFmtId="0" fontId="69" fillId="0" borderId="80" applyNumberFormat="0" applyFill="0" applyAlignment="0" applyProtection="0"/>
    <xf numFmtId="186" fontId="92" fillId="0" borderId="0"/>
    <xf numFmtId="0" fontId="48" fillId="0" borderId="0" applyFill="0" applyBorder="0">
      <alignment horizontal="left" vertical="center"/>
    </xf>
    <xf numFmtId="0" fontId="70" fillId="25" borderId="0" applyNumberFormat="0" applyBorder="0" applyAlignment="0" applyProtection="0"/>
    <xf numFmtId="179" fontId="93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1" fillId="0" borderId="0"/>
    <xf numFmtId="0" fontId="8" fillId="2" borderId="0"/>
    <xf numFmtId="0" fontId="8" fillId="0" borderId="0"/>
    <xf numFmtId="0" fontId="2" fillId="0" borderId="0"/>
    <xf numFmtId="0" fontId="8" fillId="0" borderId="0"/>
    <xf numFmtId="0" fontId="8" fillId="0" borderId="0"/>
    <xf numFmtId="0" fontId="71" fillId="24" borderId="82" applyNumberFormat="0" applyAlignment="0" applyProtection="0"/>
    <xf numFmtId="187" fontId="8" fillId="0" borderId="0" applyFill="0" applyBorder="0"/>
    <xf numFmtId="187" fontId="8" fillId="0" borderId="0" applyFill="0" applyBorder="0"/>
    <xf numFmtId="187" fontId="8" fillId="0" borderId="0" applyFill="0" applyBorder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4" fontId="94" fillId="0" borderId="0"/>
    <xf numFmtId="0" fontId="53" fillId="0" borderId="0" applyFill="0" applyBorder="0">
      <alignment vertical="center"/>
    </xf>
    <xf numFmtId="0" fontId="84" fillId="0" borderId="0" applyNumberFormat="0" applyFont="0" applyFill="0" applyBorder="0" applyAlignment="0" applyProtection="0">
      <alignment horizontal="left"/>
    </xf>
    <xf numFmtId="15" fontId="84" fillId="0" borderId="0" applyFont="0" applyFill="0" applyBorder="0" applyAlignment="0" applyProtection="0"/>
    <xf numFmtId="4" fontId="84" fillId="0" borderId="0" applyFont="0" applyFill="0" applyBorder="0" applyAlignment="0" applyProtection="0"/>
    <xf numFmtId="188" fontId="95" fillId="0" borderId="17"/>
    <xf numFmtId="0" fontId="96" fillId="0" borderId="15">
      <alignment horizontal="center"/>
    </xf>
    <xf numFmtId="3" fontId="84" fillId="0" borderId="0" applyFont="0" applyFill="0" applyBorder="0" applyAlignment="0" applyProtection="0"/>
    <xf numFmtId="0" fontId="84" fillId="50" borderId="0" applyNumberFormat="0" applyFont="0" applyBorder="0" applyAlignment="0" applyProtection="0"/>
    <xf numFmtId="189" fontId="8" fillId="0" borderId="0"/>
    <xf numFmtId="189" fontId="8" fillId="0" borderId="0"/>
    <xf numFmtId="189" fontId="8" fillId="0" borderId="0"/>
    <xf numFmtId="190" fontId="23" fillId="0" borderId="0" applyFill="0" applyBorder="0">
      <alignment horizontal="right" vertical="center"/>
    </xf>
    <xf numFmtId="191" fontId="23" fillId="0" borderId="0" applyFill="0" applyBorder="0">
      <alignment horizontal="right" vertical="center"/>
    </xf>
    <xf numFmtId="192" fontId="23" fillId="0" borderId="0" applyFill="0" applyBorder="0">
      <alignment horizontal="right" vertical="center"/>
    </xf>
    <xf numFmtId="0" fontId="8" fillId="23" borderId="0" applyNumberFormat="0" applyFont="0" applyBorder="0" applyAlignment="0" applyProtection="0"/>
    <xf numFmtId="0" fontId="8" fillId="23" borderId="0" applyNumberFormat="0" applyFont="0" applyBorder="0" applyAlignment="0" applyProtection="0"/>
    <xf numFmtId="0" fontId="8" fillId="24" borderId="0" applyNumberFormat="0" applyFont="0" applyBorder="0" applyAlignment="0" applyProtection="0"/>
    <xf numFmtId="0" fontId="8" fillId="24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26" borderId="0" applyNumberFormat="0" applyFont="0" applyBorder="0" applyAlignment="0" applyProtection="0"/>
    <xf numFmtId="0" fontId="8" fillId="26" borderId="0" applyNumberFormat="0" applyFon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Border="0" applyAlignment="0" applyProtection="0"/>
    <xf numFmtId="0" fontId="8" fillId="0" borderId="0" applyNumberFormat="0" applyFont="0" applyBorder="0" applyAlignment="0" applyProtection="0"/>
    <xf numFmtId="0" fontId="72" fillId="0" borderId="0" applyNumberFormat="0" applyFill="0" applyBorder="0" applyAlignment="0" applyProtection="0"/>
    <xf numFmtId="0" fontId="8" fillId="0" borderId="0"/>
    <xf numFmtId="0" fontId="48" fillId="0" borderId="0"/>
    <xf numFmtId="0" fontId="54" fillId="0" borderId="0"/>
    <xf numFmtId="15" fontId="8" fillId="0" borderId="0"/>
    <xf numFmtId="15" fontId="8" fillId="0" borderId="0"/>
    <xf numFmtId="15" fontId="8" fillId="0" borderId="0"/>
    <xf numFmtId="10" fontId="8" fillId="0" borderId="0"/>
    <xf numFmtId="10" fontId="8" fillId="0" borderId="0"/>
    <xf numFmtId="10" fontId="8" fillId="0" borderId="0"/>
    <xf numFmtId="0" fontId="97" fillId="36" borderId="13" applyBorder="0" applyProtection="0">
      <alignment horizontal="centerContinuous" vertical="center"/>
    </xf>
    <xf numFmtId="0" fontId="98" fillId="0" borderId="0" applyBorder="0" applyProtection="0">
      <alignment vertical="center"/>
    </xf>
    <xf numFmtId="0" fontId="99" fillId="0" borderId="0">
      <alignment horizontal="left"/>
    </xf>
    <xf numFmtId="0" fontId="99" fillId="0" borderId="9" applyFill="0" applyBorder="0" applyProtection="0">
      <alignment horizontal="left" vertical="top"/>
    </xf>
    <xf numFmtId="49" fontId="8" fillId="0" borderId="0" applyFont="0" applyFill="0" applyBorder="0" applyAlignment="0" applyProtection="0"/>
    <xf numFmtId="0" fontId="100" fillId="0" borderId="0"/>
    <xf numFmtId="49" fontId="8" fillId="0" borderId="0" applyFont="0" applyFill="0" applyBorder="0" applyAlignment="0" applyProtection="0"/>
    <xf numFmtId="0" fontId="101" fillId="0" borderId="0"/>
    <xf numFmtId="0" fontId="101" fillId="0" borderId="0"/>
    <xf numFmtId="0" fontId="100" fillId="0" borderId="0"/>
    <xf numFmtId="186" fontId="102" fillId="0" borderId="0"/>
    <xf numFmtId="0" fontId="72" fillId="0" borderId="0" applyNumberFormat="0" applyFill="0" applyBorder="0" applyAlignment="0" applyProtection="0"/>
    <xf numFmtId="0" fontId="103" fillId="0" borderId="0" applyFill="0" applyBorder="0">
      <alignment horizontal="left" vertical="center"/>
      <protection locked="0"/>
    </xf>
    <xf numFmtId="0" fontId="100" fillId="0" borderId="0"/>
    <xf numFmtId="0" fontId="104" fillId="0" borderId="0" applyFill="0" applyBorder="0">
      <alignment horizontal="left" vertical="center"/>
      <protection locked="0"/>
    </xf>
    <xf numFmtId="0" fontId="73" fillId="0" borderId="83" applyNumberFormat="0" applyFill="0" applyAlignment="0" applyProtection="0"/>
    <xf numFmtId="0" fontId="74" fillId="0" borderId="0" applyNumberFormat="0" applyFill="0" applyBorder="0" applyAlignment="0" applyProtection="0"/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0" fontId="8" fillId="2" borderId="0"/>
    <xf numFmtId="41" fontId="8" fillId="8" borderId="0" applyNumberFormat="0" applyFont="0" applyBorder="0" applyAlignment="0">
      <alignment horizontal="right"/>
    </xf>
    <xf numFmtId="0" fontId="105" fillId="0" borderId="0" applyNumberFormat="0" applyFill="0" applyBorder="0" applyAlignment="0" applyProtection="0"/>
    <xf numFmtId="182" fontId="8" fillId="38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 applyFill="0"/>
    <xf numFmtId="9" fontId="2" fillId="0" borderId="0" applyFont="0" applyFill="0" applyBorder="0" applyAlignment="0" applyProtection="0"/>
    <xf numFmtId="0" fontId="8" fillId="0" borderId="0" applyFill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1" fillId="33" borderId="76" applyNumberFormat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8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76" fillId="37" borderId="0">
      <alignment horizontal="left" vertical="center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181" fontId="8" fillId="4" borderId="0" applyFont="0" applyBorder="0">
      <alignment horizontal="right"/>
    </xf>
    <xf numFmtId="174" fontId="8" fillId="4" borderId="0" applyFont="0" applyBorder="0" applyAlignment="0"/>
    <xf numFmtId="10" fontId="8" fillId="20" borderId="0" applyFont="0" applyBorder="0">
      <alignment horizontal="right"/>
      <protection locked="0"/>
    </xf>
    <xf numFmtId="3" fontId="8" fillId="51" borderId="0" applyFont="0" applyBorder="0">
      <protection locked="0"/>
    </xf>
    <xf numFmtId="174" fontId="56" fillId="51" borderId="0" applyBorder="0" applyAlignment="0">
      <protection locked="0"/>
    </xf>
    <xf numFmtId="174" fontId="106" fillId="52" borderId="0" applyBorder="0" applyAlignment="0"/>
    <xf numFmtId="181" fontId="75" fillId="8" borderId="18" applyFont="0" applyBorder="0" applyAlignment="0"/>
    <xf numFmtId="174" fontId="56" fillId="8" borderId="0" applyFont="0" applyBorder="0" applyAlignment="0"/>
    <xf numFmtId="0" fontId="8" fillId="2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8" fillId="0" borderId="0"/>
    <xf numFmtId="0" fontId="60" fillId="24" borderId="75" applyNumberFormat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8" fillId="22" borderId="75" applyNumberFormat="0" applyAlignment="0" applyProtection="0"/>
    <xf numFmtId="0" fontId="10" fillId="0" borderId="0"/>
    <xf numFmtId="0" fontId="8" fillId="0" borderId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96" fillId="0" borderId="15">
      <alignment horizontal="center"/>
    </xf>
    <xf numFmtId="0" fontId="73" fillId="0" borderId="83" applyNumberFormat="0" applyFill="0" applyAlignment="0" applyProtection="0"/>
    <xf numFmtId="0" fontId="8" fillId="2" borderId="0"/>
    <xf numFmtId="0" fontId="8" fillId="0" borderId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94" fontId="2" fillId="5" borderId="84">
      <protection locked="0"/>
    </xf>
    <xf numFmtId="194" fontId="2" fillId="9" borderId="84"/>
    <xf numFmtId="49" fontId="2" fillId="5" borderId="84" applyFont="0" applyAlignment="0">
      <alignment horizontal="left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96" fillId="0" borderId="15">
      <alignment horizontal="center"/>
    </xf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96" fillId="0" borderId="15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96" fillId="0" borderId="15">
      <alignment horizontal="center"/>
    </xf>
    <xf numFmtId="0" fontId="67" fillId="0" borderId="0" applyNumberFormat="0" applyFill="0" applyBorder="0" applyAlignment="0" applyProtection="0">
      <alignment vertical="top"/>
      <protection locked="0"/>
    </xf>
    <xf numFmtId="0" fontId="60" fillId="24" borderId="75" applyNumberFormat="0" applyAlignment="0" applyProtection="0"/>
    <xf numFmtId="0" fontId="68" fillId="22" borderId="75" applyNumberForma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73" fillId="0" borderId="83" applyNumberFormat="0" applyFill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66" fillId="0" borderId="79" applyNumberFormat="0" applyFill="0" applyAlignment="0" applyProtection="0"/>
    <xf numFmtId="0" fontId="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1" fontId="8" fillId="35" borderId="0" applyFont="0" applyBorder="0" applyAlignment="0">
      <alignment horizontal="right"/>
      <protection locked="0"/>
    </xf>
    <xf numFmtId="0" fontId="2" fillId="0" borderId="0"/>
    <xf numFmtId="0" fontId="8" fillId="0" borderId="0" applyFill="0"/>
    <xf numFmtId="0" fontId="8" fillId="0" borderId="0"/>
    <xf numFmtId="0" fontId="8" fillId="2" borderId="0"/>
    <xf numFmtId="0" fontId="8" fillId="2" borderId="0"/>
    <xf numFmtId="0" fontId="8" fillId="2" borderId="0"/>
    <xf numFmtId="0" fontId="8" fillId="0" borderId="0"/>
    <xf numFmtId="0" fontId="2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194" fontId="5" fillId="5" borderId="73">
      <alignment horizontal="right" indent="2"/>
      <protection locked="0"/>
    </xf>
    <xf numFmtId="0" fontId="76" fillId="53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10" fillId="2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0" applyNumberFormat="0" applyBorder="0" applyAlignment="0" applyProtection="0"/>
    <xf numFmtId="0" fontId="10" fillId="54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41" fontId="8" fillId="8" borderId="0" applyNumberFormat="0" applyFont="0" applyBorder="0" applyAlignment="0">
      <alignment horizontal="right"/>
    </xf>
    <xf numFmtId="41" fontId="8" fillId="8" borderId="0" applyNumberFormat="0" applyFont="0" applyBorder="0" applyAlignment="0">
      <alignment horizontal="right"/>
    </xf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0" fillId="24" borderId="75" applyNumberFormat="0" applyAlignment="0" applyProtection="0"/>
    <xf numFmtId="0" fontId="61" fillId="33" borderId="76" applyNumberFormat="0" applyAlignment="0" applyProtection="0"/>
    <xf numFmtId="0" fontId="61" fillId="33" borderId="76" applyNumberFormat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5" fillId="0" borderId="85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108" fillId="0" borderId="0" applyNumberFormat="0" applyFill="0" applyBorder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0" fontId="68" fillId="22" borderId="75" applyNumberFormat="0" applyAlignment="0" applyProtection="0"/>
    <xf numFmtId="41" fontId="8" fillId="35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35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0" borderId="0" applyFill="0"/>
    <xf numFmtId="0" fontId="10" fillId="0" borderId="0"/>
    <xf numFmtId="0" fontId="8" fillId="0" borderId="0" applyFill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8" fillId="23" borderId="81" applyNumberFormat="0" applyFon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0" fontId="71" fillId="24" borderId="82" applyNumberFormat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188" fontId="95" fillId="0" borderId="17"/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109" fillId="36" borderId="13" applyBorder="0" applyProtection="0">
      <alignment horizontal="centerContinuous" vertical="center"/>
    </xf>
    <xf numFmtId="0" fontId="99" fillId="0" borderId="9" applyFill="0" applyBorder="0" applyProtection="0">
      <alignment horizontal="left" vertical="top"/>
    </xf>
    <xf numFmtId="0" fontId="110" fillId="0" borderId="0"/>
    <xf numFmtId="0" fontId="110" fillId="0" borderId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0" fontId="73" fillId="0" borderId="83" applyNumberFormat="0" applyFill="0" applyAlignment="0" applyProtection="0"/>
    <xf numFmtId="193" fontId="8" fillId="0" borderId="13" applyBorder="0" applyProtection="0">
      <alignment horizontal="right"/>
    </xf>
    <xf numFmtId="193" fontId="8" fillId="0" borderId="13" applyBorder="0" applyProtection="0">
      <alignment horizontal="right"/>
    </xf>
    <xf numFmtId="0" fontId="8" fillId="2" borderId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96" fillId="0" borderId="15">
      <alignment horizontal="center"/>
    </xf>
    <xf numFmtId="43" fontId="8" fillId="0" borderId="0" applyFont="0" applyFill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29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0" fontId="96" fillId="0" borderId="15">
      <alignment horizontal="center"/>
    </xf>
    <xf numFmtId="43" fontId="8" fillId="0" borderId="0" applyFont="0" applyFill="0" applyBorder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66" fillId="0" borderId="86" applyNumberFormat="0" applyFill="0" applyAlignment="0" applyProtection="0"/>
    <xf numFmtId="0" fontId="8" fillId="0" borderId="0"/>
    <xf numFmtId="41" fontId="8" fillId="8" borderId="0" applyNumberFormat="0" applyFont="0" applyBorder="0" applyAlignment="0">
      <alignment horizontal="right"/>
    </xf>
    <xf numFmtId="43" fontId="8" fillId="0" borderId="0" applyFont="0" applyFill="0" applyBorder="0" applyAlignment="0" applyProtection="0"/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4" fontId="8" fillId="0" borderId="0" applyFont="0" applyFill="0" applyBorder="0" applyAlignment="0" applyProtection="0"/>
    <xf numFmtId="41" fontId="8" fillId="8" borderId="0" applyNumberFormat="0" applyFont="0" applyBorder="0" applyAlignment="0">
      <alignment horizontal="right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20" borderId="0" applyFont="0" applyBorder="0" applyAlignment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41" fontId="8" fillId="4" borderId="0" applyFont="0" applyBorder="0">
      <alignment horizontal="right"/>
      <protection locked="0"/>
    </xf>
    <xf numFmtId="0" fontId="4" fillId="0" borderId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05">
    <xf numFmtId="0" fontId="0" fillId="0" borderId="0" xfId="0"/>
    <xf numFmtId="0" fontId="6" fillId="0" borderId="0" xfId="0" applyFont="1" applyProtection="1">
      <protection locked="0"/>
    </xf>
    <xf numFmtId="0" fontId="5" fillId="0" borderId="0" xfId="0" applyFont="1" applyProtection="1"/>
    <xf numFmtId="169" fontId="5" fillId="0" borderId="0" xfId="0" applyNumberFormat="1" applyFont="1" applyAlignment="1" applyProtection="1">
      <alignment horizontal="center"/>
    </xf>
    <xf numFmtId="0" fontId="5" fillId="0" borderId="0" xfId="0" applyFont="1" applyProtection="1">
      <protection locked="0"/>
    </xf>
    <xf numFmtId="170" fontId="5" fillId="0" borderId="0" xfId="0" applyNumberFormat="1" applyFont="1" applyProtection="1">
      <protection locked="0"/>
    </xf>
    <xf numFmtId="2" fontId="14" fillId="0" borderId="0" xfId="5" applyNumberFormat="1" applyFont="1" applyAlignment="1" applyProtection="1">
      <alignment horizontal="left"/>
    </xf>
    <xf numFmtId="2" fontId="14" fillId="0" borderId="0" xfId="5" applyNumberFormat="1" applyFont="1" applyAlignment="1" applyProtection="1">
      <alignment horizontal="left"/>
      <protection locked="0"/>
    </xf>
    <xf numFmtId="2" fontId="13" fillId="0" borderId="0" xfId="5" applyNumberFormat="1" applyFont="1" applyFill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center"/>
    </xf>
    <xf numFmtId="170" fontId="6" fillId="0" borderId="0" xfId="0" applyNumberFormat="1" applyFont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14" fillId="0" borderId="0" xfId="0" applyFont="1" applyBorder="1" applyAlignment="1" applyProtection="1">
      <alignment vertical="center"/>
    </xf>
    <xf numFmtId="169" fontId="14" fillId="0" borderId="0" xfId="0" applyNumberFormat="1" applyFont="1" applyBorder="1" applyAlignment="1" applyProtection="1">
      <alignment horizontal="center" vertical="center"/>
    </xf>
    <xf numFmtId="0" fontId="5" fillId="0" borderId="0" xfId="0" applyFont="1" applyFill="1" applyBorder="1" applyProtection="1">
      <protection locked="0"/>
    </xf>
    <xf numFmtId="0" fontId="6" fillId="0" borderId="10" xfId="0" applyFont="1" applyFill="1" applyBorder="1" applyAlignment="1" applyProtection="1">
      <alignment vertical="center"/>
    </xf>
    <xf numFmtId="3" fontId="15" fillId="0" borderId="0" xfId="8" applyFont="1" applyFill="1" applyBorder="1" applyAlignment="1" applyProtection="1">
      <alignment horizontal="left"/>
      <protection locked="0"/>
    </xf>
    <xf numFmtId="0" fontId="17" fillId="0" borderId="0" xfId="0" applyFont="1" applyFill="1" applyProtection="1">
      <protection locked="0"/>
    </xf>
    <xf numFmtId="0" fontId="6" fillId="0" borderId="10" xfId="0" applyFont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4" fillId="0" borderId="6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14" fillId="0" borderId="0" xfId="9" applyFont="1" applyProtection="1"/>
    <xf numFmtId="0" fontId="14" fillId="0" borderId="10" xfId="9" applyFont="1" applyBorder="1" applyProtection="1"/>
    <xf numFmtId="0" fontId="6" fillId="0" borderId="10" xfId="9" applyFont="1" applyBorder="1" applyProtection="1"/>
    <xf numFmtId="0" fontId="6" fillId="0" borderId="0" xfId="7" applyFont="1"/>
    <xf numFmtId="169" fontId="6" fillId="0" borderId="0" xfId="7" applyNumberFormat="1" applyFont="1" applyFill="1" applyAlignment="1" applyProtection="1">
      <alignment horizontal="center"/>
    </xf>
    <xf numFmtId="3" fontId="6" fillId="0" borderId="10" xfId="6" applyNumberFormat="1" applyFont="1" applyFill="1" applyBorder="1" applyAlignment="1" applyProtection="1">
      <alignment horizontal="right" vertical="center"/>
    </xf>
    <xf numFmtId="10" fontId="6" fillId="0" borderId="10" xfId="6" applyNumberFormat="1" applyFont="1" applyFill="1" applyBorder="1" applyAlignment="1" applyProtection="1">
      <alignment horizontal="right" vertical="center"/>
      <protection hidden="1"/>
    </xf>
    <xf numFmtId="170" fontId="14" fillId="0" borderId="0" xfId="6" applyNumberFormat="1" applyFont="1" applyFill="1" applyBorder="1" applyAlignment="1" applyProtection="1">
      <alignment horizontal="right" vertical="center"/>
      <protection hidden="1"/>
    </xf>
    <xf numFmtId="3" fontId="15" fillId="0" borderId="0" xfId="8" applyFont="1" applyFill="1" applyBorder="1" applyAlignment="1" applyProtection="1">
      <alignment horizontal="right"/>
      <protection locked="0"/>
    </xf>
    <xf numFmtId="3" fontId="6" fillId="0" borderId="10" xfId="9" applyNumberFormat="1" applyFont="1" applyFill="1" applyBorder="1" applyAlignment="1" applyProtection="1">
      <alignment horizontal="right"/>
    </xf>
    <xf numFmtId="170" fontId="6" fillId="0" borderId="0" xfId="8" applyNumberFormat="1" applyFont="1" applyFill="1" applyBorder="1" applyProtection="1">
      <alignment horizontal="right"/>
      <protection locked="0"/>
    </xf>
    <xf numFmtId="3" fontId="6" fillId="0" borderId="0" xfId="8" applyFont="1" applyFill="1" applyBorder="1" applyProtection="1">
      <alignment horizontal="right"/>
      <protection locked="0"/>
    </xf>
    <xf numFmtId="0" fontId="6" fillId="0" borderId="0" xfId="7" applyFont="1" applyFill="1"/>
    <xf numFmtId="0" fontId="5" fillId="0" borderId="0" xfId="0" applyFont="1" applyFill="1" applyProtection="1">
      <protection locked="0"/>
    </xf>
    <xf numFmtId="0" fontId="6" fillId="0" borderId="5" xfId="7" applyFont="1" applyBorder="1"/>
    <xf numFmtId="0" fontId="5" fillId="0" borderId="32" xfId="0" applyFont="1" applyBorder="1" applyProtection="1">
      <protection locked="0"/>
    </xf>
    <xf numFmtId="10" fontId="5" fillId="0" borderId="10" xfId="0" applyNumberFormat="1" applyFont="1" applyBorder="1" applyProtection="1">
      <protection locked="0"/>
    </xf>
    <xf numFmtId="0" fontId="21" fillId="0" borderId="12" xfId="0" applyFont="1" applyBorder="1" applyProtection="1"/>
    <xf numFmtId="3" fontId="14" fillId="0" borderId="11" xfId="6" applyNumberFormat="1" applyFont="1" applyFill="1" applyBorder="1" applyAlignment="1" applyProtection="1">
      <alignment horizontal="right" vertical="center"/>
    </xf>
    <xf numFmtId="0" fontId="6" fillId="0" borderId="0" xfId="0" applyFont="1" applyFill="1" applyProtection="1">
      <protection locked="0"/>
    </xf>
    <xf numFmtId="0" fontId="6" fillId="0" borderId="7" xfId="0" applyFont="1" applyFill="1" applyBorder="1" applyAlignment="1" applyProtection="1">
      <alignment vertical="center"/>
    </xf>
    <xf numFmtId="3" fontId="14" fillId="0" borderId="7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Protection="1"/>
    <xf numFmtId="0" fontId="16" fillId="2" borderId="33" xfId="0" applyFont="1" applyFill="1" applyBorder="1" applyAlignment="1" applyProtection="1">
      <alignment horizontal="right" vertical="center"/>
    </xf>
    <xf numFmtId="10" fontId="18" fillId="0" borderId="6" xfId="5" applyNumberFormat="1" applyFont="1" applyFill="1" applyBorder="1" applyAlignment="1" applyProtection="1">
      <alignment horizontal="center" vertical="center"/>
    </xf>
    <xf numFmtId="10" fontId="18" fillId="0" borderId="0" xfId="5" applyNumberFormat="1" applyFont="1" applyFill="1" applyBorder="1" applyAlignment="1" applyProtection="1">
      <alignment horizontal="center" vertical="center"/>
    </xf>
    <xf numFmtId="3" fontId="21" fillId="0" borderId="10" xfId="0" applyNumberFormat="1" applyFont="1" applyBorder="1" applyProtection="1">
      <protection locked="0"/>
    </xf>
    <xf numFmtId="169" fontId="5" fillId="0" borderId="17" xfId="0" applyNumberFormat="1" applyFont="1" applyBorder="1" applyAlignment="1" applyProtection="1">
      <alignment horizontal="center"/>
    </xf>
    <xf numFmtId="10" fontId="5" fillId="0" borderId="17" xfId="6" applyNumberFormat="1" applyFont="1" applyBorder="1" applyAlignment="1" applyProtection="1">
      <alignment horizontal="right"/>
    </xf>
    <xf numFmtId="3" fontId="5" fillId="0" borderId="17" xfId="0" applyNumberFormat="1" applyFont="1" applyBorder="1" applyProtection="1">
      <protection locked="0"/>
    </xf>
    <xf numFmtId="0" fontId="5" fillId="0" borderId="17" xfId="0" applyFont="1" applyBorder="1" applyProtection="1">
      <protection locked="0"/>
    </xf>
    <xf numFmtId="3" fontId="20" fillId="0" borderId="17" xfId="0" applyNumberFormat="1" applyFont="1" applyBorder="1" applyProtection="1">
      <protection locked="0"/>
    </xf>
    <xf numFmtId="0" fontId="14" fillId="0" borderId="7" xfId="17" applyFont="1" applyFill="1" applyBorder="1" applyAlignment="1" applyProtection="1">
      <alignment horizontal="right"/>
    </xf>
    <xf numFmtId="1" fontId="14" fillId="0" borderId="17" xfId="17" applyNumberFormat="1" applyFont="1" applyFill="1" applyBorder="1" applyAlignment="1" applyProtection="1">
      <alignment horizontal="right"/>
    </xf>
    <xf numFmtId="1" fontId="14" fillId="0" borderId="11" xfId="17" applyNumberFormat="1" applyFont="1" applyFill="1" applyBorder="1" applyAlignment="1" applyProtection="1">
      <alignment horizontal="right"/>
    </xf>
    <xf numFmtId="0" fontId="14" fillId="0" borderId="5" xfId="0" applyFont="1" applyFill="1" applyBorder="1" applyProtection="1"/>
    <xf numFmtId="0" fontId="6" fillId="0" borderId="9" xfId="0" applyFont="1" applyFill="1" applyBorder="1" applyProtection="1"/>
    <xf numFmtId="0" fontId="14" fillId="0" borderId="12" xfId="0" applyFont="1" applyFill="1" applyBorder="1" applyProtection="1"/>
    <xf numFmtId="3" fontId="5" fillId="0" borderId="11" xfId="0" applyNumberFormat="1" applyFont="1" applyBorder="1" applyProtection="1">
      <protection locked="0"/>
    </xf>
    <xf numFmtId="2" fontId="19" fillId="0" borderId="0" xfId="5" applyNumberFormat="1" applyFont="1" applyFill="1" applyAlignment="1" applyProtection="1">
      <alignment horizontal="left"/>
      <protection locked="0"/>
    </xf>
    <xf numFmtId="49" fontId="6" fillId="0" borderId="9" xfId="0" applyNumberFormat="1" applyFont="1" applyFill="1" applyBorder="1" applyAlignment="1" applyProtection="1">
      <alignment horizontal="left" indent="1"/>
    </xf>
    <xf numFmtId="3" fontId="6" fillId="0" borderId="17" xfId="6" applyNumberFormat="1" applyFont="1" applyFill="1" applyBorder="1" applyAlignment="1" applyProtection="1">
      <alignment horizontal="right" vertical="center"/>
    </xf>
    <xf numFmtId="3" fontId="5" fillId="0" borderId="0" xfId="0" applyNumberFormat="1" applyFont="1" applyProtection="1">
      <protection locked="0"/>
    </xf>
    <xf numFmtId="0" fontId="22" fillId="8" borderId="0" xfId="16" applyFont="1" applyFill="1"/>
    <xf numFmtId="10" fontId="8" fillId="2" borderId="17" xfId="3" applyNumberFormat="1" applyFont="1" applyFill="1" applyBorder="1"/>
    <xf numFmtId="10" fontId="8" fillId="2" borderId="11" xfId="3" applyNumberFormat="1" applyFont="1" applyFill="1" applyBorder="1"/>
    <xf numFmtId="10" fontId="8" fillId="2" borderId="0" xfId="3" applyNumberFormat="1" applyFont="1" applyFill="1" applyBorder="1"/>
    <xf numFmtId="0" fontId="27" fillId="8" borderId="0" xfId="1" applyFont="1" applyFill="1"/>
    <xf numFmtId="0" fontId="8" fillId="8" borderId="0" xfId="1" applyFont="1" applyFill="1" applyBorder="1"/>
    <xf numFmtId="0" fontId="4" fillId="0" borderId="0" xfId="0" applyFont="1"/>
    <xf numFmtId="3" fontId="6" fillId="0" borderId="7" xfId="6" applyNumberFormat="1" applyFont="1" applyFill="1" applyBorder="1" applyAlignment="1" applyProtection="1">
      <alignment horizontal="right" vertical="center"/>
    </xf>
    <xf numFmtId="0" fontId="14" fillId="0" borderId="9" xfId="0" applyFont="1" applyFill="1" applyBorder="1" applyAlignment="1" applyProtection="1"/>
    <xf numFmtId="0" fontId="5" fillId="0" borderId="5" xfId="0" applyFont="1" applyFill="1" applyBorder="1" applyProtection="1"/>
    <xf numFmtId="0" fontId="5" fillId="0" borderId="9" xfId="0" applyFont="1" applyFill="1" applyBorder="1" applyProtection="1"/>
    <xf numFmtId="0" fontId="6" fillId="0" borderId="9" xfId="0" applyFont="1" applyFill="1" applyBorder="1" applyAlignment="1" applyProtection="1">
      <alignment wrapText="1"/>
    </xf>
    <xf numFmtId="0" fontId="14" fillId="0" borderId="9" xfId="0" applyFont="1" applyFill="1" applyBorder="1" applyProtection="1"/>
    <xf numFmtId="0" fontId="5" fillId="0" borderId="20" xfId="0" applyFont="1" applyBorder="1" applyProtection="1"/>
    <xf numFmtId="0" fontId="5" fillId="0" borderId="18" xfId="0" applyFont="1" applyBorder="1" applyProtection="1"/>
    <xf numFmtId="0" fontId="6" fillId="0" borderId="5" xfId="0" applyFont="1" applyFill="1" applyBorder="1" applyProtection="1"/>
    <xf numFmtId="0" fontId="5" fillId="0" borderId="7" xfId="0" applyFont="1" applyBorder="1" applyProtection="1">
      <protection locked="0"/>
    </xf>
    <xf numFmtId="0" fontId="5" fillId="0" borderId="19" xfId="0" applyFont="1" applyBorder="1" applyProtection="1"/>
    <xf numFmtId="0" fontId="8" fillId="0" borderId="0" xfId="1" applyFont="1" applyFill="1"/>
    <xf numFmtId="0" fontId="8" fillId="9" borderId="0" xfId="1" applyFont="1" applyFill="1"/>
    <xf numFmtId="0" fontId="8" fillId="0" borderId="0" xfId="1" applyFont="1" applyFill="1" applyBorder="1"/>
    <xf numFmtId="0" fontId="8" fillId="2" borderId="0" xfId="16" applyFont="1" applyFill="1" applyBorder="1"/>
    <xf numFmtId="0" fontId="8" fillId="8" borderId="0" xfId="1" applyFont="1" applyFill="1"/>
    <xf numFmtId="0" fontId="25" fillId="0" borderId="0" xfId="0" applyFont="1" applyBorder="1" applyProtection="1"/>
    <xf numFmtId="0" fontId="6" fillId="0" borderId="0" xfId="0" applyFont="1" applyBorder="1" applyProtection="1"/>
    <xf numFmtId="0" fontId="22" fillId="2" borderId="2" xfId="2" applyFont="1" applyFill="1" applyBorder="1"/>
    <xf numFmtId="0" fontId="8" fillId="2" borderId="4" xfId="2" applyFont="1" applyFill="1" applyBorder="1"/>
    <xf numFmtId="0" fontId="8" fillId="2" borderId="1" xfId="2" applyFont="1" applyFill="1" applyBorder="1"/>
    <xf numFmtId="0" fontId="8" fillId="2" borderId="8" xfId="2" applyFont="1" applyFill="1" applyBorder="1"/>
    <xf numFmtId="0" fontId="8" fillId="2" borderId="14" xfId="2" applyFont="1" applyFill="1" applyBorder="1"/>
    <xf numFmtId="0" fontId="8" fillId="2" borderId="16" xfId="2" applyFont="1" applyFill="1" applyBorder="1"/>
    <xf numFmtId="0" fontId="8" fillId="2" borderId="3" xfId="2" applyFont="1" applyFill="1" applyBorder="1"/>
    <xf numFmtId="0" fontId="8" fillId="2" borderId="0" xfId="2" applyFont="1" applyFill="1" applyBorder="1"/>
    <xf numFmtId="0" fontId="8" fillId="2" borderId="15" xfId="2" applyFont="1" applyFill="1" applyBorder="1"/>
    <xf numFmtId="0" fontId="22" fillId="8" borderId="0" xfId="1" applyFont="1" applyFill="1"/>
    <xf numFmtId="0" fontId="8" fillId="2" borderId="35" xfId="1" applyFont="1" applyFill="1" applyBorder="1"/>
    <xf numFmtId="0" fontId="8" fillId="2" borderId="37" xfId="1" applyFont="1" applyFill="1" applyBorder="1" applyAlignment="1">
      <alignment horizontal="center" wrapText="1"/>
    </xf>
    <xf numFmtId="0" fontId="8" fillId="2" borderId="25" xfId="1" applyFont="1" applyFill="1" applyBorder="1" applyAlignment="1">
      <alignment horizontal="center" wrapText="1"/>
    </xf>
    <xf numFmtId="0" fontId="8" fillId="8" borderId="17" xfId="1" applyFont="1" applyFill="1" applyBorder="1"/>
    <xf numFmtId="168" fontId="8" fillId="2" borderId="44" xfId="1" applyNumberFormat="1" applyFont="1" applyFill="1" applyBorder="1"/>
    <xf numFmtId="0" fontId="8" fillId="8" borderId="36" xfId="1" applyFont="1" applyFill="1" applyBorder="1"/>
    <xf numFmtId="168" fontId="8" fillId="8" borderId="0" xfId="1" applyNumberFormat="1" applyFont="1" applyFill="1"/>
    <xf numFmtId="0" fontId="27" fillId="8" borderId="0" xfId="16" applyFont="1" applyFill="1"/>
    <xf numFmtId="0" fontId="8" fillId="8" borderId="0" xfId="16" applyFont="1" applyFill="1"/>
    <xf numFmtId="0" fontId="8" fillId="2" borderId="2" xfId="16" applyFont="1" applyFill="1" applyBorder="1"/>
    <xf numFmtId="0" fontId="8" fillId="2" borderId="3" xfId="16" applyFont="1" applyFill="1" applyBorder="1"/>
    <xf numFmtId="0" fontId="8" fillId="2" borderId="4" xfId="16" applyFont="1" applyFill="1" applyBorder="1"/>
    <xf numFmtId="0" fontId="22" fillId="2" borderId="1" xfId="16" applyFont="1" applyFill="1" applyBorder="1"/>
    <xf numFmtId="0" fontId="8" fillId="2" borderId="8" xfId="16" applyFont="1" applyFill="1" applyBorder="1"/>
    <xf numFmtId="0" fontId="8" fillId="2" borderId="1" xfId="16" applyFont="1" applyFill="1" applyBorder="1"/>
    <xf numFmtId="10" fontId="8" fillId="2" borderId="7" xfId="3" applyNumberFormat="1" applyFont="1" applyFill="1" applyBorder="1"/>
    <xf numFmtId="0" fontId="31" fillId="2" borderId="1" xfId="16" applyFont="1" applyFill="1" applyBorder="1"/>
    <xf numFmtId="10" fontId="8" fillId="2" borderId="10" xfId="16" applyNumberFormat="1" applyFont="1" applyFill="1" applyBorder="1"/>
    <xf numFmtId="0" fontId="8" fillId="2" borderId="14" xfId="16" applyFont="1" applyFill="1" applyBorder="1"/>
    <xf numFmtId="0" fontId="8" fillId="2" borderId="15" xfId="16" applyFont="1" applyFill="1" applyBorder="1"/>
    <xf numFmtId="0" fontId="8" fillId="2" borderId="16" xfId="16" applyFont="1" applyFill="1" applyBorder="1"/>
    <xf numFmtId="0" fontId="8" fillId="8" borderId="0" xfId="16" applyFont="1" applyFill="1" applyBorder="1"/>
    <xf numFmtId="168" fontId="8" fillId="2" borderId="43" xfId="16" applyNumberFormat="1" applyFont="1" applyFill="1" applyBorder="1"/>
    <xf numFmtId="168" fontId="8" fillId="2" borderId="44" xfId="16" applyNumberFormat="1" applyFont="1" applyFill="1" applyBorder="1"/>
    <xf numFmtId="0" fontId="28" fillId="0" borderId="0" xfId="1" applyFont="1"/>
    <xf numFmtId="0" fontId="8" fillId="0" borderId="0" xfId="1" applyFont="1"/>
    <xf numFmtId="0" fontId="29" fillId="0" borderId="0" xfId="1" applyFont="1"/>
    <xf numFmtId="0" fontId="8" fillId="2" borderId="6" xfId="2" applyFont="1" applyFill="1" applyBorder="1"/>
    <xf numFmtId="0" fontId="8" fillId="0" borderId="0" xfId="1" applyFont="1" applyBorder="1"/>
    <xf numFmtId="0" fontId="8" fillId="0" borderId="5" xfId="1" applyFont="1" applyBorder="1" applyAlignment="1">
      <alignment horizontal="center"/>
    </xf>
    <xf numFmtId="10" fontId="8" fillId="0" borderId="20" xfId="6" applyNumberFormat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10" fontId="8" fillId="0" borderId="18" xfId="6" applyNumberFormat="1" applyFont="1" applyBorder="1" applyAlignment="1">
      <alignment horizontal="center"/>
    </xf>
    <xf numFmtId="0" fontId="8" fillId="2" borderId="18" xfId="2" applyFont="1" applyFill="1" applyBorder="1"/>
    <xf numFmtId="0" fontId="8" fillId="2" borderId="13" xfId="2" applyFont="1" applyFill="1" applyBorder="1"/>
    <xf numFmtId="0" fontId="8" fillId="0" borderId="12" xfId="1" applyFont="1" applyBorder="1" applyAlignment="1">
      <alignment horizontal="center"/>
    </xf>
    <xf numFmtId="10" fontId="8" fillId="0" borderId="19" xfId="6" applyNumberFormat="1" applyFont="1" applyBorder="1" applyAlignment="1">
      <alignment horizontal="center"/>
    </xf>
    <xf numFmtId="165" fontId="8" fillId="2" borderId="0" xfId="3" applyNumberFormat="1" applyFont="1" applyFill="1" applyBorder="1"/>
    <xf numFmtId="10" fontId="8" fillId="2" borderId="10" xfId="3" applyNumberFormat="1" applyFont="1" applyFill="1" applyBorder="1"/>
    <xf numFmtId="0" fontId="22" fillId="0" borderId="11" xfId="1" applyFont="1" applyBorder="1" applyAlignment="1">
      <alignment horizontal="right"/>
    </xf>
    <xf numFmtId="0" fontId="22" fillId="0" borderId="13" xfId="1" applyFont="1" applyBorder="1" applyAlignment="1">
      <alignment horizontal="right"/>
    </xf>
    <xf numFmtId="0" fontId="8" fillId="0" borderId="1" xfId="1" applyFont="1" applyBorder="1"/>
    <xf numFmtId="10" fontId="8" fillId="0" borderId="8" xfId="3" applyNumberFormat="1" applyFont="1" applyBorder="1"/>
    <xf numFmtId="0" fontId="8" fillId="0" borderId="4" xfId="1" applyFont="1" applyBorder="1"/>
    <xf numFmtId="0" fontId="22" fillId="0" borderId="0" xfId="1" applyFont="1"/>
    <xf numFmtId="0" fontId="30" fillId="0" borderId="0" xfId="1" applyFont="1"/>
    <xf numFmtId="0" fontId="22" fillId="0" borderId="2" xfId="1" applyFont="1" applyBorder="1"/>
    <xf numFmtId="10" fontId="8" fillId="0" borderId="8" xfId="3" applyNumberFormat="1" applyFont="1" applyBorder="1" applyAlignment="1">
      <alignment horizontal="right"/>
    </xf>
    <xf numFmtId="0" fontId="8" fillId="0" borderId="27" xfId="1" applyFont="1" applyBorder="1"/>
    <xf numFmtId="0" fontId="8" fillId="0" borderId="17" xfId="1" applyFont="1" applyBorder="1"/>
    <xf numFmtId="167" fontId="8" fillId="0" borderId="0" xfId="1" applyNumberFormat="1" applyFont="1"/>
    <xf numFmtId="0" fontId="22" fillId="0" borderId="3" xfId="1" applyFont="1" applyBorder="1"/>
    <xf numFmtId="0" fontId="8" fillId="0" borderId="0" xfId="0" applyFont="1"/>
    <xf numFmtId="0" fontId="8" fillId="3" borderId="0" xfId="1" applyFont="1" applyFill="1" applyBorder="1"/>
    <xf numFmtId="10" fontId="8" fillId="0" borderId="23" xfId="3" applyNumberFormat="1" applyFont="1" applyBorder="1"/>
    <xf numFmtId="0" fontId="22" fillId="0" borderId="0" xfId="1" applyFont="1" applyBorder="1"/>
    <xf numFmtId="0" fontId="8" fillId="3" borderId="27" xfId="1" applyFont="1" applyFill="1" applyBorder="1"/>
    <xf numFmtId="3" fontId="5" fillId="0" borderId="7" xfId="0" applyNumberFormat="1" applyFont="1" applyBorder="1" applyProtection="1">
      <protection locked="0"/>
    </xf>
    <xf numFmtId="0" fontId="0" fillId="8" borderId="0" xfId="0" applyFill="1"/>
    <xf numFmtId="0" fontId="0" fillId="2" borderId="35" xfId="0" applyFill="1" applyBorder="1"/>
    <xf numFmtId="0" fontId="0" fillId="2" borderId="36" xfId="0" applyFill="1" applyBorder="1"/>
    <xf numFmtId="0" fontId="0" fillId="2" borderId="37" xfId="0" applyFill="1" applyBorder="1" applyAlignment="1">
      <alignment horizontal="center" wrapText="1"/>
    </xf>
    <xf numFmtId="0" fontId="0" fillId="2" borderId="25" xfId="0" applyFill="1" applyBorder="1" applyAlignment="1">
      <alignment horizontal="center" wrapText="1"/>
    </xf>
    <xf numFmtId="0" fontId="0" fillId="2" borderId="38" xfId="0" applyFill="1" applyBorder="1" applyAlignment="1">
      <alignment horizontal="center" wrapText="1"/>
    </xf>
    <xf numFmtId="168" fontId="0" fillId="2" borderId="23" xfId="15" applyNumberFormat="1" applyFont="1" applyFill="1" applyBorder="1"/>
    <xf numFmtId="168" fontId="0" fillId="2" borderId="17" xfId="15" applyNumberFormat="1" applyFont="1" applyFill="1" applyBorder="1"/>
    <xf numFmtId="168" fontId="0" fillId="2" borderId="41" xfId="0" applyNumberFormat="1" applyFill="1" applyBorder="1"/>
    <xf numFmtId="168" fontId="0" fillId="2" borderId="24" xfId="15" applyNumberFormat="1" applyFont="1" applyFill="1" applyBorder="1"/>
    <xf numFmtId="168" fontId="0" fillId="2" borderId="22" xfId="15" applyNumberFormat="1" applyFont="1" applyFill="1" applyBorder="1"/>
    <xf numFmtId="168" fontId="0" fillId="2" borderId="42" xfId="0" applyNumberFormat="1" applyFill="1" applyBorder="1"/>
    <xf numFmtId="0" fontId="0" fillId="8" borderId="0" xfId="0" applyFill="1" applyBorder="1"/>
    <xf numFmtId="168" fontId="0" fillId="2" borderId="43" xfId="0" applyNumberFormat="1" applyFill="1" applyBorder="1"/>
    <xf numFmtId="168" fontId="0" fillId="2" borderId="43" xfId="15" applyNumberFormat="1" applyFont="1" applyFill="1" applyBorder="1"/>
    <xf numFmtId="168" fontId="0" fillId="2" borderId="44" xfId="0" applyNumberFormat="1" applyFill="1" applyBorder="1"/>
    <xf numFmtId="0" fontId="33" fillId="8" borderId="0" xfId="0" applyFont="1" applyFill="1"/>
    <xf numFmtId="0" fontId="34" fillId="8" borderId="0" xfId="0" applyFont="1" applyFill="1"/>
    <xf numFmtId="171" fontId="0" fillId="8" borderId="0" xfId="0" applyNumberFormat="1" applyFill="1"/>
    <xf numFmtId="3" fontId="8" fillId="8" borderId="0" xfId="1" applyNumberFormat="1" applyFont="1" applyFill="1"/>
    <xf numFmtId="3" fontId="8" fillId="0" borderId="0" xfId="1" applyNumberFormat="1" applyFont="1"/>
    <xf numFmtId="0" fontId="7" fillId="2" borderId="2" xfId="16" applyFill="1" applyBorder="1"/>
    <xf numFmtId="0" fontId="7" fillId="2" borderId="3" xfId="16" applyFill="1" applyBorder="1"/>
    <xf numFmtId="0" fontId="7" fillId="2" borderId="4" xfId="16" applyFill="1" applyBorder="1"/>
    <xf numFmtId="0" fontId="7" fillId="8" borderId="0" xfId="16" applyFill="1"/>
    <xf numFmtId="0" fontId="34" fillId="2" borderId="1" xfId="16" applyFont="1" applyFill="1" applyBorder="1"/>
    <xf numFmtId="0" fontId="34" fillId="0" borderId="0" xfId="16" applyFont="1" applyFill="1" applyBorder="1" applyAlignment="1">
      <alignment horizontal="center"/>
    </xf>
    <xf numFmtId="0" fontId="7" fillId="2" borderId="0" xfId="16" applyFill="1" applyBorder="1"/>
    <xf numFmtId="0" fontId="7" fillId="2" borderId="8" xfId="16" applyFill="1" applyBorder="1"/>
    <xf numFmtId="0" fontId="7" fillId="2" borderId="7" xfId="16" applyFill="1" applyBorder="1" applyAlignment="1">
      <alignment horizontal="center"/>
    </xf>
    <xf numFmtId="0" fontId="36" fillId="2" borderId="8" xfId="16" applyFont="1" applyFill="1" applyBorder="1"/>
    <xf numFmtId="168" fontId="7" fillId="2" borderId="7" xfId="16" applyNumberFormat="1" applyFill="1" applyBorder="1"/>
    <xf numFmtId="10" fontId="7" fillId="2" borderId="7" xfId="3" applyNumberFormat="1" applyFill="1" applyBorder="1"/>
    <xf numFmtId="168" fontId="7" fillId="2" borderId="17" xfId="16" applyNumberFormat="1" applyFill="1" applyBorder="1"/>
    <xf numFmtId="10" fontId="7" fillId="2" borderId="17" xfId="3" applyNumberFormat="1" applyFill="1" applyBorder="1"/>
    <xf numFmtId="168" fontId="7" fillId="2" borderId="22" xfId="16" applyNumberFormat="1" applyFill="1" applyBorder="1"/>
    <xf numFmtId="10" fontId="7" fillId="2" borderId="22" xfId="3" applyNumberFormat="1" applyFill="1" applyBorder="1"/>
    <xf numFmtId="0" fontId="36" fillId="2" borderId="42" xfId="16" applyFont="1" applyFill="1" applyBorder="1"/>
    <xf numFmtId="0" fontId="37" fillId="2" borderId="21" xfId="16" applyFont="1" applyFill="1" applyBorder="1"/>
    <xf numFmtId="168" fontId="37" fillId="2" borderId="46" xfId="16" applyNumberFormat="1" applyFont="1" applyFill="1" applyBorder="1" applyAlignment="1">
      <alignment horizontal="right"/>
    </xf>
    <xf numFmtId="168" fontId="37" fillId="2" borderId="21" xfId="16" applyNumberFormat="1" applyFont="1" applyFill="1" applyBorder="1" applyAlignment="1">
      <alignment horizontal="right"/>
    </xf>
    <xf numFmtId="0" fontId="34" fillId="8" borderId="0" xfId="16" applyFont="1" applyFill="1"/>
    <xf numFmtId="0" fontId="34" fillId="2" borderId="11" xfId="16" applyFont="1" applyFill="1" applyBorder="1"/>
    <xf numFmtId="168" fontId="37" fillId="2" borderId="11" xfId="16" applyNumberFormat="1" applyFont="1" applyFill="1" applyBorder="1" applyAlignment="1">
      <alignment horizontal="right"/>
    </xf>
    <xf numFmtId="168" fontId="34" fillId="8" borderId="0" xfId="16" applyNumberFormat="1" applyFont="1" applyFill="1"/>
    <xf numFmtId="171" fontId="7" fillId="8" borderId="0" xfId="16" applyNumberFormat="1" applyFill="1"/>
    <xf numFmtId="0" fontId="0" fillId="2" borderId="34" xfId="0" applyFill="1" applyBorder="1" applyAlignment="1">
      <alignment horizontal="center" wrapText="1"/>
    </xf>
    <xf numFmtId="0" fontId="7" fillId="2" borderId="35" xfId="16" applyFill="1" applyBorder="1"/>
    <xf numFmtId="0" fontId="7" fillId="2" borderId="36" xfId="16" applyFill="1" applyBorder="1"/>
    <xf numFmtId="0" fontId="0" fillId="2" borderId="0" xfId="0" applyFill="1"/>
    <xf numFmtId="0" fontId="7" fillId="2" borderId="27" xfId="16" applyFont="1" applyFill="1" applyBorder="1"/>
    <xf numFmtId="0" fontId="7" fillId="2" borderId="27" xfId="16" applyFill="1" applyBorder="1"/>
    <xf numFmtId="168" fontId="7" fillId="2" borderId="23" xfId="15" applyNumberFormat="1" applyFill="1" applyBorder="1"/>
    <xf numFmtId="168" fontId="7" fillId="2" borderId="17" xfId="15" applyNumberFormat="1" applyFill="1" applyBorder="1"/>
    <xf numFmtId="0" fontId="7" fillId="2" borderId="1" xfId="16" applyFill="1" applyBorder="1"/>
    <xf numFmtId="0" fontId="7" fillId="2" borderId="28" xfId="16" applyFill="1" applyBorder="1"/>
    <xf numFmtId="0" fontId="7" fillId="2" borderId="14" xfId="16" applyFill="1" applyBorder="1"/>
    <xf numFmtId="168" fontId="7" fillId="2" borderId="24" xfId="15" applyNumberFormat="1" applyFill="1" applyBorder="1"/>
    <xf numFmtId="168" fontId="7" fillId="2" borderId="22" xfId="15" applyNumberFormat="1" applyFill="1" applyBorder="1"/>
    <xf numFmtId="0" fontId="0" fillId="8" borderId="36" xfId="0" applyFill="1" applyBorder="1"/>
    <xf numFmtId="0" fontId="0" fillId="8" borderId="27" xfId="0" applyFill="1" applyBorder="1"/>
    <xf numFmtId="168" fontId="0" fillId="2" borderId="40" xfId="0" applyNumberFormat="1" applyFill="1" applyBorder="1"/>
    <xf numFmtId="0" fontId="0" fillId="8" borderId="1" xfId="0" applyFill="1" applyBorder="1"/>
    <xf numFmtId="172" fontId="7" fillId="4" borderId="23" xfId="15" applyNumberFormat="1" applyFill="1" applyBorder="1"/>
    <xf numFmtId="172" fontId="7" fillId="4" borderId="17" xfId="15" applyNumberFormat="1" applyFill="1" applyBorder="1"/>
    <xf numFmtId="172" fontId="7" fillId="4" borderId="41" xfId="15" applyNumberFormat="1" applyFill="1" applyBorder="1"/>
    <xf numFmtId="0" fontId="0" fillId="8" borderId="14" xfId="0" applyFill="1" applyBorder="1"/>
    <xf numFmtId="172" fontId="7" fillId="4" borderId="24" xfId="15" applyNumberFormat="1" applyFill="1" applyBorder="1"/>
    <xf numFmtId="172" fontId="7" fillId="4" borderId="22" xfId="15" applyNumberFormat="1" applyFill="1" applyBorder="1"/>
    <xf numFmtId="172" fontId="7" fillId="4" borderId="42" xfId="15" applyNumberFormat="1" applyFill="1" applyBorder="1"/>
    <xf numFmtId="168" fontId="7" fillId="9" borderId="7" xfId="15" applyNumberFormat="1" applyFont="1" applyFill="1" applyBorder="1"/>
    <xf numFmtId="168" fontId="7" fillId="9" borderId="17" xfId="15" applyNumberFormat="1" applyFont="1" applyFill="1" applyBorder="1"/>
    <xf numFmtId="168" fontId="7" fillId="9" borderId="22" xfId="15" applyNumberFormat="1" applyFont="1" applyFill="1" applyBorder="1"/>
    <xf numFmtId="0" fontId="8" fillId="3" borderId="1" xfId="1" applyFont="1" applyFill="1" applyBorder="1"/>
    <xf numFmtId="10" fontId="8" fillId="0" borderId="0" xfId="6" applyNumberFormat="1" applyFont="1" applyBorder="1"/>
    <xf numFmtId="0" fontId="0" fillId="0" borderId="0" xfId="0" applyFont="1"/>
    <xf numFmtId="0" fontId="7" fillId="9" borderId="0" xfId="16" applyFont="1" applyFill="1"/>
    <xf numFmtId="168" fontId="7" fillId="2" borderId="27" xfId="16" applyNumberFormat="1" applyFill="1" applyBorder="1"/>
    <xf numFmtId="168" fontId="7" fillId="2" borderId="28" xfId="16" applyNumberFormat="1" applyFill="1" applyBorder="1"/>
    <xf numFmtId="0" fontId="8" fillId="2" borderId="35" xfId="16" applyFont="1" applyFill="1" applyBorder="1" applyAlignment="1">
      <alignment horizontal="center" wrapText="1"/>
    </xf>
    <xf numFmtId="3" fontId="14" fillId="0" borderId="10" xfId="6" applyNumberFormat="1" applyFont="1" applyFill="1" applyBorder="1" applyAlignment="1" applyProtection="1">
      <alignment horizontal="right" vertical="center"/>
    </xf>
    <xf numFmtId="10" fontId="5" fillId="0" borderId="0" xfId="6" applyNumberFormat="1" applyFont="1" applyProtection="1">
      <protection locked="0"/>
    </xf>
    <xf numFmtId="10" fontId="5" fillId="0" borderId="17" xfId="6" applyNumberFormat="1" applyFont="1" applyBorder="1" applyProtection="1">
      <protection locked="0"/>
    </xf>
    <xf numFmtId="3" fontId="0" fillId="8" borderId="0" xfId="0" applyNumberFormat="1" applyFill="1"/>
    <xf numFmtId="173" fontId="24" fillId="4" borderId="23" xfId="15" applyNumberFormat="1" applyFont="1" applyFill="1" applyBorder="1"/>
    <xf numFmtId="173" fontId="24" fillId="4" borderId="17" xfId="15" applyNumberFormat="1" applyFont="1" applyFill="1" applyBorder="1"/>
    <xf numFmtId="173" fontId="38" fillId="4" borderId="23" xfId="15" applyNumberFormat="1" applyFont="1" applyFill="1" applyBorder="1"/>
    <xf numFmtId="173" fontId="38" fillId="4" borderId="17" xfId="15" applyNumberFormat="1" applyFont="1" applyFill="1" applyBorder="1"/>
    <xf numFmtId="173" fontId="38" fillId="4" borderId="41" xfId="15" applyNumberFormat="1" applyFont="1" applyFill="1" applyBorder="1"/>
    <xf numFmtId="175" fontId="8" fillId="0" borderId="0" xfId="6" applyNumberFormat="1" applyFont="1" applyBorder="1"/>
    <xf numFmtId="3" fontId="6" fillId="5" borderId="17" xfId="0" applyNumberFormat="1" applyFont="1" applyFill="1" applyBorder="1" applyAlignment="1" applyProtection="1">
      <alignment horizontal="right" vertical="center"/>
    </xf>
    <xf numFmtId="0" fontId="0" fillId="0" borderId="0" xfId="0" applyFill="1"/>
    <xf numFmtId="3" fontId="6" fillId="0" borderId="10" xfId="0" applyNumberFormat="1" applyFont="1" applyFill="1" applyBorder="1" applyAlignment="1" applyProtection="1">
      <alignment horizontal="right" vertical="center"/>
    </xf>
    <xf numFmtId="168" fontId="0" fillId="8" borderId="0" xfId="0" applyNumberFormat="1" applyFill="1" applyBorder="1"/>
    <xf numFmtId="10" fontId="39" fillId="0" borderId="0" xfId="6" applyNumberFormat="1" applyFont="1" applyAlignment="1" applyProtection="1">
      <alignment horizontal="center"/>
      <protection locked="0"/>
    </xf>
    <xf numFmtId="0" fontId="8" fillId="3" borderId="26" xfId="1" applyFont="1" applyFill="1" applyBorder="1"/>
    <xf numFmtId="171" fontId="8" fillId="8" borderId="0" xfId="1" applyNumberFormat="1" applyFont="1" applyFill="1"/>
    <xf numFmtId="0" fontId="8" fillId="2" borderId="36" xfId="1" applyFont="1" applyFill="1" applyBorder="1"/>
    <xf numFmtId="0" fontId="24" fillId="2" borderId="37" xfId="1" applyFont="1" applyFill="1" applyBorder="1" applyAlignment="1">
      <alignment horizontal="center" wrapText="1"/>
    </xf>
    <xf numFmtId="0" fontId="24" fillId="2" borderId="25" xfId="1" applyFont="1" applyFill="1" applyBorder="1" applyAlignment="1">
      <alignment horizontal="center" wrapText="1"/>
    </xf>
    <xf numFmtId="0" fontId="24" fillId="4" borderId="27" xfId="1" applyFont="1" applyFill="1" applyBorder="1"/>
    <xf numFmtId="173" fontId="8" fillId="4" borderId="17" xfId="15" applyNumberFormat="1" applyFont="1" applyFill="1" applyBorder="1"/>
    <xf numFmtId="173" fontId="24" fillId="4" borderId="1" xfId="15" applyNumberFormat="1" applyFont="1" applyFill="1" applyBorder="1"/>
    <xf numFmtId="173" fontId="8" fillId="4" borderId="23" xfId="15" applyNumberFormat="1" applyFont="1" applyFill="1" applyBorder="1"/>
    <xf numFmtId="172" fontId="8" fillId="4" borderId="23" xfId="15" applyNumberFormat="1" applyFont="1" applyFill="1" applyBorder="1"/>
    <xf numFmtId="172" fontId="8" fillId="4" borderId="17" xfId="15" applyNumberFormat="1" applyFont="1" applyFill="1" applyBorder="1"/>
    <xf numFmtId="0" fontId="24" fillId="4" borderId="28" xfId="1" applyFont="1" applyFill="1" applyBorder="1"/>
    <xf numFmtId="172" fontId="8" fillId="4" borderId="24" xfId="15" applyNumberFormat="1" applyFont="1" applyFill="1" applyBorder="1"/>
    <xf numFmtId="172" fontId="8" fillId="4" borderId="22" xfId="15" applyNumberFormat="1" applyFont="1" applyFill="1" applyBorder="1"/>
    <xf numFmtId="0" fontId="8" fillId="3" borderId="28" xfId="1" applyFont="1" applyFill="1" applyBorder="1"/>
    <xf numFmtId="174" fontId="30" fillId="5" borderId="27" xfId="1" applyNumberFormat="1" applyFont="1" applyFill="1" applyBorder="1" applyAlignment="1">
      <alignment horizontal="center"/>
    </xf>
    <xf numFmtId="0" fontId="7" fillId="9" borderId="0" xfId="0" applyFont="1" applyFill="1"/>
    <xf numFmtId="3" fontId="5" fillId="0" borderId="0" xfId="0" applyNumberFormat="1" applyFont="1" applyFill="1" applyBorder="1" applyProtection="1">
      <protection locked="0"/>
    </xf>
    <xf numFmtId="43" fontId="8" fillId="0" borderId="0" xfId="1" applyNumberFormat="1" applyFont="1"/>
    <xf numFmtId="173" fontId="8" fillId="0" borderId="0" xfId="5" applyNumberFormat="1" applyFont="1"/>
    <xf numFmtId="166" fontId="8" fillId="0" borderId="0" xfId="1" applyNumberFormat="1" applyFont="1"/>
    <xf numFmtId="176" fontId="8" fillId="0" borderId="0" xfId="6" applyNumberFormat="1" applyFont="1"/>
    <xf numFmtId="178" fontId="8" fillId="0" borderId="0" xfId="1" applyNumberFormat="1" applyFont="1"/>
    <xf numFmtId="0" fontId="40" fillId="8" borderId="0" xfId="0" applyFont="1" applyFill="1"/>
    <xf numFmtId="174" fontId="6" fillId="0" borderId="0" xfId="6" applyNumberFormat="1" applyFont="1" applyFill="1" applyBorder="1" applyProtection="1">
      <protection locked="0"/>
    </xf>
    <xf numFmtId="173" fontId="38" fillId="5" borderId="17" xfId="15" applyNumberFormat="1" applyFont="1" applyFill="1" applyBorder="1"/>
    <xf numFmtId="0" fontId="8" fillId="0" borderId="0" xfId="1" applyFont="1" applyAlignment="1">
      <alignment horizontal="right"/>
    </xf>
    <xf numFmtId="0" fontId="22" fillId="0" borderId="0" xfId="1" applyFont="1" applyAlignment="1">
      <alignment horizontal="right"/>
    </xf>
    <xf numFmtId="0" fontId="22" fillId="0" borderId="0" xfId="1" applyFont="1" applyAlignment="1">
      <alignment horizontal="center"/>
    </xf>
    <xf numFmtId="3" fontId="6" fillId="0" borderId="17" xfId="0" applyNumberFormat="1" applyFont="1" applyFill="1" applyBorder="1" applyAlignment="1" applyProtection="1">
      <alignment horizontal="right" vertical="center"/>
    </xf>
    <xf numFmtId="3" fontId="6" fillId="11" borderId="7" xfId="0" applyNumberFormat="1" applyFont="1" applyFill="1" applyBorder="1" applyAlignment="1" applyProtection="1">
      <alignment horizontal="right" vertical="center"/>
    </xf>
    <xf numFmtId="3" fontId="6" fillId="11" borderId="7" xfId="6" applyNumberFormat="1" applyFont="1" applyFill="1" applyBorder="1" applyAlignment="1" applyProtection="1">
      <alignment horizontal="right" vertical="center"/>
    </xf>
    <xf numFmtId="3" fontId="6" fillId="11" borderId="11" xfId="6" applyNumberFormat="1" applyFont="1" applyFill="1" applyBorder="1" applyAlignment="1" applyProtection="1">
      <alignment horizontal="right" vertical="center"/>
    </xf>
    <xf numFmtId="0" fontId="22" fillId="2" borderId="3" xfId="2" applyFont="1" applyFill="1" applyBorder="1"/>
    <xf numFmtId="0" fontId="24" fillId="2" borderId="0" xfId="2" applyFont="1" applyFill="1" applyBorder="1"/>
    <xf numFmtId="0" fontId="24" fillId="2" borderId="13" xfId="2" applyFont="1" applyFill="1" applyBorder="1"/>
    <xf numFmtId="0" fontId="22" fillId="0" borderId="13" xfId="1" applyFont="1" applyBorder="1"/>
    <xf numFmtId="0" fontId="22" fillId="0" borderId="4" xfId="1" applyFont="1" applyBorder="1" applyAlignment="1">
      <alignment horizontal="right"/>
    </xf>
    <xf numFmtId="0" fontId="22" fillId="0" borderId="11" xfId="1" applyFont="1" applyBorder="1"/>
    <xf numFmtId="0" fontId="22" fillId="0" borderId="3" xfId="1" applyFont="1" applyBorder="1" applyAlignment="1">
      <alignment horizontal="right"/>
    </xf>
    <xf numFmtId="0" fontId="22" fillId="0" borderId="37" xfId="1" applyFont="1" applyBorder="1" applyAlignment="1">
      <alignment horizontal="right"/>
    </xf>
    <xf numFmtId="0" fontId="22" fillId="0" borderId="25" xfId="1" applyFont="1" applyBorder="1" applyAlignment="1">
      <alignment horizontal="right"/>
    </xf>
    <xf numFmtId="0" fontId="22" fillId="0" borderId="38" xfId="1" applyFont="1" applyBorder="1" applyAlignment="1">
      <alignment horizontal="right"/>
    </xf>
    <xf numFmtId="0" fontId="8" fillId="0" borderId="23" xfId="1" applyFont="1" applyBorder="1"/>
    <xf numFmtId="0" fontId="8" fillId="0" borderId="41" xfId="1" applyFont="1" applyBorder="1"/>
    <xf numFmtId="0" fontId="22" fillId="0" borderId="51" xfId="1" applyFont="1" applyBorder="1" applyAlignment="1">
      <alignment horizontal="right"/>
    </xf>
    <xf numFmtId="0" fontId="22" fillId="0" borderId="21" xfId="1" applyFont="1" applyBorder="1" applyAlignment="1">
      <alignment horizontal="right"/>
    </xf>
    <xf numFmtId="0" fontId="8" fillId="0" borderId="21" xfId="1" applyFont="1" applyBorder="1"/>
    <xf numFmtId="0" fontId="8" fillId="0" borderId="52" xfId="1" applyFont="1" applyBorder="1"/>
    <xf numFmtId="0" fontId="22" fillId="0" borderId="53" xfId="1" applyFont="1" applyBorder="1" applyAlignment="1">
      <alignment horizontal="right"/>
    </xf>
    <xf numFmtId="0" fontId="22" fillId="0" borderId="54" xfId="1" applyFont="1" applyBorder="1" applyAlignment="1">
      <alignment horizontal="right"/>
    </xf>
    <xf numFmtId="10" fontId="22" fillId="0" borderId="22" xfId="3" applyNumberFormat="1" applyFont="1" applyFill="1" applyBorder="1"/>
    <xf numFmtId="0" fontId="22" fillId="0" borderId="2" xfId="1" applyFont="1" applyBorder="1" applyAlignment="1"/>
    <xf numFmtId="0" fontId="22" fillId="0" borderId="3" xfId="1" applyFont="1" applyBorder="1" applyAlignment="1"/>
    <xf numFmtId="0" fontId="8" fillId="0" borderId="4" xfId="1" applyFont="1" applyBorder="1" applyAlignment="1"/>
    <xf numFmtId="0" fontId="22" fillId="0" borderId="30" xfId="1" applyFont="1" applyBorder="1"/>
    <xf numFmtId="0" fontId="8" fillId="0" borderId="31" xfId="1" applyFont="1" applyBorder="1" applyAlignment="1"/>
    <xf numFmtId="0" fontId="24" fillId="2" borderId="1" xfId="2" applyFont="1" applyFill="1" applyBorder="1"/>
    <xf numFmtId="0" fontId="24" fillId="2" borderId="30" xfId="2" applyFont="1" applyFill="1" applyBorder="1"/>
    <xf numFmtId="0" fontId="24" fillId="2" borderId="29" xfId="2" applyFont="1" applyFill="1" applyBorder="1"/>
    <xf numFmtId="0" fontId="24" fillId="2" borderId="6" xfId="2" applyFont="1" applyFill="1" applyBorder="1"/>
    <xf numFmtId="0" fontId="22" fillId="0" borderId="45" xfId="1" applyFont="1" applyBorder="1" applyAlignment="1">
      <alignment horizontal="right"/>
    </xf>
    <xf numFmtId="0" fontId="22" fillId="0" borderId="10" xfId="1" applyFont="1" applyBorder="1" applyAlignment="1">
      <alignment horizontal="right"/>
    </xf>
    <xf numFmtId="0" fontId="22" fillId="0" borderId="50" xfId="1" applyFont="1" applyBorder="1" applyAlignment="1">
      <alignment horizontal="right"/>
    </xf>
    <xf numFmtId="10" fontId="8" fillId="0" borderId="17" xfId="3" applyNumberFormat="1" applyFont="1" applyBorder="1"/>
    <xf numFmtId="10" fontId="8" fillId="0" borderId="41" xfId="3" applyNumberFormat="1" applyFont="1" applyBorder="1"/>
    <xf numFmtId="10" fontId="8" fillId="0" borderId="0" xfId="3" applyNumberFormat="1" applyFont="1" applyBorder="1"/>
    <xf numFmtId="166" fontId="8" fillId="9" borderId="23" xfId="3" applyNumberFormat="1" applyFont="1" applyFill="1" applyBorder="1"/>
    <xf numFmtId="166" fontId="8" fillId="9" borderId="17" xfId="3" applyNumberFormat="1" applyFont="1" applyFill="1" applyBorder="1"/>
    <xf numFmtId="166" fontId="8" fillId="9" borderId="41" xfId="3" applyNumberFormat="1" applyFont="1" applyFill="1" applyBorder="1"/>
    <xf numFmtId="6" fontId="8" fillId="3" borderId="0" xfId="3" applyNumberFormat="1" applyFont="1" applyFill="1" applyBorder="1"/>
    <xf numFmtId="6" fontId="8" fillId="0" borderId="0" xfId="1" applyNumberFormat="1" applyFont="1" applyBorder="1"/>
    <xf numFmtId="6" fontId="8" fillId="3" borderId="8" xfId="3" applyNumberFormat="1" applyFont="1" applyFill="1" applyBorder="1"/>
    <xf numFmtId="6" fontId="8" fillId="0" borderId="8" xfId="1" applyNumberFormat="1" applyFont="1" applyBorder="1"/>
    <xf numFmtId="6" fontId="22" fillId="0" borderId="22" xfId="3" applyNumberFormat="1" applyFont="1" applyFill="1" applyBorder="1"/>
    <xf numFmtId="6" fontId="8" fillId="0" borderId="17" xfId="1" applyNumberFormat="1" applyFont="1" applyBorder="1"/>
    <xf numFmtId="6" fontId="8" fillId="10" borderId="23" xfId="3" applyNumberFormat="1" applyFont="1" applyFill="1" applyBorder="1"/>
    <xf numFmtId="164" fontId="8" fillId="10" borderId="7" xfId="2" applyNumberFormat="1" applyFont="1" applyFill="1" applyBorder="1"/>
    <xf numFmtId="164" fontId="8" fillId="10" borderId="10" xfId="2" applyNumberFormat="1" applyFont="1" applyFill="1" applyBorder="1"/>
    <xf numFmtId="164" fontId="8" fillId="10" borderId="11" xfId="2" applyNumberFormat="1" applyFont="1" applyFill="1" applyBorder="1"/>
    <xf numFmtId="10" fontId="22" fillId="13" borderId="22" xfId="3" applyNumberFormat="1" applyFont="1" applyFill="1" applyBorder="1"/>
    <xf numFmtId="10" fontId="22" fillId="13" borderId="42" xfId="3" applyNumberFormat="1" applyFont="1" applyFill="1" applyBorder="1"/>
    <xf numFmtId="10" fontId="22" fillId="13" borderId="24" xfId="3" applyNumberFormat="1" applyFont="1" applyFill="1" applyBorder="1"/>
    <xf numFmtId="10" fontId="22" fillId="13" borderId="15" xfId="3" applyNumberFormat="1" applyFont="1" applyFill="1" applyBorder="1"/>
    <xf numFmtId="0" fontId="22" fillId="13" borderId="1" xfId="1" applyFont="1" applyFill="1" applyBorder="1" applyAlignment="1">
      <alignment wrapText="1"/>
    </xf>
    <xf numFmtId="0" fontId="22" fillId="13" borderId="0" xfId="1" applyFont="1" applyFill="1" applyBorder="1" applyAlignment="1">
      <alignment wrapText="1"/>
    </xf>
    <xf numFmtId="10" fontId="22" fillId="13" borderId="8" xfId="3" applyNumberFormat="1" applyFont="1" applyFill="1" applyBorder="1"/>
    <xf numFmtId="0" fontId="22" fillId="13" borderId="1" xfId="1" applyFont="1" applyFill="1" applyBorder="1"/>
    <xf numFmtId="0" fontId="22" fillId="13" borderId="0" xfId="1" applyFont="1" applyFill="1" applyBorder="1"/>
    <xf numFmtId="10" fontId="22" fillId="13" borderId="8" xfId="6" applyNumberFormat="1" applyFont="1" applyFill="1" applyBorder="1" applyAlignment="1">
      <alignment horizontal="right"/>
    </xf>
    <xf numFmtId="0" fontId="22" fillId="13" borderId="14" xfId="1" applyFont="1" applyFill="1" applyBorder="1"/>
    <xf numFmtId="0" fontId="22" fillId="13" borderId="15" xfId="1" applyFont="1" applyFill="1" applyBorder="1"/>
    <xf numFmtId="10" fontId="22" fillId="13" borderId="16" xfId="6" applyNumberFormat="1" applyFont="1" applyFill="1" applyBorder="1" applyAlignment="1">
      <alignment horizontal="right"/>
    </xf>
    <xf numFmtId="0" fontId="22" fillId="13" borderId="14" xfId="1" applyFont="1" applyFill="1" applyBorder="1" applyAlignment="1">
      <alignment horizontal="left" wrapText="1"/>
    </xf>
    <xf numFmtId="0" fontId="22" fillId="13" borderId="15" xfId="1" applyFont="1" applyFill="1" applyBorder="1" applyAlignment="1">
      <alignment horizontal="left" wrapText="1"/>
    </xf>
    <xf numFmtId="10" fontId="22" fillId="13" borderId="16" xfId="3" applyNumberFormat="1" applyFont="1" applyFill="1" applyBorder="1" applyAlignment="1">
      <alignment horizontal="right"/>
    </xf>
    <xf numFmtId="6" fontId="22" fillId="13" borderId="24" xfId="3" applyNumberFormat="1" applyFont="1" applyFill="1" applyBorder="1"/>
    <xf numFmtId="0" fontId="22" fillId="13" borderId="14" xfId="1" applyFont="1" applyFill="1" applyBorder="1" applyAlignment="1">
      <alignment wrapText="1"/>
    </xf>
    <xf numFmtId="0" fontId="22" fillId="13" borderId="15" xfId="1" applyFont="1" applyFill="1" applyBorder="1" applyAlignment="1">
      <alignment wrapText="1"/>
    </xf>
    <xf numFmtId="6" fontId="22" fillId="13" borderId="22" xfId="3" applyNumberFormat="1" applyFont="1" applyFill="1" applyBorder="1"/>
    <xf numFmtId="6" fontId="22" fillId="13" borderId="42" xfId="3" applyNumberFormat="1" applyFont="1" applyFill="1" applyBorder="1"/>
    <xf numFmtId="6" fontId="22" fillId="13" borderId="15" xfId="3" applyNumberFormat="1" applyFont="1" applyFill="1" applyBorder="1"/>
    <xf numFmtId="6" fontId="22" fillId="13" borderId="16" xfId="3" applyNumberFormat="1" applyFont="1" applyFill="1" applyBorder="1"/>
    <xf numFmtId="0" fontId="22" fillId="0" borderId="2" xfId="1" applyFont="1" applyFill="1" applyBorder="1"/>
    <xf numFmtId="0" fontId="22" fillId="0" borderId="3" xfId="1" applyFont="1" applyFill="1" applyBorder="1"/>
    <xf numFmtId="3" fontId="14" fillId="13" borderId="10" xfId="6" applyNumberFormat="1" applyFont="1" applyFill="1" applyBorder="1" applyAlignment="1" applyProtection="1">
      <alignment horizontal="right" vertical="center"/>
      <protection hidden="1"/>
    </xf>
    <xf numFmtId="169" fontId="41" fillId="0" borderId="17" xfId="0" applyNumberFormat="1" applyFont="1" applyBorder="1" applyAlignment="1" applyProtection="1">
      <alignment horizontal="center"/>
    </xf>
    <xf numFmtId="0" fontId="0" fillId="14" borderId="27" xfId="0" applyFill="1" applyBorder="1"/>
    <xf numFmtId="0" fontId="7" fillId="14" borderId="27" xfId="0" applyFont="1" applyFill="1" applyBorder="1"/>
    <xf numFmtId="0" fontId="0" fillId="14" borderId="28" xfId="0" applyFill="1" applyBorder="1"/>
    <xf numFmtId="173" fontId="0" fillId="0" borderId="23" xfId="15" applyNumberFormat="1" applyFont="1" applyFill="1" applyBorder="1"/>
    <xf numFmtId="173" fontId="0" fillId="0" borderId="17" xfId="15" applyNumberFormat="1" applyFont="1" applyFill="1" applyBorder="1"/>
    <xf numFmtId="173" fontId="0" fillId="0" borderId="41" xfId="15" applyNumberFormat="1" applyFont="1" applyFill="1" applyBorder="1"/>
    <xf numFmtId="173" fontId="7" fillId="0" borderId="23" xfId="15" applyNumberFormat="1" applyFont="1" applyFill="1" applyBorder="1"/>
    <xf numFmtId="173" fontId="7" fillId="0" borderId="17" xfId="15" applyNumberFormat="1" applyFont="1" applyFill="1" applyBorder="1"/>
    <xf numFmtId="171" fontId="7" fillId="0" borderId="23" xfId="15" applyFont="1" applyFill="1" applyBorder="1"/>
    <xf numFmtId="172" fontId="7" fillId="0" borderId="17" xfId="15" applyNumberFormat="1" applyFont="1" applyFill="1" applyBorder="1"/>
    <xf numFmtId="171" fontId="7" fillId="0" borderId="17" xfId="15" applyNumberFormat="1" applyFont="1" applyFill="1" applyBorder="1"/>
    <xf numFmtId="171" fontId="7" fillId="0" borderId="41" xfId="15" applyNumberFormat="1" applyFont="1" applyFill="1" applyBorder="1"/>
    <xf numFmtId="171" fontId="7" fillId="0" borderId="24" xfId="15" applyFont="1" applyFill="1" applyBorder="1"/>
    <xf numFmtId="172" fontId="7" fillId="0" borderId="22" xfId="15" applyNumberFormat="1" applyFont="1" applyFill="1" applyBorder="1"/>
    <xf numFmtId="171" fontId="7" fillId="0" borderId="22" xfId="15" applyNumberFormat="1" applyFont="1" applyFill="1" applyBorder="1"/>
    <xf numFmtId="171" fontId="7" fillId="0" borderId="42" xfId="15" applyNumberFormat="1" applyFont="1" applyFill="1" applyBorder="1"/>
    <xf numFmtId="0" fontId="0" fillId="0" borderId="1" xfId="0" applyFill="1" applyBorder="1"/>
    <xf numFmtId="0" fontId="0" fillId="0" borderId="14" xfId="0" applyFill="1" applyBorder="1"/>
    <xf numFmtId="43" fontId="32" fillId="8" borderId="0" xfId="0" applyNumberFormat="1" applyFont="1" applyFill="1" applyBorder="1"/>
    <xf numFmtId="0" fontId="35" fillId="5" borderId="1" xfId="16" applyFont="1" applyFill="1" applyBorder="1"/>
    <xf numFmtId="0" fontId="38" fillId="5" borderId="23" xfId="16" applyFont="1" applyFill="1" applyBorder="1"/>
    <xf numFmtId="0" fontId="7" fillId="5" borderId="23" xfId="16" applyFont="1" applyFill="1" applyBorder="1"/>
    <xf numFmtId="0" fontId="7" fillId="5" borderId="24" xfId="16" applyFont="1" applyFill="1" applyBorder="1"/>
    <xf numFmtId="0" fontId="7" fillId="5" borderId="28" xfId="16" applyFont="1" applyFill="1" applyBorder="1"/>
    <xf numFmtId="0" fontId="34" fillId="13" borderId="0" xfId="0" applyFont="1" applyFill="1"/>
    <xf numFmtId="0" fontId="7" fillId="13" borderId="0" xfId="0" applyFont="1" applyFill="1"/>
    <xf numFmtId="0" fontId="32" fillId="13" borderId="0" xfId="0" applyFont="1" applyFill="1"/>
    <xf numFmtId="0" fontId="0" fillId="13" borderId="0" xfId="0" applyFill="1"/>
    <xf numFmtId="0" fontId="22" fillId="13" borderId="0" xfId="16" applyFont="1" applyFill="1"/>
    <xf numFmtId="0" fontId="7" fillId="13" borderId="0" xfId="16" applyFont="1" applyFill="1"/>
    <xf numFmtId="0" fontId="7" fillId="0" borderId="45" xfId="16" applyFont="1" applyFill="1" applyBorder="1"/>
    <xf numFmtId="0" fontId="22" fillId="13" borderId="0" xfId="1" applyFont="1" applyFill="1"/>
    <xf numFmtId="0" fontId="8" fillId="13" borderId="0" xfId="1" applyFont="1" applyFill="1"/>
    <xf numFmtId="168" fontId="7" fillId="14" borderId="39" xfId="15" applyNumberFormat="1" applyFont="1" applyFill="1" applyBorder="1"/>
    <xf numFmtId="168" fontId="7" fillId="14" borderId="7" xfId="15" applyNumberFormat="1" applyFont="1" applyFill="1" applyBorder="1"/>
    <xf numFmtId="168" fontId="7" fillId="14" borderId="40" xfId="15" applyNumberFormat="1" applyFont="1" applyFill="1" applyBorder="1"/>
    <xf numFmtId="168" fontId="7" fillId="14" borderId="23" xfId="15" applyNumberFormat="1" applyFont="1" applyFill="1" applyBorder="1"/>
    <xf numFmtId="168" fontId="7" fillId="14" borderId="17" xfId="15" applyNumberFormat="1" applyFont="1" applyFill="1" applyBorder="1"/>
    <xf numFmtId="168" fontId="7" fillId="14" borderId="41" xfId="15" applyNumberFormat="1" applyFont="1" applyFill="1" applyBorder="1"/>
    <xf numFmtId="168" fontId="7" fillId="14" borderId="24" xfId="15" applyNumberFormat="1" applyFont="1" applyFill="1" applyBorder="1"/>
    <xf numFmtId="168" fontId="7" fillId="14" borderId="22" xfId="15" applyNumberFormat="1" applyFont="1" applyFill="1" applyBorder="1"/>
    <xf numFmtId="168" fontId="7" fillId="14" borderId="42" xfId="15" applyNumberFormat="1" applyFont="1" applyFill="1" applyBorder="1"/>
    <xf numFmtId="0" fontId="8" fillId="10" borderId="0" xfId="1" applyFont="1" applyFill="1"/>
    <xf numFmtId="0" fontId="29" fillId="10" borderId="0" xfId="1" applyFont="1" applyFill="1" applyAlignment="1">
      <alignment horizontal="center"/>
    </xf>
    <xf numFmtId="0" fontId="22" fillId="10" borderId="0" xfId="1" applyFont="1" applyFill="1"/>
    <xf numFmtId="10" fontId="8" fillId="10" borderId="23" xfId="3" applyNumberFormat="1" applyFont="1" applyFill="1" applyBorder="1"/>
    <xf numFmtId="10" fontId="8" fillId="10" borderId="0" xfId="3" applyNumberFormat="1" applyFont="1" applyFill="1" applyBorder="1"/>
    <xf numFmtId="10" fontId="8" fillId="10" borderId="17" xfId="3" applyNumberFormat="1" applyFont="1" applyFill="1" applyBorder="1"/>
    <xf numFmtId="10" fontId="8" fillId="10" borderId="17" xfId="6" applyNumberFormat="1" applyFont="1" applyFill="1" applyBorder="1"/>
    <xf numFmtId="10" fontId="8" fillId="10" borderId="41" xfId="6" applyNumberFormat="1" applyFont="1" applyFill="1" applyBorder="1"/>
    <xf numFmtId="6" fontId="8" fillId="10" borderId="23" xfId="1" applyNumberFormat="1" applyFont="1" applyFill="1" applyBorder="1"/>
    <xf numFmtId="10" fontId="8" fillId="10" borderId="41" xfId="3" applyNumberFormat="1" applyFont="1" applyFill="1" applyBorder="1"/>
    <xf numFmtId="6" fontId="8" fillId="10" borderId="17" xfId="3" applyNumberFormat="1" applyFont="1" applyFill="1" applyBorder="1"/>
    <xf numFmtId="6" fontId="8" fillId="10" borderId="41" xfId="3" applyNumberFormat="1" applyFont="1" applyFill="1" applyBorder="1"/>
    <xf numFmtId="3" fontId="14" fillId="10" borderId="10" xfId="6" applyNumberFormat="1" applyFont="1" applyFill="1" applyBorder="1" applyAlignment="1" applyProtection="1">
      <alignment horizontal="right" vertical="center"/>
    </xf>
    <xf numFmtId="3" fontId="6" fillId="10" borderId="17" xfId="0" applyNumberFormat="1" applyFont="1" applyFill="1" applyBorder="1" applyAlignment="1" applyProtection="1">
      <alignment horizontal="right" vertical="center"/>
    </xf>
    <xf numFmtId="0" fontId="0" fillId="5" borderId="27" xfId="0" applyFill="1" applyBorder="1"/>
    <xf numFmtId="0" fontId="7" fillId="5" borderId="27" xfId="0" applyFont="1" applyFill="1" applyBorder="1"/>
    <xf numFmtId="0" fontId="0" fillId="5" borderId="28" xfId="0" applyFill="1" applyBorder="1"/>
    <xf numFmtId="0" fontId="0" fillId="5" borderId="37" xfId="0" applyFill="1" applyBorder="1" applyAlignment="1">
      <alignment horizontal="center" wrapText="1"/>
    </xf>
    <xf numFmtId="0" fontId="0" fillId="5" borderId="25" xfId="0" applyFill="1" applyBorder="1" applyAlignment="1">
      <alignment horizontal="center" wrapText="1"/>
    </xf>
    <xf numFmtId="0" fontId="0" fillId="5" borderId="38" xfId="0" applyFill="1" applyBorder="1" applyAlignment="1">
      <alignment horizontal="center" wrapText="1"/>
    </xf>
    <xf numFmtId="173" fontId="24" fillId="5" borderId="39" xfId="15" applyNumberFormat="1" applyFont="1" applyFill="1" applyBorder="1"/>
    <xf numFmtId="173" fontId="24" fillId="5" borderId="7" xfId="15" applyNumberFormat="1" applyFont="1" applyFill="1" applyBorder="1"/>
    <xf numFmtId="173" fontId="24" fillId="5" borderId="40" xfId="15" applyNumberFormat="1" applyFont="1" applyFill="1" applyBorder="1"/>
    <xf numFmtId="173" fontId="24" fillId="5" borderId="23" xfId="15" applyNumberFormat="1" applyFont="1" applyFill="1" applyBorder="1"/>
    <xf numFmtId="173" fontId="24" fillId="5" borderId="17" xfId="15" applyNumberFormat="1" applyFont="1" applyFill="1" applyBorder="1"/>
    <xf numFmtId="173" fontId="24" fillId="5" borderId="41" xfId="15" applyNumberFormat="1" applyFont="1" applyFill="1" applyBorder="1"/>
    <xf numFmtId="173" fontId="0" fillId="5" borderId="17" xfId="15" applyNumberFormat="1" applyFont="1" applyFill="1" applyBorder="1"/>
    <xf numFmtId="173" fontId="0" fillId="5" borderId="41" xfId="15" applyNumberFormat="1" applyFont="1" applyFill="1" applyBorder="1"/>
    <xf numFmtId="173" fontId="0" fillId="5" borderId="23" xfId="15" applyNumberFormat="1" applyFont="1" applyFill="1" applyBorder="1"/>
    <xf numFmtId="172" fontId="0" fillId="5" borderId="23" xfId="15" applyNumberFormat="1" applyFont="1" applyFill="1" applyBorder="1"/>
    <xf numFmtId="172" fontId="0" fillId="5" borderId="17" xfId="15" applyNumberFormat="1" applyFont="1" applyFill="1" applyBorder="1"/>
    <xf numFmtId="172" fontId="0" fillId="5" borderId="41" xfId="15" applyNumberFormat="1" applyFont="1" applyFill="1" applyBorder="1"/>
    <xf numFmtId="172" fontId="0" fillId="5" borderId="24" xfId="15" applyNumberFormat="1" applyFont="1" applyFill="1" applyBorder="1"/>
    <xf numFmtId="172" fontId="0" fillId="5" borderId="22" xfId="15" applyNumberFormat="1" applyFont="1" applyFill="1" applyBorder="1"/>
    <xf numFmtId="172" fontId="0" fillId="5" borderId="42" xfId="15" applyNumberFormat="1" applyFont="1" applyFill="1" applyBorder="1"/>
    <xf numFmtId="168" fontId="38" fillId="5" borderId="23" xfId="15" applyNumberFormat="1" applyFont="1" applyFill="1" applyBorder="1"/>
    <xf numFmtId="168" fontId="38" fillId="5" borderId="17" xfId="15" applyNumberFormat="1" applyFont="1" applyFill="1" applyBorder="1"/>
    <xf numFmtId="168" fontId="38" fillId="5" borderId="41" xfId="15" applyNumberFormat="1" applyFont="1" applyFill="1" applyBorder="1"/>
    <xf numFmtId="168" fontId="24" fillId="5" borderId="17" xfId="15" applyNumberFormat="1" applyFont="1" applyFill="1" applyBorder="1"/>
    <xf numFmtId="168" fontId="24" fillId="5" borderId="41" xfId="15" applyNumberFormat="1" applyFont="1" applyFill="1" applyBorder="1"/>
    <xf numFmtId="168" fontId="7" fillId="5" borderId="23" xfId="15" applyNumberFormat="1" applyFill="1" applyBorder="1"/>
    <xf numFmtId="168" fontId="0" fillId="5" borderId="17" xfId="15" applyNumberFormat="1" applyFont="1" applyFill="1" applyBorder="1"/>
    <xf numFmtId="168" fontId="0" fillId="5" borderId="41" xfId="15" applyNumberFormat="1" applyFont="1" applyFill="1" applyBorder="1"/>
    <xf numFmtId="168" fontId="0" fillId="5" borderId="23" xfId="15" applyNumberFormat="1" applyFont="1" applyFill="1" applyBorder="1"/>
    <xf numFmtId="168" fontId="0" fillId="5" borderId="24" xfId="15" applyNumberFormat="1" applyFont="1" applyFill="1" applyBorder="1"/>
    <xf numFmtId="168" fontId="0" fillId="5" borderId="22" xfId="15" applyNumberFormat="1" applyFont="1" applyFill="1" applyBorder="1"/>
    <xf numFmtId="168" fontId="0" fillId="5" borderId="42" xfId="15" applyNumberFormat="1" applyFont="1" applyFill="1" applyBorder="1"/>
    <xf numFmtId="0" fontId="0" fillId="10" borderId="27" xfId="0" applyFill="1" applyBorder="1"/>
    <xf numFmtId="0" fontId="0" fillId="10" borderId="1" xfId="0" applyFill="1" applyBorder="1"/>
    <xf numFmtId="0" fontId="0" fillId="10" borderId="14" xfId="0" applyFill="1" applyBorder="1"/>
    <xf numFmtId="0" fontId="7" fillId="5" borderId="23" xfId="16" applyFill="1" applyBorder="1"/>
    <xf numFmtId="0" fontId="7" fillId="5" borderId="24" xfId="16" applyFill="1" applyBorder="1"/>
    <xf numFmtId="173" fontId="38" fillId="5" borderId="23" xfId="15" applyNumberFormat="1" applyFont="1" applyFill="1" applyBorder="1"/>
    <xf numFmtId="173" fontId="38" fillId="5" borderId="41" xfId="15" applyNumberFormat="1" applyFont="1" applyFill="1" applyBorder="1"/>
    <xf numFmtId="172" fontId="38" fillId="5" borderId="23" xfId="15" applyNumberFormat="1" applyFont="1" applyFill="1" applyBorder="1"/>
    <xf numFmtId="172" fontId="38" fillId="5" borderId="17" xfId="15" applyNumberFormat="1" applyFont="1" applyFill="1" applyBorder="1"/>
    <xf numFmtId="172" fontId="38" fillId="5" borderId="41" xfId="15" applyNumberFormat="1" applyFont="1" applyFill="1" applyBorder="1"/>
    <xf numFmtId="172" fontId="7" fillId="5" borderId="23" xfId="15" applyNumberFormat="1" applyFill="1" applyBorder="1"/>
    <xf numFmtId="172" fontId="7" fillId="5" borderId="17" xfId="15" applyNumberFormat="1" applyFill="1" applyBorder="1"/>
    <xf numFmtId="172" fontId="7" fillId="5" borderId="41" xfId="15" applyNumberFormat="1" applyFill="1" applyBorder="1"/>
    <xf numFmtId="172" fontId="7" fillId="5" borderId="24" xfId="15" applyNumberFormat="1" applyFill="1" applyBorder="1"/>
    <xf numFmtId="172" fontId="7" fillId="5" borderId="22" xfId="15" applyNumberFormat="1" applyFill="1" applyBorder="1"/>
    <xf numFmtId="172" fontId="7" fillId="5" borderId="42" xfId="15" applyNumberFormat="1" applyFill="1" applyBorder="1"/>
    <xf numFmtId="168" fontId="38" fillId="5" borderId="24" xfId="15" applyNumberFormat="1" applyFont="1" applyFill="1" applyBorder="1"/>
    <xf numFmtId="168" fontId="38" fillId="5" borderId="22" xfId="15" applyNumberFormat="1" applyFont="1" applyFill="1" applyBorder="1"/>
    <xf numFmtId="168" fontId="38" fillId="5" borderId="42" xfId="15" applyNumberFormat="1" applyFont="1" applyFill="1" applyBorder="1"/>
    <xf numFmtId="0" fontId="8" fillId="14" borderId="27" xfId="1" applyFont="1" applyFill="1" applyBorder="1"/>
    <xf numFmtId="0" fontId="8" fillId="14" borderId="1" xfId="1" applyFont="1" applyFill="1" applyBorder="1"/>
    <xf numFmtId="0" fontId="8" fillId="14" borderId="14" xfId="1" applyFont="1" applyFill="1" applyBorder="1"/>
    <xf numFmtId="172" fontId="8" fillId="14" borderId="7" xfId="15" applyNumberFormat="1" applyFont="1" applyFill="1" applyBorder="1"/>
    <xf numFmtId="173" fontId="8" fillId="14" borderId="1" xfId="15" applyNumberFormat="1" applyFont="1" applyFill="1" applyBorder="1"/>
    <xf numFmtId="173" fontId="8" fillId="14" borderId="17" xfId="15" applyNumberFormat="1" applyFont="1" applyFill="1" applyBorder="1"/>
    <xf numFmtId="173" fontId="8" fillId="14" borderId="23" xfId="15" applyNumberFormat="1" applyFont="1" applyFill="1" applyBorder="1"/>
    <xf numFmtId="172" fontId="8" fillId="14" borderId="23" xfId="15" applyNumberFormat="1" applyFont="1" applyFill="1" applyBorder="1"/>
    <xf numFmtId="172" fontId="8" fillId="14" borderId="17" xfId="15" applyNumberFormat="1" applyFont="1" applyFill="1" applyBorder="1"/>
    <xf numFmtId="172" fontId="8" fillId="14" borderId="24" xfId="15" applyNumberFormat="1" applyFont="1" applyFill="1" applyBorder="1"/>
    <xf numFmtId="172" fontId="8" fillId="14" borderId="22" xfId="15" applyNumberFormat="1" applyFont="1" applyFill="1" applyBorder="1"/>
    <xf numFmtId="0" fontId="24" fillId="14" borderId="27" xfId="1" applyFont="1" applyFill="1" applyBorder="1"/>
    <xf numFmtId="0" fontId="24" fillId="14" borderId="28" xfId="1" applyFont="1" applyFill="1" applyBorder="1"/>
    <xf numFmtId="2" fontId="26" fillId="12" borderId="0" xfId="5" applyNumberFormat="1" applyFont="1" applyFill="1" applyAlignment="1" applyProtection="1">
      <alignment horizontal="left"/>
      <protection locked="0"/>
    </xf>
    <xf numFmtId="169" fontId="5" fillId="12" borderId="0" xfId="0" applyNumberFormat="1" applyFont="1" applyFill="1" applyAlignment="1" applyProtection="1">
      <alignment horizontal="center"/>
    </xf>
    <xf numFmtId="2" fontId="19" fillId="13" borderId="0" xfId="5" applyNumberFormat="1" applyFont="1" applyFill="1" applyAlignment="1" applyProtection="1">
      <alignment horizontal="left"/>
      <protection locked="0"/>
    </xf>
    <xf numFmtId="0" fontId="14" fillId="13" borderId="0" xfId="5" applyNumberFormat="1" applyFont="1" applyFill="1" applyAlignment="1" applyProtection="1">
      <alignment horizontal="left"/>
      <protection locked="0"/>
    </xf>
    <xf numFmtId="0" fontId="14" fillId="13" borderId="0" xfId="5" applyNumberFormat="1" applyFont="1" applyFill="1" applyAlignment="1" applyProtection="1">
      <alignment horizontal="center"/>
      <protection locked="0"/>
    </xf>
    <xf numFmtId="6" fontId="8" fillId="3" borderId="0" xfId="6" applyNumberFormat="1" applyFont="1" applyFill="1" applyBorder="1"/>
    <xf numFmtId="6" fontId="8" fillId="10" borderId="23" xfId="6" applyNumberFormat="1" applyFont="1" applyFill="1" applyBorder="1"/>
    <xf numFmtId="6" fontId="8" fillId="10" borderId="17" xfId="6" applyNumberFormat="1" applyFont="1" applyFill="1" applyBorder="1"/>
    <xf numFmtId="6" fontId="8" fillId="10" borderId="41" xfId="6" applyNumberFormat="1" applyFont="1" applyFill="1" applyBorder="1"/>
    <xf numFmtId="6" fontId="22" fillId="13" borderId="24" xfId="6" applyNumberFormat="1" applyFont="1" applyFill="1" applyBorder="1"/>
    <xf numFmtId="6" fontId="22" fillId="13" borderId="22" xfId="6" applyNumberFormat="1" applyFont="1" applyFill="1" applyBorder="1"/>
    <xf numFmtId="6" fontId="22" fillId="13" borderId="42" xfId="6" applyNumberFormat="1" applyFont="1" applyFill="1" applyBorder="1"/>
    <xf numFmtId="6" fontId="22" fillId="13" borderId="15" xfId="6" applyNumberFormat="1" applyFont="1" applyFill="1" applyBorder="1"/>
    <xf numFmtId="0" fontId="21" fillId="13" borderId="0" xfId="0" applyFont="1" applyFill="1" applyAlignment="1" applyProtection="1">
      <alignment horizontal="right"/>
      <protection locked="0"/>
    </xf>
    <xf numFmtId="0" fontId="22" fillId="13" borderId="14" xfId="1" applyFont="1" applyFill="1" applyBorder="1" applyAlignment="1">
      <alignment horizontal="left" wrapText="1"/>
    </xf>
    <xf numFmtId="0" fontId="22" fillId="13" borderId="15" xfId="1" applyFont="1" applyFill="1" applyBorder="1" applyAlignment="1">
      <alignment horizontal="left" wrapText="1"/>
    </xf>
    <xf numFmtId="0" fontId="5" fillId="0" borderId="12" xfId="0" applyFont="1" applyBorder="1" applyProtection="1">
      <protection locked="0"/>
    </xf>
    <xf numFmtId="10" fontId="5" fillId="0" borderId="10" xfId="0" applyNumberFormat="1" applyFont="1" applyBorder="1" applyAlignment="1" applyProtection="1">
      <alignment horizontal="right"/>
      <protection locked="0"/>
    </xf>
    <xf numFmtId="3" fontId="6" fillId="11" borderId="17" xfId="0" applyNumberFormat="1" applyFont="1" applyFill="1" applyBorder="1" applyAlignment="1" applyProtection="1">
      <alignment horizontal="right" vertical="center"/>
    </xf>
    <xf numFmtId="3" fontId="6" fillId="11" borderId="17" xfId="6" applyNumberFormat="1" applyFont="1" applyFill="1" applyBorder="1" applyAlignment="1" applyProtection="1">
      <alignment horizontal="right" vertical="center"/>
    </xf>
    <xf numFmtId="6" fontId="8" fillId="3" borderId="0" xfId="3" applyNumberFormat="1" applyFont="1" applyFill="1" applyBorder="1" applyAlignment="1">
      <alignment horizontal="right"/>
    </xf>
    <xf numFmtId="6" fontId="22" fillId="13" borderId="15" xfId="3" applyNumberFormat="1" applyFont="1" applyFill="1" applyBorder="1" applyAlignment="1">
      <alignment horizontal="right"/>
    </xf>
    <xf numFmtId="6" fontId="8" fillId="0" borderId="17" xfId="3" applyNumberFormat="1" applyFont="1" applyFill="1" applyBorder="1"/>
    <xf numFmtId="6" fontId="8" fillId="0" borderId="41" xfId="3" applyNumberFormat="1" applyFont="1" applyFill="1" applyBorder="1"/>
    <xf numFmtId="166" fontId="8" fillId="10" borderId="23" xfId="3" applyNumberFormat="1" applyFont="1" applyFill="1" applyBorder="1"/>
    <xf numFmtId="166" fontId="8" fillId="10" borderId="17" xfId="3" applyNumberFormat="1" applyFont="1" applyFill="1" applyBorder="1"/>
    <xf numFmtId="166" fontId="8" fillId="10" borderId="41" xfId="3" applyNumberFormat="1" applyFont="1" applyFill="1" applyBorder="1"/>
    <xf numFmtId="6" fontId="8" fillId="9" borderId="23" xfId="6" applyNumberFormat="1" applyFont="1" applyFill="1" applyBorder="1"/>
    <xf numFmtId="6" fontId="8" fillId="9" borderId="17" xfId="6" applyNumberFormat="1" applyFont="1" applyFill="1" applyBorder="1"/>
    <xf numFmtId="3" fontId="6" fillId="5" borderId="10" xfId="0" applyNumberFormat="1" applyFont="1" applyFill="1" applyBorder="1" applyAlignment="1" applyProtection="1">
      <alignment horizontal="right" vertical="center"/>
    </xf>
    <xf numFmtId="0" fontId="6" fillId="0" borderId="9" xfId="0" applyNumberFormat="1" applyFont="1" applyFill="1" applyBorder="1" applyAlignment="1" applyProtection="1">
      <alignment horizontal="left" indent="1"/>
    </xf>
    <xf numFmtId="3" fontId="6" fillId="5" borderId="7" xfId="6" applyNumberFormat="1" applyFont="1" applyFill="1" applyBorder="1" applyAlignment="1" applyProtection="1">
      <alignment horizontal="right" vertical="center"/>
    </xf>
    <xf numFmtId="3" fontId="6" fillId="5" borderId="17" xfId="6" applyNumberFormat="1" applyFont="1" applyFill="1" applyBorder="1" applyAlignment="1" applyProtection="1">
      <alignment horizontal="right" vertical="center"/>
    </xf>
    <xf numFmtId="3" fontId="6" fillId="5" borderId="11" xfId="6" applyNumberFormat="1" applyFont="1" applyFill="1" applyBorder="1" applyAlignment="1" applyProtection="1">
      <alignment horizontal="right" vertical="center"/>
    </xf>
    <xf numFmtId="3" fontId="6" fillId="10" borderId="7" xfId="0" applyNumberFormat="1" applyFont="1" applyFill="1" applyBorder="1" applyAlignment="1" applyProtection="1">
      <alignment horizontal="right" vertical="center"/>
    </xf>
    <xf numFmtId="0" fontId="0" fillId="10" borderId="0" xfId="0" applyFill="1"/>
    <xf numFmtId="0" fontId="14" fillId="0" borderId="9" xfId="0" applyFont="1" applyFill="1" applyBorder="1" applyAlignment="1" applyProtection="1">
      <alignment wrapText="1"/>
    </xf>
    <xf numFmtId="3" fontId="6" fillId="10" borderId="11" xfId="0" applyNumberFormat="1" applyFont="1" applyFill="1" applyBorder="1" applyAlignment="1" applyProtection="1">
      <alignment horizontal="right" vertic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0" fillId="0" borderId="59" xfId="0" applyFill="1" applyBorder="1"/>
    <xf numFmtId="0" fontId="0" fillId="0" borderId="60" xfId="0" applyFill="1" applyBorder="1"/>
    <xf numFmtId="0" fontId="0" fillId="0" borderId="0" xfId="0" applyFill="1" applyBorder="1"/>
    <xf numFmtId="0" fontId="0" fillId="0" borderId="8" xfId="0" applyFill="1" applyBorder="1"/>
    <xf numFmtId="0" fontId="0" fillId="0" borderId="15" xfId="0" applyFill="1" applyBorder="1"/>
    <xf numFmtId="0" fontId="32" fillId="0" borderId="59" xfId="0" applyFont="1" applyFill="1" applyBorder="1"/>
    <xf numFmtId="0" fontId="21" fillId="15" borderId="0" xfId="0" applyFont="1" applyFill="1" applyProtection="1">
      <protection locked="0"/>
    </xf>
    <xf numFmtId="0" fontId="17" fillId="15" borderId="0" xfId="0" applyFont="1" applyFill="1" applyProtection="1">
      <protection locked="0"/>
    </xf>
    <xf numFmtId="0" fontId="5" fillId="15" borderId="0" xfId="0" applyFont="1" applyFill="1" applyProtection="1">
      <protection locked="0"/>
    </xf>
    <xf numFmtId="170" fontId="21" fillId="15" borderId="0" xfId="0" applyNumberFormat="1" applyFont="1" applyFill="1" applyProtection="1">
      <protection locked="0"/>
    </xf>
    <xf numFmtId="0" fontId="32" fillId="15" borderId="0" xfId="0" applyFont="1" applyFill="1"/>
    <xf numFmtId="0" fontId="0" fillId="15" borderId="0" xfId="0" applyFill="1"/>
    <xf numFmtId="0" fontId="14" fillId="15" borderId="0" xfId="0" applyFont="1" applyFill="1" applyProtection="1">
      <protection locked="0"/>
    </xf>
    <xf numFmtId="170" fontId="14" fillId="15" borderId="0" xfId="0" applyNumberFormat="1" applyFont="1" applyFill="1" applyProtection="1">
      <protection locked="0"/>
    </xf>
    <xf numFmtId="0" fontId="0" fillId="5" borderId="0" xfId="0" applyFill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173" fontId="24" fillId="10" borderId="39" xfId="15" applyNumberFormat="1" applyFont="1" applyFill="1" applyBorder="1"/>
    <xf numFmtId="173" fontId="24" fillId="10" borderId="7" xfId="15" applyNumberFormat="1" applyFont="1" applyFill="1" applyBorder="1"/>
    <xf numFmtId="173" fontId="24" fillId="10" borderId="40" xfId="15" applyNumberFormat="1" applyFont="1" applyFill="1" applyBorder="1"/>
    <xf numFmtId="173" fontId="24" fillId="10" borderId="23" xfId="15" applyNumberFormat="1" applyFont="1" applyFill="1" applyBorder="1"/>
    <xf numFmtId="173" fontId="24" fillId="10" borderId="17" xfId="15" applyNumberFormat="1" applyFont="1" applyFill="1" applyBorder="1"/>
    <xf numFmtId="173" fontId="24" fillId="10" borderId="41" xfId="15" applyNumberFormat="1" applyFont="1" applyFill="1" applyBorder="1"/>
    <xf numFmtId="173" fontId="38" fillId="10" borderId="23" xfId="15" applyNumberFormat="1" applyFont="1" applyFill="1" applyBorder="1"/>
    <xf numFmtId="173" fontId="38" fillId="10" borderId="17" xfId="15" applyNumberFormat="1" applyFont="1" applyFill="1" applyBorder="1"/>
    <xf numFmtId="173" fontId="38" fillId="10" borderId="41" xfId="15" applyNumberFormat="1" applyFont="1" applyFill="1" applyBorder="1"/>
    <xf numFmtId="172" fontId="38" fillId="10" borderId="23" xfId="15" applyNumberFormat="1" applyFont="1" applyFill="1" applyBorder="1"/>
    <xf numFmtId="172" fontId="38" fillId="10" borderId="17" xfId="15" applyNumberFormat="1" applyFont="1" applyFill="1" applyBorder="1"/>
    <xf numFmtId="172" fontId="38" fillId="10" borderId="41" xfId="15" applyNumberFormat="1" applyFont="1" applyFill="1" applyBorder="1"/>
    <xf numFmtId="172" fontId="7" fillId="10" borderId="23" xfId="15" applyNumberFormat="1" applyFill="1" applyBorder="1"/>
    <xf numFmtId="172" fontId="7" fillId="10" borderId="17" xfId="15" applyNumberFormat="1" applyFill="1" applyBorder="1"/>
    <xf numFmtId="172" fontId="7" fillId="10" borderId="41" xfId="15" applyNumberFormat="1" applyFill="1" applyBorder="1"/>
    <xf numFmtId="172" fontId="7" fillId="10" borderId="24" xfId="15" applyNumberFormat="1" applyFill="1" applyBorder="1"/>
    <xf numFmtId="172" fontId="7" fillId="10" borderId="22" xfId="15" applyNumberFormat="1" applyFill="1" applyBorder="1"/>
    <xf numFmtId="172" fontId="7" fillId="10" borderId="42" xfId="15" applyNumberFormat="1" applyFill="1" applyBorder="1"/>
    <xf numFmtId="173" fontId="38" fillId="10" borderId="39" xfId="15" applyNumberFormat="1" applyFont="1" applyFill="1" applyBorder="1"/>
    <xf numFmtId="173" fontId="38" fillId="10" borderId="7" xfId="15" applyNumberFormat="1" applyFont="1" applyFill="1" applyBorder="1"/>
    <xf numFmtId="172" fontId="38" fillId="10" borderId="40" xfId="15" applyNumberFormat="1" applyFont="1" applyFill="1" applyBorder="1"/>
    <xf numFmtId="173" fontId="38" fillId="10" borderId="40" xfId="15" applyNumberFormat="1" applyFont="1" applyFill="1" applyBorder="1"/>
    <xf numFmtId="172" fontId="24" fillId="10" borderId="7" xfId="15" applyNumberFormat="1" applyFont="1" applyFill="1" applyBorder="1"/>
    <xf numFmtId="171" fontId="24" fillId="10" borderId="7" xfId="15" applyFont="1" applyFill="1" applyBorder="1"/>
    <xf numFmtId="173" fontId="24" fillId="10" borderId="1" xfId="15" applyNumberFormat="1" applyFont="1" applyFill="1" applyBorder="1"/>
    <xf numFmtId="172" fontId="24" fillId="10" borderId="17" xfId="15" applyNumberFormat="1" applyFont="1" applyFill="1" applyBorder="1"/>
    <xf numFmtId="171" fontId="24" fillId="10" borderId="23" xfId="15" applyFont="1" applyFill="1" applyBorder="1"/>
    <xf numFmtId="171" fontId="24" fillId="10" borderId="17" xfId="15" applyNumberFormat="1" applyFont="1" applyFill="1" applyBorder="1"/>
    <xf numFmtId="171" fontId="24" fillId="10" borderId="24" xfId="15" applyFont="1" applyFill="1" applyBorder="1"/>
    <xf numFmtId="172" fontId="24" fillId="10" borderId="22" xfId="15" applyNumberFormat="1" applyFont="1" applyFill="1" applyBorder="1"/>
    <xf numFmtId="171" fontId="24" fillId="10" borderId="22" xfId="15" applyNumberFormat="1" applyFont="1" applyFill="1" applyBorder="1"/>
    <xf numFmtId="0" fontId="0" fillId="10" borderId="0" xfId="0" quotePrefix="1" applyFill="1"/>
    <xf numFmtId="0" fontId="0" fillId="5" borderId="0" xfId="0" quotePrefix="1" applyFill="1"/>
    <xf numFmtId="0" fontId="48" fillId="3" borderId="0" xfId="0" applyFont="1" applyFill="1"/>
    <xf numFmtId="0" fontId="49" fillId="3" borderId="0" xfId="0" applyFont="1" applyFill="1"/>
    <xf numFmtId="0" fontId="8" fillId="3" borderId="0" xfId="0" applyFont="1" applyFill="1"/>
    <xf numFmtId="0" fontId="8" fillId="3" borderId="13" xfId="0" applyFont="1" applyFill="1" applyBorder="1"/>
    <xf numFmtId="0" fontId="8" fillId="3" borderId="6" xfId="0" applyFont="1" applyFill="1" applyBorder="1" applyAlignment="1">
      <alignment horizontal="left"/>
    </xf>
    <xf numFmtId="17" fontId="8" fillId="3" borderId="6" xfId="0" quotePrefix="1" applyNumberFormat="1" applyFont="1" applyFill="1" applyBorder="1"/>
    <xf numFmtId="0" fontId="8" fillId="3" borderId="6" xfId="0" applyFont="1" applyFill="1" applyBorder="1"/>
    <xf numFmtId="0" fontId="0" fillId="0" borderId="13" xfId="0" applyBorder="1"/>
    <xf numFmtId="0" fontId="8" fillId="3" borderId="0" xfId="0" applyFont="1" applyFill="1" applyBorder="1"/>
    <xf numFmtId="0" fontId="50" fillId="8" borderId="0" xfId="16" applyFont="1" applyFill="1"/>
    <xf numFmtId="0" fontId="0" fillId="5" borderId="60" xfId="0" applyFill="1" applyBorder="1"/>
    <xf numFmtId="0" fontId="0" fillId="5" borderId="61" xfId="0" applyFill="1" applyBorder="1"/>
    <xf numFmtId="0" fontId="0" fillId="5" borderId="15" xfId="0" applyFill="1" applyBorder="1"/>
    <xf numFmtId="0" fontId="0" fillId="5" borderId="16" xfId="0" applyFill="1" applyBorder="1"/>
    <xf numFmtId="0" fontId="0" fillId="5" borderId="0" xfId="0" applyFill="1" applyBorder="1"/>
    <xf numFmtId="0" fontId="0" fillId="5" borderId="8" xfId="0" applyFill="1" applyBorder="1"/>
    <xf numFmtId="0" fontId="42" fillId="8" borderId="0" xfId="0" applyFont="1" applyFill="1" applyBorder="1"/>
    <xf numFmtId="0" fontId="8" fillId="0" borderId="28" xfId="0" applyFont="1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3" fontId="0" fillId="9" borderId="0" xfId="0" applyNumberFormat="1" applyFill="1" applyAlignment="1">
      <alignment horizontal="center"/>
    </xf>
    <xf numFmtId="0" fontId="32" fillId="0" borderId="60" xfId="0" applyFont="1" applyFill="1" applyBorder="1" applyAlignment="1">
      <alignment horizontal="center"/>
    </xf>
    <xf numFmtId="0" fontId="32" fillId="0" borderId="61" xfId="0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3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5" borderId="1" xfId="0" applyFill="1" applyBorder="1"/>
    <xf numFmtId="0" fontId="0" fillId="2" borderId="0" xfId="0" applyFill="1" applyBorder="1" applyAlignment="1">
      <alignment horizontal="center" wrapText="1"/>
    </xf>
    <xf numFmtId="168" fontId="0" fillId="2" borderId="0" xfId="0" applyNumberFormat="1" applyFill="1" applyBorder="1"/>
    <xf numFmtId="10" fontId="0" fillId="2" borderId="0" xfId="6" applyNumberFormat="1" applyFont="1" applyFill="1" applyBorder="1"/>
    <xf numFmtId="0" fontId="0" fillId="5" borderId="67" xfId="0" applyFill="1" applyBorder="1" applyAlignment="1">
      <alignment horizontal="center" wrapText="1"/>
    </xf>
    <xf numFmtId="173" fontId="24" fillId="5" borderId="5" xfId="15" applyNumberFormat="1" applyFont="1" applyFill="1" applyBorder="1"/>
    <xf numFmtId="173" fontId="24" fillId="5" borderId="9" xfId="15" applyNumberFormat="1" applyFont="1" applyFill="1" applyBorder="1"/>
    <xf numFmtId="173" fontId="0" fillId="5" borderId="9" xfId="15" applyNumberFormat="1" applyFont="1" applyFill="1" applyBorder="1"/>
    <xf numFmtId="172" fontId="0" fillId="5" borderId="9" xfId="15" applyNumberFormat="1" applyFont="1" applyFill="1" applyBorder="1"/>
    <xf numFmtId="172" fontId="0" fillId="5" borderId="62" xfId="15" applyNumberFormat="1" applyFont="1" applyFill="1" applyBorder="1"/>
    <xf numFmtId="0" fontId="0" fillId="2" borderId="67" xfId="0" applyFill="1" applyBorder="1" applyAlignment="1">
      <alignment horizontal="center" wrapText="1"/>
    </xf>
    <xf numFmtId="168" fontId="38" fillId="5" borderId="9" xfId="15" applyNumberFormat="1" applyFont="1" applyFill="1" applyBorder="1"/>
    <xf numFmtId="168" fontId="24" fillId="5" borderId="9" xfId="15" applyNumberFormat="1" applyFont="1" applyFill="1" applyBorder="1"/>
    <xf numFmtId="168" fontId="0" fillId="5" borderId="9" xfId="15" applyNumberFormat="1" applyFont="1" applyFill="1" applyBorder="1"/>
    <xf numFmtId="168" fontId="0" fillId="5" borderId="62" xfId="15" applyNumberFormat="1" applyFont="1" applyFill="1" applyBorder="1"/>
    <xf numFmtId="173" fontId="0" fillId="0" borderId="9" xfId="15" applyNumberFormat="1" applyFont="1" applyFill="1" applyBorder="1"/>
    <xf numFmtId="173" fontId="7" fillId="0" borderId="9" xfId="15" applyNumberFormat="1" applyFont="1" applyFill="1" applyBorder="1"/>
    <xf numFmtId="171" fontId="7" fillId="0" borderId="9" xfId="15" applyNumberFormat="1" applyFont="1" applyFill="1" applyBorder="1"/>
    <xf numFmtId="171" fontId="7" fillId="0" borderId="62" xfId="15" applyNumberFormat="1" applyFont="1" applyFill="1" applyBorder="1"/>
    <xf numFmtId="173" fontId="24" fillId="10" borderId="5" xfId="15" applyNumberFormat="1" applyFont="1" applyFill="1" applyBorder="1"/>
    <xf numFmtId="173" fontId="24" fillId="10" borderId="9" xfId="15" applyNumberFormat="1" applyFont="1" applyFill="1" applyBorder="1"/>
    <xf numFmtId="173" fontId="38" fillId="10" borderId="9" xfId="15" applyNumberFormat="1" applyFont="1" applyFill="1" applyBorder="1"/>
    <xf numFmtId="172" fontId="38" fillId="10" borderId="9" xfId="15" applyNumberFormat="1" applyFont="1" applyFill="1" applyBorder="1"/>
    <xf numFmtId="172" fontId="7" fillId="10" borderId="9" xfId="15" applyNumberFormat="1" applyFill="1" applyBorder="1"/>
    <xf numFmtId="172" fontId="7" fillId="10" borderId="62" xfId="15" applyNumberFormat="1" applyFill="1" applyBorder="1"/>
    <xf numFmtId="168" fontId="38" fillId="5" borderId="62" xfId="15" applyNumberFormat="1" applyFont="1" applyFill="1" applyBorder="1"/>
    <xf numFmtId="173" fontId="38" fillId="5" borderId="9" xfId="15" applyNumberFormat="1" applyFont="1" applyFill="1" applyBorder="1"/>
    <xf numFmtId="172" fontId="38" fillId="5" borderId="9" xfId="15" applyNumberFormat="1" applyFont="1" applyFill="1" applyBorder="1"/>
    <xf numFmtId="172" fontId="7" fillId="5" borderId="9" xfId="15" applyNumberFormat="1" applyFill="1" applyBorder="1"/>
    <xf numFmtId="172" fontId="7" fillId="5" borderId="62" xfId="15" applyNumberFormat="1" applyFill="1" applyBorder="1"/>
    <xf numFmtId="168" fontId="7" fillId="14" borderId="5" xfId="15" applyNumberFormat="1" applyFont="1" applyFill="1" applyBorder="1"/>
    <xf numFmtId="168" fontId="7" fillId="14" borderId="9" xfId="15" applyNumberFormat="1" applyFont="1" applyFill="1" applyBorder="1"/>
    <xf numFmtId="168" fontId="7" fillId="14" borderId="62" xfId="15" applyNumberFormat="1" applyFont="1" applyFill="1" applyBorder="1"/>
    <xf numFmtId="173" fontId="38" fillId="10" borderId="5" xfId="15" applyNumberFormat="1" applyFont="1" applyFill="1" applyBorder="1"/>
    <xf numFmtId="173" fontId="38" fillId="4" borderId="9" xfId="15" applyNumberFormat="1" applyFont="1" applyFill="1" applyBorder="1"/>
    <xf numFmtId="172" fontId="7" fillId="4" borderId="9" xfId="15" applyNumberFormat="1" applyFill="1" applyBorder="1"/>
    <xf numFmtId="172" fontId="7" fillId="4" borderId="62" xfId="15" applyNumberFormat="1" applyFill="1" applyBorder="1"/>
    <xf numFmtId="0" fontId="32" fillId="9" borderId="0" xfId="0" applyFont="1" applyFill="1"/>
    <xf numFmtId="0" fontId="0" fillId="9" borderId="0" xfId="0" applyFill="1" applyBorder="1"/>
    <xf numFmtId="0" fontId="0" fillId="0" borderId="13" xfId="0" applyFill="1" applyBorder="1" applyAlignment="1">
      <alignment horizontal="center"/>
    </xf>
    <xf numFmtId="0" fontId="0" fillId="16" borderId="60" xfId="0" applyFill="1" applyBorder="1"/>
    <xf numFmtId="0" fontId="0" fillId="16" borderId="61" xfId="0" applyFill="1" applyBorder="1"/>
    <xf numFmtId="0" fontId="0" fillId="5" borderId="7" xfId="0" applyFill="1" applyBorder="1"/>
    <xf numFmtId="0" fontId="0" fillId="5" borderId="17" xfId="0" applyFill="1" applyBorder="1"/>
    <xf numFmtId="0" fontId="0" fillId="5" borderId="22" xfId="0" applyFill="1" applyBorder="1"/>
    <xf numFmtId="0" fontId="0" fillId="0" borderId="69" xfId="0" applyFill="1" applyBorder="1"/>
    <xf numFmtId="0" fontId="0" fillId="0" borderId="70" xfId="0" applyFill="1" applyBorder="1"/>
    <xf numFmtId="174" fontId="0" fillId="0" borderId="61" xfId="0" applyNumberFormat="1" applyFill="1" applyBorder="1"/>
    <xf numFmtId="9" fontId="0" fillId="0" borderId="8" xfId="0" applyNumberFormat="1" applyFill="1" applyBorder="1"/>
    <xf numFmtId="3" fontId="0" fillId="0" borderId="16" xfId="0" applyNumberFormat="1" applyFill="1" applyBorder="1"/>
    <xf numFmtId="0" fontId="0" fillId="16" borderId="0" xfId="0" applyFill="1" applyBorder="1"/>
    <xf numFmtId="0" fontId="0" fillId="0" borderId="19" xfId="0" applyFill="1" applyBorder="1" applyAlignment="1">
      <alignment horizontal="center"/>
    </xf>
    <xf numFmtId="0" fontId="0" fillId="5" borderId="18" xfId="0" applyFill="1" applyBorder="1"/>
    <xf numFmtId="0" fontId="0" fillId="0" borderId="12" xfId="0" applyFill="1" applyBorder="1" applyAlignment="1">
      <alignment horizontal="center"/>
    </xf>
    <xf numFmtId="0" fontId="0" fillId="5" borderId="9" xfId="0" applyFill="1" applyBorder="1"/>
    <xf numFmtId="0" fontId="0" fillId="5" borderId="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3" fontId="14" fillId="13" borderId="10" xfId="0" applyNumberFormat="1" applyFont="1" applyFill="1" applyBorder="1" applyAlignment="1" applyProtection="1">
      <alignment horizontal="right" vertical="center"/>
    </xf>
    <xf numFmtId="0" fontId="0" fillId="0" borderId="31" xfId="0" applyFill="1" applyBorder="1" applyAlignment="1">
      <alignment horizontal="center"/>
    </xf>
    <xf numFmtId="0" fontId="0" fillId="0" borderId="40" xfId="0" applyFill="1" applyBorder="1"/>
    <xf numFmtId="0" fontId="0" fillId="0" borderId="41" xfId="0" applyFill="1" applyBorder="1"/>
    <xf numFmtId="0" fontId="0" fillId="0" borderId="71" xfId="0" applyFill="1" applyBorder="1"/>
    <xf numFmtId="0" fontId="0" fillId="0" borderId="19" xfId="0" applyFill="1" applyBorder="1" applyAlignment="1">
      <alignment horizontal="center"/>
    </xf>
    <xf numFmtId="0" fontId="0" fillId="0" borderId="64" xfId="0" applyFill="1" applyBorder="1" applyAlignment="1"/>
    <xf numFmtId="0" fontId="0" fillId="0" borderId="60" xfId="0" applyFill="1" applyBorder="1" applyAlignment="1"/>
    <xf numFmtId="0" fontId="7" fillId="5" borderId="39" xfId="16" applyFont="1" applyFill="1" applyBorder="1"/>
    <xf numFmtId="0" fontId="7" fillId="2" borderId="72" xfId="16" applyFill="1" applyBorder="1"/>
    <xf numFmtId="0" fontId="7" fillId="2" borderId="29" xfId="16" applyFill="1" applyBorder="1"/>
    <xf numFmtId="168" fontId="7" fillId="2" borderId="72" xfId="16" applyNumberFormat="1" applyFill="1" applyBorder="1"/>
    <xf numFmtId="0" fontId="0" fillId="17" borderId="0" xfId="0" applyFill="1"/>
    <xf numFmtId="0" fontId="0" fillId="9" borderId="6" xfId="0" applyFill="1" applyBorder="1"/>
    <xf numFmtId="0" fontId="0" fillId="9" borderId="16" xfId="0" applyFill="1" applyBorder="1"/>
    <xf numFmtId="0" fontId="7" fillId="9" borderId="1" xfId="16" applyFill="1" applyBorder="1"/>
    <xf numFmtId="168" fontId="7" fillId="9" borderId="27" xfId="16" applyNumberFormat="1" applyFill="1" applyBorder="1"/>
    <xf numFmtId="168" fontId="7" fillId="17" borderId="27" xfId="16" applyNumberFormat="1" applyFill="1" applyBorder="1"/>
    <xf numFmtId="0" fontId="7" fillId="8" borderId="0" xfId="16" applyFill="1" applyBorder="1"/>
    <xf numFmtId="0" fontId="7" fillId="9" borderId="0" xfId="16" applyFill="1" applyBorder="1"/>
    <xf numFmtId="3" fontId="6" fillId="10" borderId="17" xfId="6" applyNumberFormat="1" applyFont="1" applyFill="1" applyBorder="1" applyAlignment="1" applyProtection="1">
      <alignment horizontal="right" vertical="center"/>
    </xf>
    <xf numFmtId="169" fontId="5" fillId="5" borderId="17" xfId="0" applyNumberFormat="1" applyFont="1" applyFill="1" applyBorder="1" applyAlignment="1" applyProtection="1">
      <alignment horizontal="center"/>
    </xf>
    <xf numFmtId="0" fontId="8" fillId="15" borderId="0" xfId="1" applyFont="1" applyFill="1"/>
    <xf numFmtId="0" fontId="22" fillId="15" borderId="0" xfId="1" applyFont="1" applyFill="1"/>
    <xf numFmtId="0" fontId="22" fillId="15" borderId="0" xfId="1" applyFont="1" applyFill="1" applyBorder="1"/>
    <xf numFmtId="3" fontId="6" fillId="0" borderId="17" xfId="0" applyNumberFormat="1" applyFont="1" applyBorder="1" applyProtection="1">
      <protection locked="0"/>
    </xf>
    <xf numFmtId="10" fontId="0" fillId="0" borderId="7" xfId="6" applyNumberFormat="1" applyFont="1" applyFill="1" applyBorder="1"/>
    <xf numFmtId="10" fontId="0" fillId="0" borderId="17" xfId="6" applyNumberFormat="1" applyFont="1" applyFill="1" applyBorder="1"/>
    <xf numFmtId="10" fontId="0" fillId="0" borderId="68" xfId="6" applyNumberFormat="1" applyFont="1" applyFill="1" applyBorder="1"/>
    <xf numFmtId="168" fontId="6" fillId="0" borderId="10" xfId="5" applyNumberFormat="1" applyFont="1" applyBorder="1" applyAlignment="1" applyProtection="1">
      <alignment horizontal="center" vertical="center"/>
    </xf>
    <xf numFmtId="0" fontId="52" fillId="0" borderId="0" xfId="1" applyFont="1"/>
    <xf numFmtId="6" fontId="8" fillId="9" borderId="23" xfId="3" applyNumberFormat="1" applyFont="1" applyFill="1" applyBorder="1"/>
    <xf numFmtId="6" fontId="8" fillId="9" borderId="17" xfId="3" applyNumberFormat="1" applyFont="1" applyFill="1" applyBorder="1"/>
    <xf numFmtId="6" fontId="8" fillId="9" borderId="41" xfId="3" applyNumberFormat="1" applyFont="1" applyFill="1" applyBorder="1"/>
    <xf numFmtId="169" fontId="5" fillId="5" borderId="10" xfId="0" applyNumberFormat="1" applyFont="1" applyFill="1" applyBorder="1" applyAlignment="1" applyProtection="1">
      <alignment horizontal="center"/>
    </xf>
    <xf numFmtId="3" fontId="5" fillId="5" borderId="10" xfId="0" applyNumberFormat="1" applyFont="1" applyFill="1" applyBorder="1" applyProtection="1">
      <protection locked="0"/>
    </xf>
    <xf numFmtId="3" fontId="6" fillId="3" borderId="10" xfId="9" applyNumberFormat="1" applyFont="1" applyFill="1" applyBorder="1" applyAlignment="1" applyProtection="1">
      <alignment horizontal="right"/>
    </xf>
    <xf numFmtId="3" fontId="41" fillId="0" borderId="0" xfId="8" applyFont="1" applyFill="1" applyBorder="1" applyAlignment="1" applyProtection="1">
      <alignment horizontal="left"/>
      <protection locked="0"/>
    </xf>
    <xf numFmtId="3" fontId="6" fillId="3" borderId="10" xfId="6" applyNumberFormat="1" applyFont="1" applyFill="1" applyBorder="1" applyAlignment="1" applyProtection="1">
      <alignment horizontal="right" vertical="center"/>
    </xf>
    <xf numFmtId="3" fontId="14" fillId="3" borderId="10" xfId="6" applyNumberFormat="1" applyFont="1" applyFill="1" applyBorder="1" applyAlignment="1" applyProtection="1">
      <alignment horizontal="right" vertical="center"/>
    </xf>
    <xf numFmtId="3" fontId="5" fillId="5" borderId="17" xfId="0" applyNumberFormat="1" applyFont="1" applyFill="1" applyBorder="1" applyProtection="1">
      <protection locked="0"/>
    </xf>
    <xf numFmtId="3" fontId="6" fillId="0" borderId="10" xfId="0" applyNumberFormat="1" applyFont="1" applyBorder="1" applyProtection="1">
      <protection locked="0"/>
    </xf>
    <xf numFmtId="0" fontId="14" fillId="0" borderId="9" xfId="0" applyNumberFormat="1" applyFont="1" applyFill="1" applyBorder="1" applyAlignment="1" applyProtection="1">
      <alignment horizontal="left"/>
    </xf>
    <xf numFmtId="0" fontId="0" fillId="5" borderId="23" xfId="0" applyFill="1" applyBorder="1" applyAlignment="1">
      <alignment horizontal="center" wrapText="1"/>
    </xf>
    <xf numFmtId="0" fontId="0" fillId="5" borderId="17" xfId="0" applyFill="1" applyBorder="1" applyAlignment="1">
      <alignment horizontal="center" wrapText="1"/>
    </xf>
    <xf numFmtId="0" fontId="0" fillId="5" borderId="9" xfId="0" applyFill="1" applyBorder="1" applyAlignment="1">
      <alignment horizontal="center" wrapText="1"/>
    </xf>
    <xf numFmtId="0" fontId="0" fillId="5" borderId="41" xfId="0" applyFill="1" applyBorder="1" applyAlignment="1">
      <alignment horizontal="center" wrapText="1"/>
    </xf>
    <xf numFmtId="0" fontId="0" fillId="9" borderId="27" xfId="0" applyFill="1" applyBorder="1"/>
    <xf numFmtId="0" fontId="0" fillId="9" borderId="1" xfId="0" applyFill="1" applyBorder="1"/>
    <xf numFmtId="0" fontId="32" fillId="5" borderId="0" xfId="0" applyFont="1" applyFill="1"/>
    <xf numFmtId="10" fontId="8" fillId="0" borderId="0" xfId="6" applyNumberFormat="1" applyFont="1" applyBorder="1" applyAlignment="1">
      <alignment horizontal="center"/>
    </xf>
    <xf numFmtId="6" fontId="8" fillId="55" borderId="42" xfId="322" applyNumberFormat="1" applyFont="1" applyFill="1" applyBorder="1"/>
    <xf numFmtId="0" fontId="8" fillId="0" borderId="14" xfId="1" applyFont="1" applyBorder="1"/>
    <xf numFmtId="6" fontId="8" fillId="55" borderId="41" xfId="322" applyNumberFormat="1" applyFont="1" applyFill="1" applyBorder="1"/>
    <xf numFmtId="0" fontId="22" fillId="0" borderId="51" xfId="1" applyFont="1" applyBorder="1"/>
    <xf numFmtId="6" fontId="8" fillId="55" borderId="40" xfId="322" applyNumberFormat="1" applyFont="1" applyFill="1" applyBorder="1"/>
    <xf numFmtId="0" fontId="22" fillId="0" borderId="38" xfId="1" applyFont="1" applyBorder="1"/>
    <xf numFmtId="0" fontId="32" fillId="8" borderId="0" xfId="0" applyFont="1" applyFill="1" applyBorder="1" applyAlignment="1">
      <alignment horizontal="right"/>
    </xf>
    <xf numFmtId="173" fontId="24" fillId="10" borderId="87" xfId="15" applyNumberFormat="1" applyFont="1" applyFill="1" applyBorder="1"/>
    <xf numFmtId="0" fontId="0" fillId="10" borderId="28" xfId="0" applyFill="1" applyBorder="1"/>
    <xf numFmtId="43" fontId="8" fillId="8" borderId="0" xfId="1" applyNumberFormat="1" applyFont="1" applyFill="1"/>
    <xf numFmtId="0" fontId="0" fillId="56" borderId="66" xfId="0" applyFill="1" applyBorder="1" applyAlignment="1">
      <alignment horizontal="center"/>
    </xf>
    <xf numFmtId="0" fontId="8" fillId="56" borderId="28" xfId="0" applyFont="1" applyFill="1" applyBorder="1" applyAlignment="1">
      <alignment horizontal="center"/>
    </xf>
    <xf numFmtId="0" fontId="30" fillId="8" borderId="0" xfId="1" applyFont="1" applyFill="1"/>
    <xf numFmtId="0" fontId="39" fillId="0" borderId="0" xfId="0" applyFont="1" applyFill="1" applyProtection="1">
      <protection locked="0"/>
    </xf>
    <xf numFmtId="0" fontId="30" fillId="8" borderId="0" xfId="0" applyFont="1" applyFill="1"/>
    <xf numFmtId="43" fontId="8" fillId="8" borderId="0" xfId="1" applyNumberFormat="1" applyFont="1" applyFill="1" applyBorder="1"/>
    <xf numFmtId="168" fontId="0" fillId="8" borderId="0" xfId="0" applyNumberFormat="1" applyFill="1"/>
    <xf numFmtId="3" fontId="5" fillId="0" borderId="0" xfId="0" applyNumberFormat="1" applyFont="1" applyFill="1" applyProtection="1">
      <protection locked="0"/>
    </xf>
    <xf numFmtId="175" fontId="111" fillId="0" borderId="0" xfId="6" applyNumberFormat="1" applyFont="1" applyBorder="1"/>
    <xf numFmtId="195" fontId="4" fillId="2" borderId="23" xfId="5" applyNumberFormat="1" applyFont="1" applyFill="1" applyBorder="1"/>
    <xf numFmtId="195" fontId="4" fillId="2" borderId="17" xfId="5" applyNumberFormat="1" applyFont="1" applyFill="1" applyBorder="1"/>
    <xf numFmtId="168" fontId="0" fillId="5" borderId="0" xfId="5" applyNumberFormat="1" applyFont="1" applyFill="1" applyBorder="1" applyAlignment="1">
      <alignment horizontal="center"/>
    </xf>
    <xf numFmtId="0" fontId="8" fillId="3" borderId="66" xfId="1" applyFont="1" applyFill="1" applyBorder="1" applyAlignment="1">
      <alignment horizontal="center" wrapText="1"/>
    </xf>
    <xf numFmtId="195" fontId="4" fillId="2" borderId="24" xfId="5" applyNumberFormat="1" applyFont="1" applyFill="1" applyBorder="1"/>
    <xf numFmtId="195" fontId="4" fillId="2" borderId="22" xfId="5" applyNumberFormat="1" applyFont="1" applyFill="1" applyBorder="1"/>
    <xf numFmtId="10" fontId="8" fillId="8" borderId="0" xfId="1" applyNumberFormat="1" applyFont="1" applyFill="1"/>
    <xf numFmtId="43" fontId="24" fillId="4" borderId="39" xfId="5" applyNumberFormat="1" applyFont="1" applyFill="1" applyBorder="1"/>
    <xf numFmtId="43" fontId="24" fillId="4" borderId="7" xfId="5" applyNumberFormat="1" applyFont="1" applyFill="1" applyBorder="1"/>
    <xf numFmtId="43" fontId="24" fillId="4" borderId="87" xfId="5" applyNumberFormat="1" applyFont="1" applyFill="1" applyBorder="1"/>
    <xf numFmtId="43" fontId="8" fillId="8" borderId="0" xfId="5" applyNumberFormat="1" applyFont="1" applyFill="1"/>
    <xf numFmtId="43" fontId="24" fillId="4" borderId="1" xfId="5" applyNumberFormat="1" applyFont="1" applyFill="1" applyBorder="1"/>
    <xf numFmtId="43" fontId="24" fillId="4" borderId="17" xfId="5" applyNumberFormat="1" applyFont="1" applyFill="1" applyBorder="1"/>
    <xf numFmtId="173" fontId="38" fillId="5" borderId="40" xfId="15" applyNumberFormat="1" applyFont="1" applyFill="1" applyBorder="1"/>
    <xf numFmtId="168" fontId="0" fillId="14" borderId="23" xfId="15" applyNumberFormat="1" applyFont="1" applyFill="1" applyBorder="1"/>
    <xf numFmtId="168" fontId="0" fillId="14" borderId="17" xfId="15" applyNumberFormat="1" applyFont="1" applyFill="1" applyBorder="1"/>
    <xf numFmtId="168" fontId="0" fillId="14" borderId="41" xfId="0" applyNumberFormat="1" applyFill="1" applyBorder="1"/>
    <xf numFmtId="173" fontId="0" fillId="14" borderId="39" xfId="15" applyNumberFormat="1" applyFont="1" applyFill="1" applyBorder="1"/>
    <xf numFmtId="173" fontId="0" fillId="14" borderId="7" xfId="15" applyNumberFormat="1" applyFont="1" applyFill="1" applyBorder="1"/>
    <xf numFmtId="172" fontId="0" fillId="14" borderId="7" xfId="15" applyNumberFormat="1" applyFont="1" applyFill="1" applyBorder="1"/>
    <xf numFmtId="172" fontId="0" fillId="14" borderId="5" xfId="15" applyNumberFormat="1" applyFont="1" applyFill="1" applyBorder="1"/>
    <xf numFmtId="172" fontId="0" fillId="14" borderId="40" xfId="15" applyNumberFormat="1" applyFont="1" applyFill="1" applyBorder="1"/>
    <xf numFmtId="173" fontId="0" fillId="14" borderId="23" xfId="15" applyNumberFormat="1" applyFont="1" applyFill="1" applyBorder="1"/>
    <xf numFmtId="173" fontId="0" fillId="14" borderId="17" xfId="15" applyNumberFormat="1" applyFont="1" applyFill="1" applyBorder="1"/>
    <xf numFmtId="173" fontId="0" fillId="14" borderId="9" xfId="15" applyNumberFormat="1" applyFont="1" applyFill="1" applyBorder="1"/>
    <xf numFmtId="173" fontId="0" fillId="14" borderId="41" xfId="15" applyNumberFormat="1" applyFont="1" applyFill="1" applyBorder="1"/>
    <xf numFmtId="168" fontId="0" fillId="14" borderId="40" xfId="0" applyNumberFormat="1" applyFill="1" applyBorder="1"/>
    <xf numFmtId="168" fontId="7" fillId="14" borderId="23" xfId="15" applyNumberFormat="1" applyFill="1" applyBorder="1"/>
    <xf numFmtId="168" fontId="7" fillId="14" borderId="17" xfId="15" applyNumberFormat="1" applyFill="1" applyBorder="1"/>
    <xf numFmtId="3" fontId="14" fillId="5" borderId="10" xfId="6" applyNumberFormat="1" applyFont="1" applyFill="1" applyBorder="1" applyAlignment="1" applyProtection="1">
      <alignment horizontal="right" vertical="center"/>
    </xf>
    <xf numFmtId="3" fontId="6" fillId="5" borderId="7" xfId="0" applyNumberFormat="1" applyFont="1" applyFill="1" applyBorder="1" applyAlignment="1" applyProtection="1">
      <alignment horizontal="right" vertical="center"/>
    </xf>
    <xf numFmtId="3" fontId="6" fillId="5" borderId="11" xfId="0" applyNumberFormat="1" applyFont="1" applyFill="1" applyBorder="1" applyAlignment="1" applyProtection="1">
      <alignment horizontal="right" vertical="center"/>
    </xf>
    <xf numFmtId="173" fontId="38" fillId="5" borderId="39" xfId="15" applyNumberFormat="1" applyFont="1" applyFill="1" applyBorder="1"/>
    <xf numFmtId="173" fontId="38" fillId="5" borderId="7" xfId="15" applyNumberFormat="1" applyFont="1" applyFill="1" applyBorder="1"/>
    <xf numFmtId="173" fontId="38" fillId="5" borderId="5" xfId="15" applyNumberFormat="1" applyFont="1" applyFill="1" applyBorder="1"/>
    <xf numFmtId="3" fontId="21" fillId="5" borderId="10" xfId="0" applyNumberFormat="1" applyFont="1" applyFill="1" applyBorder="1" applyProtection="1">
      <protection locked="0"/>
    </xf>
    <xf numFmtId="175" fontId="30" fillId="0" borderId="0" xfId="6" applyNumberFormat="1" applyFont="1" applyBorder="1"/>
    <xf numFmtId="10" fontId="8" fillId="5" borderId="41" xfId="6" applyNumberFormat="1" applyFont="1" applyFill="1" applyBorder="1"/>
    <xf numFmtId="6" fontId="8" fillId="5" borderId="23" xfId="6" applyNumberFormat="1" applyFont="1" applyFill="1" applyBorder="1"/>
    <xf numFmtId="172" fontId="24" fillId="55" borderId="39" xfId="15" applyNumberFormat="1" applyFont="1" applyFill="1" applyBorder="1"/>
    <xf numFmtId="172" fontId="24" fillId="55" borderId="1" xfId="15" applyNumberFormat="1" applyFont="1" applyFill="1" applyBorder="1"/>
    <xf numFmtId="172" fontId="24" fillId="10" borderId="1" xfId="15" applyNumberFormat="1" applyFont="1" applyFill="1" applyBorder="1"/>
    <xf numFmtId="172" fontId="8" fillId="14" borderId="39" xfId="5" applyNumberFormat="1" applyFont="1" applyFill="1" applyBorder="1"/>
    <xf numFmtId="172" fontId="8" fillId="14" borderId="1" xfId="5" applyNumberFormat="1" applyFont="1" applyFill="1" applyBorder="1"/>
    <xf numFmtId="0" fontId="0" fillId="15" borderId="0" xfId="0" applyFill="1" applyAlignment="1">
      <alignment horizontal="center" wrapText="1"/>
    </xf>
    <xf numFmtId="0" fontId="22" fillId="15" borderId="0" xfId="1" applyFont="1" applyFill="1" applyAlignment="1">
      <alignment horizontal="left"/>
    </xf>
    <xf numFmtId="0" fontId="22" fillId="15" borderId="0" xfId="1" applyFont="1" applyFill="1" applyAlignment="1">
      <alignment horizontal="left" wrapText="1"/>
    </xf>
    <xf numFmtId="0" fontId="32" fillId="15" borderId="0" xfId="0" applyFont="1" applyFill="1" applyAlignment="1">
      <alignment horizontal="left"/>
    </xf>
    <xf numFmtId="0" fontId="0" fillId="0" borderId="59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0" fillId="0" borderId="6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61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0" fillId="0" borderId="65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5" borderId="62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63" xfId="0" applyFill="1" applyBorder="1" applyAlignment="1">
      <alignment horizontal="center"/>
    </xf>
    <xf numFmtId="0" fontId="0" fillId="5" borderId="5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0" fillId="0" borderId="64" xfId="0" applyFill="1" applyBorder="1" applyAlignment="1">
      <alignment horizontal="center"/>
    </xf>
    <xf numFmtId="0" fontId="0" fillId="5" borderId="9" xfId="0" applyFill="1" applyBorder="1" applyAlignment="1">
      <alignment horizontal="left"/>
    </xf>
    <xf numFmtId="0" fontId="0" fillId="5" borderId="0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22" fillId="15" borderId="0" xfId="0" applyFont="1" applyFill="1" applyAlignment="1">
      <alignment horizontal="center" wrapText="1"/>
    </xf>
    <xf numFmtId="0" fontId="51" fillId="17" borderId="30" xfId="16" applyFont="1" applyFill="1" applyBorder="1" applyAlignment="1">
      <alignment horizontal="center"/>
    </xf>
    <xf numFmtId="0" fontId="51" fillId="17" borderId="13" xfId="16" applyFont="1" applyFill="1" applyBorder="1" applyAlignment="1">
      <alignment horizontal="center"/>
    </xf>
    <xf numFmtId="0" fontId="51" fillId="17" borderId="31" xfId="16" applyFont="1" applyFill="1" applyBorder="1" applyAlignment="1">
      <alignment horizontal="center"/>
    </xf>
    <xf numFmtId="0" fontId="0" fillId="2" borderId="55" xfId="0" applyFill="1" applyBorder="1" applyAlignment="1">
      <alignment horizontal="center" wrapText="1"/>
    </xf>
    <xf numFmtId="0" fontId="0" fillId="2" borderId="48" xfId="0" applyFill="1" applyBorder="1" applyAlignment="1">
      <alignment horizontal="center" wrapText="1"/>
    </xf>
    <xf numFmtId="0" fontId="0" fillId="2" borderId="58" xfId="0" applyFill="1" applyBorder="1" applyAlignment="1">
      <alignment horizontal="center" wrapText="1"/>
    </xf>
    <xf numFmtId="0" fontId="0" fillId="2" borderId="49" xfId="0" applyFill="1" applyBorder="1" applyAlignment="1">
      <alignment horizontal="center" wrapText="1"/>
    </xf>
    <xf numFmtId="0" fontId="0" fillId="2" borderId="56" xfId="0" applyFill="1" applyBorder="1" applyAlignment="1">
      <alignment horizontal="center" wrapText="1"/>
    </xf>
    <xf numFmtId="0" fontId="32" fillId="8" borderId="57" xfId="0" applyFont="1" applyFill="1" applyBorder="1" applyAlignment="1">
      <alignment horizontal="right"/>
    </xf>
  </cellXfs>
  <cellStyles count="1050">
    <cellStyle name=" 1" xfId="65"/>
    <cellStyle name=" 1 2" xfId="66"/>
    <cellStyle name=" 1 2 2" xfId="67"/>
    <cellStyle name=" 1 2 3" xfId="91"/>
    <cellStyle name=" 1 3" xfId="68"/>
    <cellStyle name=" 1 3 2" xfId="69"/>
    <cellStyle name=" 1 4" xfId="70"/>
    <cellStyle name=" 1_29(d) - Gas extensions -tariffs" xfId="71"/>
    <cellStyle name="_3GIS model v2.77_Distribution Business_Retail Fin Perform " xfId="72"/>
    <cellStyle name="_3GIS model v2.77_Fleet Overhead Costs 2_Retail Fin Perform " xfId="73"/>
    <cellStyle name="_3GIS model v2.77_Fleet Overhead Costs_Retail Fin Perform " xfId="74"/>
    <cellStyle name="_3GIS model v2.77_Forecast 2_Retail Fin Perform " xfId="75"/>
    <cellStyle name="_3GIS model v2.77_Forecast_Retail Fin Perform " xfId="76"/>
    <cellStyle name="_3GIS model v2.77_Funding &amp; Cashflow_1_Retail Fin Perform " xfId="77"/>
    <cellStyle name="_3GIS model v2.77_Funding &amp; Cashflow_Retail Fin Perform " xfId="78"/>
    <cellStyle name="_3GIS model v2.77_Group P&amp;L_1_Retail Fin Perform " xfId="79"/>
    <cellStyle name="_3GIS model v2.77_Group P&amp;L_Retail Fin Perform " xfId="80"/>
    <cellStyle name="_3GIS model v2.77_Opening  Detailed BS_Retail Fin Perform " xfId="81"/>
    <cellStyle name="_3GIS model v2.77_OUTPUT DB_Retail Fin Perform " xfId="82"/>
    <cellStyle name="_3GIS model v2.77_OUTPUT EB_Retail Fin Perform " xfId="83"/>
    <cellStyle name="_3GIS model v2.77_Report_Retail Fin Perform " xfId="84"/>
    <cellStyle name="_3GIS model v2.77_Retail Fin Perform " xfId="85"/>
    <cellStyle name="_3GIS model v2.77_Sheet2 2_Retail Fin Perform " xfId="86"/>
    <cellStyle name="_3GIS model v2.77_Sheet2_Retail Fin Perform " xfId="87"/>
    <cellStyle name="_Capex" xfId="187"/>
    <cellStyle name="_Capex 2" xfId="188"/>
    <cellStyle name="_Capex_29(d) - Gas extensions -tariffs" xfId="189"/>
    <cellStyle name="_UED AMP 2009-14 Final 250309 Less PU" xfId="190"/>
    <cellStyle name="_UED AMP 2009-14 Final 250309 Less PU_1011 monthly" xfId="191"/>
    <cellStyle name="20% - Accent1 2" xfId="95"/>
    <cellStyle name="20% - Accent1 2 2" xfId="672"/>
    <cellStyle name="20% - Accent1 3" xfId="616"/>
    <cellStyle name="20% - Accent1 4" xfId="94"/>
    <cellStyle name="20% - Accent2 2" xfId="97"/>
    <cellStyle name="20% - Accent2 3" xfId="96"/>
    <cellStyle name="20% - Accent3 2" xfId="99"/>
    <cellStyle name="20% - Accent3 3" xfId="98"/>
    <cellStyle name="20% - Accent4 2" xfId="101"/>
    <cellStyle name="20% - Accent4 3" xfId="100"/>
    <cellStyle name="20% - Accent5 2" xfId="103"/>
    <cellStyle name="20% - Accent5 2 2" xfId="673"/>
    <cellStyle name="20% - Accent5 2 2 2" xfId="14"/>
    <cellStyle name="20% - Accent5 3" xfId="102"/>
    <cellStyle name="20% - Accent6 2" xfId="105"/>
    <cellStyle name="20% - Accent6 3" xfId="104"/>
    <cellStyle name="40% - Accent1 2" xfId="107"/>
    <cellStyle name="40% - Accent1 2 2" xfId="674"/>
    <cellStyle name="40% - Accent1 3" xfId="617"/>
    <cellStyle name="40% - Accent1 4" xfId="106"/>
    <cellStyle name="40% - Accent2 2" xfId="109"/>
    <cellStyle name="40% - Accent2 3" xfId="108"/>
    <cellStyle name="40% - Accent3 2" xfId="111"/>
    <cellStyle name="40% - Accent3 3" xfId="110"/>
    <cellStyle name="40% - Accent4 2" xfId="113"/>
    <cellStyle name="40% - Accent4 3" xfId="112"/>
    <cellStyle name="40% - Accent5 2" xfId="115"/>
    <cellStyle name="40% - Accent5 2 2" xfId="675"/>
    <cellStyle name="40% - Accent5 3" xfId="114"/>
    <cellStyle name="40% - Accent6 2" xfId="117"/>
    <cellStyle name="40% - Accent6 3" xfId="116"/>
    <cellStyle name="60% - Accent1 2" xfId="192"/>
    <cellStyle name="60% - Accent1 2 2" xfId="676"/>
    <cellStyle name="60% - Accent1 3" xfId="118"/>
    <cellStyle name="60% - Accent2 2" xfId="193"/>
    <cellStyle name="60% - Accent2 3" xfId="119"/>
    <cellStyle name="60% - Accent3 2" xfId="194"/>
    <cellStyle name="60% - Accent3 3" xfId="120"/>
    <cellStyle name="60% - Accent4 2" xfId="195"/>
    <cellStyle name="60% - Accent4 3" xfId="121"/>
    <cellStyle name="60% - Accent5 2" xfId="196"/>
    <cellStyle name="60% - Accent5 2 2" xfId="677"/>
    <cellStyle name="60% - Accent5 3" xfId="122"/>
    <cellStyle name="60% - Accent6 2" xfId="197"/>
    <cellStyle name="60% - Accent6 3" xfId="123"/>
    <cellStyle name="Accent1 - 20%" xfId="198"/>
    <cellStyle name="Accent1 - 40%" xfId="199"/>
    <cellStyle name="Accent1 - 60%" xfId="200"/>
    <cellStyle name="Accent1 2" xfId="201"/>
    <cellStyle name="Accent1 3" xfId="622"/>
    <cellStyle name="Accent1 4" xfId="623"/>
    <cellStyle name="Accent1 5" xfId="624"/>
    <cellStyle name="Accent1 6" xfId="124"/>
    <cellStyle name="Accent1 7" xfId="994"/>
    <cellStyle name="Accent1 8" xfId="1007"/>
    <cellStyle name="Accent2 - 20%" xfId="202"/>
    <cellStyle name="Accent2 - 40%" xfId="203"/>
    <cellStyle name="Accent2 - 60%" xfId="204"/>
    <cellStyle name="Accent2 2" xfId="205"/>
    <cellStyle name="Accent2 3" xfId="625"/>
    <cellStyle name="Accent2 4" xfId="626"/>
    <cellStyle name="Accent2 5" xfId="627"/>
    <cellStyle name="Accent2 6" xfId="125"/>
    <cellStyle name="Accent2 7" xfId="995"/>
    <cellStyle name="Accent2 8" xfId="1006"/>
    <cellStyle name="Accent3 - 20%" xfId="206"/>
    <cellStyle name="Accent3 - 40%" xfId="207"/>
    <cellStyle name="Accent3 - 60%" xfId="208"/>
    <cellStyle name="Accent3 2" xfId="209"/>
    <cellStyle name="Accent3 3" xfId="628"/>
    <cellStyle name="Accent3 4" xfId="629"/>
    <cellStyle name="Accent3 5" xfId="630"/>
    <cellStyle name="Accent3 6" xfId="126"/>
    <cellStyle name="Accent3 7" xfId="996"/>
    <cellStyle name="Accent3 8" xfId="1005"/>
    <cellStyle name="Accent4 - 20%" xfId="210"/>
    <cellStyle name="Accent4 - 40%" xfId="211"/>
    <cellStyle name="Accent4 - 60%" xfId="212"/>
    <cellStyle name="Accent4 2" xfId="213"/>
    <cellStyle name="Accent4 3" xfId="631"/>
    <cellStyle name="Accent4 4" xfId="632"/>
    <cellStyle name="Accent4 5" xfId="633"/>
    <cellStyle name="Accent4 6" xfId="127"/>
    <cellStyle name="Accent4 7" xfId="997"/>
    <cellStyle name="Accent4 8" xfId="1004"/>
    <cellStyle name="Accent5 - 20%" xfId="214"/>
    <cellStyle name="Accent5 - 40%" xfId="215"/>
    <cellStyle name="Accent5 - 60%" xfId="216"/>
    <cellStyle name="Accent5 2" xfId="217"/>
    <cellStyle name="Accent5 3" xfId="634"/>
    <cellStyle name="Accent5 4" xfId="635"/>
    <cellStyle name="Accent5 5" xfId="636"/>
    <cellStyle name="Accent5 6" xfId="128"/>
    <cellStyle name="Accent5 7" xfId="998"/>
    <cellStyle name="Accent5 8" xfId="1003"/>
    <cellStyle name="Accent6 - 20%" xfId="218"/>
    <cellStyle name="Accent6 - 40%" xfId="219"/>
    <cellStyle name="Accent6 - 60%" xfId="220"/>
    <cellStyle name="Accent6 2" xfId="221"/>
    <cellStyle name="Accent6 3" xfId="637"/>
    <cellStyle name="Accent6 4" xfId="638"/>
    <cellStyle name="Accent6 5" xfId="639"/>
    <cellStyle name="Accent6 6" xfId="129"/>
    <cellStyle name="Accent6 7" xfId="999"/>
    <cellStyle name="Accent6 8" xfId="1000"/>
    <cellStyle name="Agara" xfId="222"/>
    <cellStyle name="Assumptions Right Number" xfId="20"/>
    <cellStyle name="B79812_.wvu.PrintTitlest" xfId="223"/>
    <cellStyle name="Bad 2" xfId="224"/>
    <cellStyle name="Bad 3" xfId="130"/>
    <cellStyle name="Black" xfId="225"/>
    <cellStyle name="Blockout" xfId="23"/>
    <cellStyle name="Blockout 2" xfId="37"/>
    <cellStyle name="Blockout 2 2" xfId="678"/>
    <cellStyle name="Blockout 2 3" xfId="58"/>
    <cellStyle name="Blockout 2 4" xfId="1036"/>
    <cellStyle name="Blockout 3" xfId="386"/>
    <cellStyle name="Blockout 4" xfId="679"/>
    <cellStyle name="Blockout 5" xfId="131"/>
    <cellStyle name="Blockout 6" xfId="1025"/>
    <cellStyle name="Blue" xfId="226"/>
    <cellStyle name="Calculation 2" xfId="227"/>
    <cellStyle name="Calculation 2 2" xfId="466"/>
    <cellStyle name="Calculation 2 2 2" xfId="680"/>
    <cellStyle name="Calculation 2 2 2 2" xfId="681"/>
    <cellStyle name="Calculation 2 2 3" xfId="682"/>
    <cellStyle name="Calculation 2 2 3 2" xfId="683"/>
    <cellStyle name="Calculation 2 2 4" xfId="684"/>
    <cellStyle name="Calculation 2 2 5" xfId="685"/>
    <cellStyle name="Calculation 2 3" xfId="596"/>
    <cellStyle name="Calculation 2 3 2" xfId="686"/>
    <cellStyle name="Calculation 2 3 2 2" xfId="687"/>
    <cellStyle name="Calculation 2 3 3" xfId="688"/>
    <cellStyle name="Calculation 2 3 3 2" xfId="689"/>
    <cellStyle name="Calculation 2 3 4" xfId="690"/>
    <cellStyle name="Calculation 2 3 5" xfId="691"/>
    <cellStyle name="Calculation 2 4" xfId="692"/>
    <cellStyle name="Calculation 2 4 2" xfId="693"/>
    <cellStyle name="Calculation 2 4 2 2" xfId="694"/>
    <cellStyle name="Calculation 2 4 3" xfId="695"/>
    <cellStyle name="Calculation 2 4 3 2" xfId="696"/>
    <cellStyle name="Calculation 2 4 4" xfId="697"/>
    <cellStyle name="Calculation 2 5" xfId="698"/>
    <cellStyle name="Calculation 2 5 2" xfId="699"/>
    <cellStyle name="Calculation 2 5 2 2" xfId="700"/>
    <cellStyle name="Calculation 2 5 3" xfId="701"/>
    <cellStyle name="Calculation 2 5 3 2" xfId="702"/>
    <cellStyle name="Calculation 2 5 4" xfId="703"/>
    <cellStyle name="Calculation 2 6" xfId="704"/>
    <cellStyle name="Calculation 2 7" xfId="705"/>
    <cellStyle name="Calculation 3" xfId="132"/>
    <cellStyle name="Check Cell 2" xfId="228"/>
    <cellStyle name="Check Cell 2 2" xfId="706"/>
    <cellStyle name="Check Cell 2 2 2" xfId="707"/>
    <cellStyle name="Check Cell 2 2 2 2" xfId="419"/>
    <cellStyle name="Check Cell 3" xfId="133"/>
    <cellStyle name="Comma" xfId="5" builtinId="3"/>
    <cellStyle name="Comma [0]7Z_87C" xfId="229"/>
    <cellStyle name="Comma 0" xfId="230"/>
    <cellStyle name="Comma 1" xfId="231"/>
    <cellStyle name="Comma 1 2" xfId="232"/>
    <cellStyle name="Comma 10" xfId="528"/>
    <cellStyle name="Comma 11" xfId="640"/>
    <cellStyle name="Comma 12" xfId="666"/>
    <cellStyle name="Comma 13" xfId="1019"/>
    <cellStyle name="Comma 14" xfId="1002"/>
    <cellStyle name="Comma 15" xfId="1026"/>
    <cellStyle name="Comma 16" xfId="1048"/>
    <cellStyle name="Comma 2" xfId="15"/>
    <cellStyle name="Comma 2 2" xfId="56"/>
    <cellStyle name="Comma 2 2 2" xfId="135"/>
    <cellStyle name="Comma 2 2 3" xfId="233"/>
    <cellStyle name="Comma 2 3" xfId="136"/>
    <cellStyle name="Comma 2 3 2" xfId="234"/>
    <cellStyle name="Comma 2 4" xfId="235"/>
    <cellStyle name="Comma 2 5" xfId="236"/>
    <cellStyle name="Comma 2 5 2" xfId="708"/>
    <cellStyle name="Comma 2 6" xfId="641"/>
    <cellStyle name="Comma 2 7" xfId="134"/>
    <cellStyle name="Comma 3" xfId="21"/>
    <cellStyle name="Comma 3 2" xfId="138"/>
    <cellStyle name="Comma 3 2 2" xfId="238"/>
    <cellStyle name="Comma 3 3" xfId="137"/>
    <cellStyle name="Comma 3 3 2" xfId="239"/>
    <cellStyle name="Comma 3 4" xfId="177"/>
    <cellStyle name="Comma 3 5" xfId="237"/>
    <cellStyle name="Comma 3 6" xfId="615"/>
    <cellStyle name="Comma 4" xfId="24"/>
    <cellStyle name="Comma 4 2" xfId="614"/>
    <cellStyle name="Comma 5" xfId="240"/>
    <cellStyle name="Comma 5 2" xfId="709"/>
    <cellStyle name="Comma 6" xfId="241"/>
    <cellStyle name="Comma 7" xfId="242"/>
    <cellStyle name="Comma 8" xfId="243"/>
    <cellStyle name="Comma 9" xfId="418"/>
    <cellStyle name="Comma 9 2" xfId="569"/>
    <cellStyle name="Comma 9 3" xfId="500"/>
    <cellStyle name="Comma0" xfId="244"/>
    <cellStyle name="Currency 11" xfId="245"/>
    <cellStyle name="Currency 11 2" xfId="246"/>
    <cellStyle name="Currency 2" xfId="35"/>
    <cellStyle name="Currency 2 2" xfId="248"/>
    <cellStyle name="Currency 2 3" xfId="642"/>
    <cellStyle name="Currency 2 4" xfId="247"/>
    <cellStyle name="Currency 2 5" xfId="1035"/>
    <cellStyle name="Currency 3" xfId="249"/>
    <cellStyle name="Currency 3 2" xfId="250"/>
    <cellStyle name="Currency 4" xfId="251"/>
    <cellStyle name="Currency 4 2" xfId="252"/>
    <cellStyle name="Currency 5" xfId="90"/>
    <cellStyle name="Currency 5 2" xfId="710"/>
    <cellStyle name="Currency 6" xfId="417"/>
    <cellStyle name="Currency 6 2" xfId="568"/>
    <cellStyle name="Currency 6 3" xfId="499"/>
    <cellStyle name="Currency 7" xfId="527"/>
    <cellStyle name="Currency 8" xfId="1049"/>
    <cellStyle name="D4_B8B1_005004B79812_.wvu.PrintTitlest" xfId="253"/>
    <cellStyle name="Date" xfId="254"/>
    <cellStyle name="Date 2" xfId="255"/>
    <cellStyle name="dms_1" xfId="49"/>
    <cellStyle name="Emphasis 1" xfId="256"/>
    <cellStyle name="Emphasis 2" xfId="257"/>
    <cellStyle name="Emphasis 3" xfId="258"/>
    <cellStyle name="Euro" xfId="259"/>
    <cellStyle name="Explanatory Text 2" xfId="260"/>
    <cellStyle name="Explanatory Text 3" xfId="139"/>
    <cellStyle name="Fixed" xfId="261"/>
    <cellStyle name="Fixed 2" xfId="262"/>
    <cellStyle name="Gilsans" xfId="263"/>
    <cellStyle name="Gilsansl" xfId="264"/>
    <cellStyle name="Good 2" xfId="265"/>
    <cellStyle name="Good 3" xfId="140"/>
    <cellStyle name="Heading 1 2" xfId="266"/>
    <cellStyle name="Heading 1 2 2" xfId="267"/>
    <cellStyle name="Heading 1 3" xfId="268"/>
    <cellStyle name="Heading 1 4" xfId="141"/>
    <cellStyle name="Heading 2 2" xfId="269"/>
    <cellStyle name="Heading 2 2 2" xfId="270"/>
    <cellStyle name="Heading 2 2 3" xfId="711"/>
    <cellStyle name="Heading 2 3" xfId="271"/>
    <cellStyle name="Heading 2 4" xfId="142"/>
    <cellStyle name="Heading 3 2" xfId="272"/>
    <cellStyle name="Heading 3 2 2" xfId="273"/>
    <cellStyle name="Heading 3 2 2 2" xfId="444"/>
    <cellStyle name="Heading 3 2 2 2 2" xfId="461"/>
    <cellStyle name="Heading 3 2 2 2 2 2" xfId="588"/>
    <cellStyle name="Heading 3 2 2 2 2 3" xfId="609"/>
    <cellStyle name="Heading 3 2 2 2 2 4" xfId="557"/>
    <cellStyle name="Heading 3 2 2 2 3" xfId="582"/>
    <cellStyle name="Heading 3 2 2 2 4" xfId="603"/>
    <cellStyle name="Heading 3 2 2 2 5" xfId="549"/>
    <cellStyle name="Heading 3 2 2 2 6" xfId="712"/>
    <cellStyle name="Heading 3 2 2 2 6 2" xfId="1020"/>
    <cellStyle name="Heading 3 2 2 3" xfId="445"/>
    <cellStyle name="Heading 3 2 2 3 2" xfId="462"/>
    <cellStyle name="Heading 3 2 2 3 2 2" xfId="589"/>
    <cellStyle name="Heading 3 2 2 3 2 3" xfId="610"/>
    <cellStyle name="Heading 3 2 2 3 2 4" xfId="558"/>
    <cellStyle name="Heading 3 2 2 3 3" xfId="583"/>
    <cellStyle name="Heading 3 2 2 3 4" xfId="604"/>
    <cellStyle name="Heading 3 2 2 3 5" xfId="550"/>
    <cellStyle name="Heading 3 2 2 4" xfId="460"/>
    <cellStyle name="Heading 3 2 2 4 2" xfId="587"/>
    <cellStyle name="Heading 3 2 2 4 3" xfId="608"/>
    <cellStyle name="Heading 3 2 2 4 4" xfId="556"/>
    <cellStyle name="Heading 3 2 2 5" xfId="468"/>
    <cellStyle name="Heading 3 2 2 5 2" xfId="593"/>
    <cellStyle name="Heading 3 2 2 5 3" xfId="562"/>
    <cellStyle name="Heading 3 2 2 6" xfId="713"/>
    <cellStyle name="Heading 3 2 2 6 2" xfId="1021"/>
    <cellStyle name="Heading 3 2 3" xfId="274"/>
    <cellStyle name="Heading 3 2 3 2" xfId="714"/>
    <cellStyle name="Heading 3 2 3 2 2" xfId="1022"/>
    <cellStyle name="Heading 3 2 4" xfId="446"/>
    <cellStyle name="Heading 3 2 4 2" xfId="463"/>
    <cellStyle name="Heading 3 2 4 2 2" xfId="590"/>
    <cellStyle name="Heading 3 2 4 2 3" xfId="611"/>
    <cellStyle name="Heading 3 2 4 2 4" xfId="559"/>
    <cellStyle name="Heading 3 2 4 3" xfId="584"/>
    <cellStyle name="Heading 3 2 4 4" xfId="605"/>
    <cellStyle name="Heading 3 2 4 5" xfId="551"/>
    <cellStyle name="Heading 3 2 5" xfId="447"/>
    <cellStyle name="Heading 3 2 5 2" xfId="464"/>
    <cellStyle name="Heading 3 2 5 2 2" xfId="591"/>
    <cellStyle name="Heading 3 2 5 2 3" xfId="612"/>
    <cellStyle name="Heading 3 2 5 2 4" xfId="560"/>
    <cellStyle name="Heading 3 2 5 3" xfId="585"/>
    <cellStyle name="Heading 3 2 5 4" xfId="606"/>
    <cellStyle name="Heading 3 2 5 5" xfId="552"/>
    <cellStyle name="Heading 3 2 6" xfId="459"/>
    <cellStyle name="Heading 3 2 6 2" xfId="586"/>
    <cellStyle name="Heading 3 2 6 3" xfId="607"/>
    <cellStyle name="Heading 3 2 6 4" xfId="555"/>
    <cellStyle name="Heading 3 2 7" xfId="467"/>
    <cellStyle name="Heading 3 2 7 2" xfId="592"/>
    <cellStyle name="Heading 3 2 7 3" xfId="561"/>
    <cellStyle name="Heading 3 2 8" xfId="715"/>
    <cellStyle name="Heading 3 2 8 2" xfId="1023"/>
    <cellStyle name="Heading 3 3" xfId="275"/>
    <cellStyle name="Heading 3 4" xfId="143"/>
    <cellStyle name="Heading 4 2" xfId="276"/>
    <cellStyle name="Heading 4 2 2" xfId="277"/>
    <cellStyle name="Heading 4 3" xfId="278"/>
    <cellStyle name="Heading 4 4" xfId="144"/>
    <cellStyle name="Heading(4)" xfId="279"/>
    <cellStyle name="Hyperlink 2" xfId="145"/>
    <cellStyle name="Hyperlink 2 2" xfId="146"/>
    <cellStyle name="Hyperlink 2 3" xfId="280"/>
    <cellStyle name="Hyperlink 3" xfId="387"/>
    <cellStyle name="Hyperlink 3 2" xfId="716"/>
    <cellStyle name="Hyperlink 4" xfId="595"/>
    <cellStyle name="Hyperlink Arrow" xfId="281"/>
    <cellStyle name="Hyperlink Text" xfId="282"/>
    <cellStyle name="import" xfId="448"/>
    <cellStyle name="import%" xfId="449"/>
    <cellStyle name="import_ICRC Electricity model 1-1  (1 Feb 2003) " xfId="88"/>
    <cellStyle name="Input 2" xfId="283"/>
    <cellStyle name="Input 2 2" xfId="469"/>
    <cellStyle name="Input 2 2 2" xfId="717"/>
    <cellStyle name="Input 2 2 2 2" xfId="718"/>
    <cellStyle name="Input 2 2 3" xfId="719"/>
    <cellStyle name="Input 2 2 3 2" xfId="720"/>
    <cellStyle name="Input 2 2 4" xfId="721"/>
    <cellStyle name="Input 2 2 5" xfId="722"/>
    <cellStyle name="Input 2 3" xfId="597"/>
    <cellStyle name="Input 2 3 2" xfId="723"/>
    <cellStyle name="Input 2 3 2 2" xfId="724"/>
    <cellStyle name="Input 2 3 3" xfId="725"/>
    <cellStyle name="Input 2 3 3 2" xfId="726"/>
    <cellStyle name="Input 2 3 4" xfId="727"/>
    <cellStyle name="Input 2 3 5" xfId="728"/>
    <cellStyle name="Input 2 4" xfId="729"/>
    <cellStyle name="Input 2 4 2" xfId="730"/>
    <cellStyle name="Input 2 4 2 2" xfId="731"/>
    <cellStyle name="Input 2 4 3" xfId="732"/>
    <cellStyle name="Input 2 4 3 2" xfId="733"/>
    <cellStyle name="Input 2 4 4" xfId="734"/>
    <cellStyle name="Input 2 5" xfId="735"/>
    <cellStyle name="Input 2 5 2" xfId="736"/>
    <cellStyle name="Input 2 5 2 2" xfId="737"/>
    <cellStyle name="Input 2 5 3" xfId="738"/>
    <cellStyle name="Input 2 5 3 2" xfId="739"/>
    <cellStyle name="Input 2 5 4" xfId="740"/>
    <cellStyle name="Input 2 6" xfId="741"/>
    <cellStyle name="Input 2 7" xfId="742"/>
    <cellStyle name="Input 3" xfId="147"/>
    <cellStyle name="Input1" xfId="8"/>
    <cellStyle name="Input1 2" xfId="26"/>
    <cellStyle name="Input1 2 2" xfId="38"/>
    <cellStyle name="Input1 2 2 2" xfId="149"/>
    <cellStyle name="Input1 2 2 3" xfId="1037"/>
    <cellStyle name="Input1 2 3" xfId="743"/>
    <cellStyle name="Input1 2 4" xfId="148"/>
    <cellStyle name="Input1 2 5" xfId="1028"/>
    <cellStyle name="Input1 3" xfId="27"/>
    <cellStyle name="Input1 3 2" xfId="39"/>
    <cellStyle name="Input1 3 2 2" xfId="151"/>
    <cellStyle name="Input1 3 2 3" xfId="1038"/>
    <cellStyle name="Input1 3 3" xfId="744"/>
    <cellStyle name="Input1 3 4" xfId="150"/>
    <cellStyle name="Input1 3 5" xfId="1029"/>
    <cellStyle name="Input1 4" xfId="28"/>
    <cellStyle name="Input1 4 2" xfId="40"/>
    <cellStyle name="Input1 4 2 2" xfId="745"/>
    <cellStyle name="Input1 4 2 3" xfId="1039"/>
    <cellStyle name="Input1 4 3" xfId="643"/>
    <cellStyle name="Input1 4 4" xfId="1030"/>
    <cellStyle name="Input1 5" xfId="25"/>
    <cellStyle name="Input1 6" xfId="746"/>
    <cellStyle name="Input1 7" xfId="52"/>
    <cellStyle name="Input1 8" xfId="1027"/>
    <cellStyle name="Input1%" xfId="450"/>
    <cellStyle name="Input1_ICRC Electricity model 1-1  (1 Feb 2003) " xfId="284"/>
    <cellStyle name="Input1default" xfId="451"/>
    <cellStyle name="Input1default%" xfId="452"/>
    <cellStyle name="Input2" xfId="152"/>
    <cellStyle name="Input2 2" xfId="153"/>
    <cellStyle name="Input2 3" xfId="388"/>
    <cellStyle name="Input3" xfId="29"/>
    <cellStyle name="Input3 2" xfId="30"/>
    <cellStyle name="Input3 2 2" xfId="41"/>
    <cellStyle name="Input3 2 2 2" xfId="747"/>
    <cellStyle name="Input3 2 2 3" xfId="1040"/>
    <cellStyle name="Input3 2 3" xfId="155"/>
    <cellStyle name="Input3 2 4" xfId="1032"/>
    <cellStyle name="Input3 3" xfId="31"/>
    <cellStyle name="Input3 3 2" xfId="42"/>
    <cellStyle name="Input3 3 2 2" xfId="748"/>
    <cellStyle name="Input3 3 2 3" xfId="1041"/>
    <cellStyle name="Input3 3 3" xfId="389"/>
    <cellStyle name="Input3 3 4" xfId="1033"/>
    <cellStyle name="Input3 4" xfId="32"/>
    <cellStyle name="Input3 4 2" xfId="43"/>
    <cellStyle name="Input3 4 2 2" xfId="1042"/>
    <cellStyle name="Input3 4 3" xfId="749"/>
    <cellStyle name="Input3 4 4" xfId="1034"/>
    <cellStyle name="Input3 5" xfId="750"/>
    <cellStyle name="Input3 6" xfId="154"/>
    <cellStyle name="Input3 7" xfId="1031"/>
    <cellStyle name="InputCell" xfId="424"/>
    <cellStyle name="InputCell 2" xfId="531"/>
    <cellStyle name="InputCell 3" xfId="503"/>
    <cellStyle name="InputCellText" xfId="426"/>
    <cellStyle name="InputCellText 2" xfId="533"/>
    <cellStyle name="InputCellText 3" xfId="505"/>
    <cellStyle name="key result" xfId="453"/>
    <cellStyle name="Lines" xfId="285"/>
    <cellStyle name="Linked Cell 2" xfId="286"/>
    <cellStyle name="Linked Cell 3" xfId="156"/>
    <cellStyle name="Local import" xfId="454"/>
    <cellStyle name="Local import %" xfId="455"/>
    <cellStyle name="Mine" xfId="287"/>
    <cellStyle name="Model Name" xfId="288"/>
    <cellStyle name="Neutral 2" xfId="289"/>
    <cellStyle name="Neutral 3" xfId="157"/>
    <cellStyle name="NonInputCell" xfId="425"/>
    <cellStyle name="NonInputCell 2" xfId="532"/>
    <cellStyle name="NonInputCell 3" xfId="504"/>
    <cellStyle name="Normal" xfId="0" builtinId="0"/>
    <cellStyle name="Normal - Style1" xfId="290"/>
    <cellStyle name="Normal 10" xfId="61"/>
    <cellStyle name="Normal 10 2" xfId="390"/>
    <cellStyle name="Normal 10 2 2 2" xfId="669"/>
    <cellStyle name="Normal 11" xfId="385"/>
    <cellStyle name="Normal 11 2" xfId="391"/>
    <cellStyle name="Normal 11 3" xfId="476"/>
    <cellStyle name="Normal 11 4" xfId="644"/>
    <cellStyle name="Normal 114" xfId="64"/>
    <cellStyle name="Normal 114 2" xfId="645"/>
    <cellStyle name="Normal 12" xfId="392"/>
    <cellStyle name="Normal 12 2" xfId="393"/>
    <cellStyle name="Normal 13" xfId="62"/>
    <cellStyle name="Normal 13 2" xfId="63"/>
    <cellStyle name="Normal 13_29(d) - Gas extensions -tariffs" xfId="291"/>
    <cellStyle name="Normal 14" xfId="394"/>
    <cellStyle name="Normal 14 2" xfId="395"/>
    <cellStyle name="Normal 14 2 2" xfId="751"/>
    <cellStyle name="Normal 14 3" xfId="413"/>
    <cellStyle name="Normal 14 3 2" xfId="566"/>
    <cellStyle name="Normal 14 3 3" xfId="497"/>
    <cellStyle name="Normal 14 4" xfId="525"/>
    <cellStyle name="Normal 14 5" xfId="621"/>
    <cellStyle name="Normal 14 6" xfId="665"/>
    <cellStyle name="Normal 14 7" xfId="671"/>
    <cellStyle name="Normal 143" xfId="752"/>
    <cellStyle name="Normal 144" xfId="753"/>
    <cellStyle name="Normal 147" xfId="754"/>
    <cellStyle name="Normal 148" xfId="755"/>
    <cellStyle name="Normal 149" xfId="756"/>
    <cellStyle name="Normal 15" xfId="292"/>
    <cellStyle name="Normal 15 2" xfId="396"/>
    <cellStyle name="Normal 15 3" xfId="757"/>
    <cellStyle name="Normal 150" xfId="758"/>
    <cellStyle name="Normal 151" xfId="759"/>
    <cellStyle name="Normal 152" xfId="760"/>
    <cellStyle name="Normal 153" xfId="761"/>
    <cellStyle name="Normal 154" xfId="762"/>
    <cellStyle name="Normal 155" xfId="763"/>
    <cellStyle name="Normal 156" xfId="764"/>
    <cellStyle name="Normal 16" xfId="60"/>
    <cellStyle name="Normal 16 2" xfId="293"/>
    <cellStyle name="Normal 16 3" xfId="765"/>
    <cellStyle name="Normal 161" xfId="766"/>
    <cellStyle name="Normal 162" xfId="767"/>
    <cellStyle name="Normal 163" xfId="768"/>
    <cellStyle name="Normal 164" xfId="769"/>
    <cellStyle name="Normal 169" xfId="770"/>
    <cellStyle name="Normal 17" xfId="397"/>
    <cellStyle name="Normal 17 2" xfId="398"/>
    <cellStyle name="Normal 17 2 2" xfId="429"/>
    <cellStyle name="Normal 17 2 2 2" xfId="574"/>
    <cellStyle name="Normal 17 2 2 3" xfId="507"/>
    <cellStyle name="Normal 17 2 3" xfId="535"/>
    <cellStyle name="Normal 17 2 4" xfId="487"/>
    <cellStyle name="Normal 17 3" xfId="399"/>
    <cellStyle name="Normal 17 3 2" xfId="430"/>
    <cellStyle name="Normal 17 3 2 2" xfId="575"/>
    <cellStyle name="Normal 17 3 2 3" xfId="508"/>
    <cellStyle name="Normal 17 3 3" xfId="536"/>
    <cellStyle name="Normal 17 3 4" xfId="488"/>
    <cellStyle name="Normal 17 4" xfId="428"/>
    <cellStyle name="Normal 17 4 2" xfId="573"/>
    <cellStyle name="Normal 17 4 3" xfId="506"/>
    <cellStyle name="Normal 17 5" xfId="534"/>
    <cellStyle name="Normal 17 6" xfId="486"/>
    <cellStyle name="Normal 170" xfId="771"/>
    <cellStyle name="Normal 171" xfId="772"/>
    <cellStyle name="Normal 172" xfId="773"/>
    <cellStyle name="Normal 177" xfId="774"/>
    <cellStyle name="Normal 178" xfId="775"/>
    <cellStyle name="Normal 179" xfId="776"/>
    <cellStyle name="Normal 18" xfId="437"/>
    <cellStyle name="Normal 18 2" xfId="456"/>
    <cellStyle name="Normal 180" xfId="777"/>
    <cellStyle name="Normal 181" xfId="778"/>
    <cellStyle name="Normal 182" xfId="779"/>
    <cellStyle name="Normal 183" xfId="780"/>
    <cellStyle name="Normal 184" xfId="781"/>
    <cellStyle name="Normal 185" xfId="782"/>
    <cellStyle name="Normal 186" xfId="783"/>
    <cellStyle name="Normal 187" xfId="784"/>
    <cellStyle name="Normal 188" xfId="785"/>
    <cellStyle name="Normal 189" xfId="786"/>
    <cellStyle name="Normal 19" xfId="465"/>
    <cellStyle name="Normal 190" xfId="787"/>
    <cellStyle name="Normal 192" xfId="788"/>
    <cellStyle name="Normal 193" xfId="789"/>
    <cellStyle name="Normal 196" xfId="790"/>
    <cellStyle name="Normal 197" xfId="791"/>
    <cellStyle name="Normal 198" xfId="792"/>
    <cellStyle name="Normal 199" xfId="793"/>
    <cellStyle name="Normal 2" xfId="1"/>
    <cellStyle name="Normal 2 2" xfId="36"/>
    <cellStyle name="Normal 2 2 2" xfId="158"/>
    <cellStyle name="Normal 2 2 3" xfId="159"/>
    <cellStyle name="Normal 2 2 4" xfId="470"/>
    <cellStyle name="Normal 2 2 5" xfId="294"/>
    <cellStyle name="Normal 2 3" xfId="295"/>
    <cellStyle name="Normal 2 3 2" xfId="296"/>
    <cellStyle name="Normal 2 3_29(d) - Gas extensions -tariffs" xfId="297"/>
    <cellStyle name="Normal 2 4" xfId="298"/>
    <cellStyle name="Normal 2 4 2" xfId="471"/>
    <cellStyle name="Normal 2 4 3" xfId="416"/>
    <cellStyle name="Normal 2 5" xfId="299"/>
    <cellStyle name="Normal 2 6" xfId="53"/>
    <cellStyle name="Normal 2_29(d) - Gas extensions -tariffs" xfId="300"/>
    <cellStyle name="Normal 20" xfId="45"/>
    <cellStyle name="Normal 20 2" xfId="179"/>
    <cellStyle name="Normal 20 2 2" xfId="543"/>
    <cellStyle name="Normal 20 3" xfId="438"/>
    <cellStyle name="Normal 20 4" xfId="515"/>
    <cellStyle name="Normal 20 5" xfId="794"/>
    <cellStyle name="Normal 20 6" xfId="1044"/>
    <cellStyle name="Normal 200" xfId="795"/>
    <cellStyle name="Normal 201" xfId="796"/>
    <cellStyle name="Normal 202" xfId="797"/>
    <cellStyle name="Normal 203" xfId="798"/>
    <cellStyle name="Normal 204" xfId="799"/>
    <cellStyle name="Normal 205" xfId="800"/>
    <cellStyle name="Normal 207" xfId="801"/>
    <cellStyle name="Normal 208" xfId="802"/>
    <cellStyle name="Normal 209" xfId="803"/>
    <cellStyle name="Normal 21" xfId="411"/>
    <cellStyle name="Normal 21 2" xfId="564"/>
    <cellStyle name="Normal 21 3" xfId="495"/>
    <cellStyle name="Normal 210" xfId="804"/>
    <cellStyle name="Normal 211" xfId="805"/>
    <cellStyle name="Normal 212" xfId="806"/>
    <cellStyle name="Normal 213" xfId="807"/>
    <cellStyle name="Normal 214" xfId="808"/>
    <cellStyle name="Normal 215" xfId="33"/>
    <cellStyle name="Normal 215 2" xfId="809"/>
    <cellStyle name="Normal 216" xfId="810"/>
    <cellStyle name="Normal 22" xfId="423"/>
    <cellStyle name="Normal 23" xfId="46"/>
    <cellStyle name="Normal 23 2" xfId="181"/>
    <cellStyle name="Normal 23 2 2" xfId="544"/>
    <cellStyle name="Normal 23 3" xfId="439"/>
    <cellStyle name="Normal 23 4" xfId="516"/>
    <cellStyle name="Normal 23 5" xfId="1045"/>
    <cellStyle name="Normal 24" xfId="92"/>
    <cellStyle name="Normal 24 2" xfId="180"/>
    <cellStyle name="Normal 24 2 2" xfId="545"/>
    <cellStyle name="Normal 24 3" xfId="440"/>
    <cellStyle name="Normal 24 4" xfId="517"/>
    <cellStyle name="Normal 25" xfId="47"/>
    <cellStyle name="Normal 25 2" xfId="182"/>
    <cellStyle name="Normal 25 2 2" xfId="546"/>
    <cellStyle name="Normal 25 3" xfId="441"/>
    <cellStyle name="Normal 25 4" xfId="518"/>
    <cellStyle name="Normal 26" xfId="93"/>
    <cellStyle name="Normal 26 2" xfId="184"/>
    <cellStyle name="Normal 26 2 2" xfId="547"/>
    <cellStyle name="Normal 26 3" xfId="442"/>
    <cellStyle name="Normal 26 4" xfId="519"/>
    <cellStyle name="Normal 27" xfId="480"/>
    <cellStyle name="Normal 28" xfId="523"/>
    <cellStyle name="Normal 28 2" xfId="620"/>
    <cellStyle name="Normal 28 3" xfId="670"/>
    <cellStyle name="Normal 29" xfId="481"/>
    <cellStyle name="Normal 3" xfId="4"/>
    <cellStyle name="Normal 3 2" xfId="160"/>
    <cellStyle name="Normal 3 3" xfId="161"/>
    <cellStyle name="Normal 3 3 2" xfId="89"/>
    <cellStyle name="Normal 3 3 3" xfId="400"/>
    <cellStyle name="Normal 3 4" xfId="57"/>
    <cellStyle name="Normal 3 5" xfId="457"/>
    <cellStyle name="Normal 3 5 2" xfId="553"/>
    <cellStyle name="Normal 3 5 3" xfId="521"/>
    <cellStyle name="Normal 3 6" xfId="1043"/>
    <cellStyle name="Normal 3 7" xfId="55"/>
    <cellStyle name="Normal 3_29(d) - Gas extensions -tariffs" xfId="301"/>
    <cellStyle name="Normal 30" xfId="484"/>
    <cellStyle name="Normal 31" xfId="485"/>
    <cellStyle name="Normal 32" xfId="613"/>
    <cellStyle name="Normal 32 2" xfId="619"/>
    <cellStyle name="Normal 32 3" xfId="668"/>
    <cellStyle name="Normal 33" xfId="618"/>
    <cellStyle name="Normal 34" xfId="646"/>
    <cellStyle name="Normal 34 2" xfId="811"/>
    <cellStyle name="Normal 35" xfId="647"/>
    <cellStyle name="Normal 36" xfId="648"/>
    <cellStyle name="Normal 37" xfId="649"/>
    <cellStyle name="Normal 37 2" xfId="812"/>
    <cellStyle name="Normal 38" xfId="302"/>
    <cellStyle name="Normal 38 2" xfId="303"/>
    <cellStyle name="Normal 38_29(d) - Gas extensions -tariffs" xfId="304"/>
    <cellStyle name="Normal 39" xfId="667"/>
    <cellStyle name="Normal 4" xfId="18"/>
    <cellStyle name="Normal 4 2" xfId="22"/>
    <cellStyle name="Normal 4 2 2" xfId="401"/>
    <cellStyle name="Normal 4 2 2 2" xfId="431"/>
    <cellStyle name="Normal 4 2 2 2 2" xfId="576"/>
    <cellStyle name="Normal 4 2 2 2 3" xfId="509"/>
    <cellStyle name="Normal 4 2 2 3" xfId="537"/>
    <cellStyle name="Normal 4 2 2 4" xfId="489"/>
    <cellStyle name="Normal 4 2 3" xfId="402"/>
    <cellStyle name="Normal 4 2 3 2" xfId="432"/>
    <cellStyle name="Normal 4 2 3 2 2" xfId="577"/>
    <cellStyle name="Normal 4 2 3 2 3" xfId="510"/>
    <cellStyle name="Normal 4 2 3 3" xfId="538"/>
    <cellStyle name="Normal 4 2 3 4" xfId="490"/>
    <cellStyle name="Normal 4 2 4" xfId="163"/>
    <cellStyle name="Normal 4 3" xfId="185"/>
    <cellStyle name="Normal 4 3 2" xfId="420"/>
    <cellStyle name="Normal 4 3 2 2" xfId="570"/>
    <cellStyle name="Normal 4 3 2 3" xfId="501"/>
    <cellStyle name="Normal 4 3 3" xfId="305"/>
    <cellStyle name="Normal 4 3 3 2" xfId="529"/>
    <cellStyle name="Normal 4 3 4" xfId="482"/>
    <cellStyle name="Normal 4 3 5" xfId="813"/>
    <cellStyle name="Normal 4 4" xfId="414"/>
    <cellStyle name="Normal 4 5" xfId="650"/>
    <cellStyle name="Normal 4 6" xfId="651"/>
    <cellStyle name="Normal 4 7" xfId="162"/>
    <cellStyle name="Normal 4_29(d) - Gas extensions -tariffs" xfId="306"/>
    <cellStyle name="Normal 40" xfId="307"/>
    <cellStyle name="Normal 40 2" xfId="308"/>
    <cellStyle name="Normal 40_29(d) - Gas extensions -tariffs" xfId="309"/>
    <cellStyle name="Normal 41" xfId="50"/>
    <cellStyle name="Normal 42" xfId="51"/>
    <cellStyle name="Normal 43" xfId="993"/>
    <cellStyle name="Normal 44" xfId="1024"/>
    <cellStyle name="Normal 45" xfId="1046"/>
    <cellStyle name="Normal 5" xfId="54"/>
    <cellStyle name="Normal 5 2" xfId="311"/>
    <cellStyle name="Normal 5 2 2" xfId="814"/>
    <cellStyle name="Normal 5 3" xfId="310"/>
    <cellStyle name="Normal 6" xfId="312"/>
    <cellStyle name="Normal 6 2" xfId="59"/>
    <cellStyle name="Normal 6 2 2" xfId="313"/>
    <cellStyle name="Normal 7" xfId="314"/>
    <cellStyle name="Normal 7 2" xfId="315"/>
    <cellStyle name="Normal 7 2 2" xfId="421"/>
    <cellStyle name="Normal 7 2 2 2" xfId="571"/>
    <cellStyle name="Normal 7 2 2 3" xfId="502"/>
    <cellStyle name="Normal 7 2 3" xfId="530"/>
    <cellStyle name="Normal 7 2 4" xfId="483"/>
    <cellStyle name="Normal 7 3" xfId="815"/>
    <cellStyle name="Normal 70" xfId="7"/>
    <cellStyle name="Normal 71" xfId="12"/>
    <cellStyle name="Normal 72" xfId="9"/>
    <cellStyle name="Normal 73" xfId="11"/>
    <cellStyle name="Normal 74" xfId="13"/>
    <cellStyle name="Normal 75" xfId="17"/>
    <cellStyle name="Normal 8" xfId="316"/>
    <cellStyle name="Normal 8 2" xfId="403"/>
    <cellStyle name="Normal 8 2 2" xfId="477"/>
    <cellStyle name="Normal 8 2 3" xfId="412"/>
    <cellStyle name="Normal 8 2 3 2" xfId="565"/>
    <cellStyle name="Normal 8 2 3 3" xfId="496"/>
    <cellStyle name="Normal 8 2 4" xfId="524"/>
    <cellStyle name="Normal 80" xfId="10"/>
    <cellStyle name="Normal 9" xfId="317"/>
    <cellStyle name="Normal 9 2" xfId="404"/>
    <cellStyle name="Normal_051020 Meter tariff approval model" xfId="2"/>
    <cellStyle name="Normal_JEM 2011 Tariff Approval mr check v2.0 test code v1.2" xfId="16"/>
    <cellStyle name="Note 2" xfId="165"/>
    <cellStyle name="Note 2 2" xfId="472"/>
    <cellStyle name="Note 2 2 2" xfId="816"/>
    <cellStyle name="Note 2 2 2 2" xfId="817"/>
    <cellStyle name="Note 2 2 2 3" xfId="818"/>
    <cellStyle name="Note 2 2 3" xfId="819"/>
    <cellStyle name="Note 2 2 4" xfId="820"/>
    <cellStyle name="Note 2 2 5" xfId="821"/>
    <cellStyle name="Note 2 3" xfId="598"/>
    <cellStyle name="Note 2 3 2" xfId="822"/>
    <cellStyle name="Note 2 3 2 2" xfId="823"/>
    <cellStyle name="Note 2 3 2 3" xfId="824"/>
    <cellStyle name="Note 2 3 3" xfId="825"/>
    <cellStyle name="Note 2 3 4" xfId="826"/>
    <cellStyle name="Note 2 3 5" xfId="827"/>
    <cellStyle name="Note 2 4" xfId="828"/>
    <cellStyle name="Note 2 4 2" xfId="829"/>
    <cellStyle name="Note 2 4 2 2" xfId="830"/>
    <cellStyle name="Note 2 4 2 3" xfId="831"/>
    <cellStyle name="Note 2 4 3" xfId="832"/>
    <cellStyle name="Note 2 4 4" xfId="833"/>
    <cellStyle name="Note 2 5" xfId="834"/>
    <cellStyle name="Note 2 5 2" xfId="835"/>
    <cellStyle name="Note 2 5 2 2" xfId="836"/>
    <cellStyle name="Note 2 5 2 3" xfId="837"/>
    <cellStyle name="Note 2 5 3" xfId="838"/>
    <cellStyle name="Note 2 5 4" xfId="839"/>
    <cellStyle name="Note 2 6" xfId="840"/>
    <cellStyle name="Note 2 6 2" xfId="841"/>
    <cellStyle name="Note 2 6 2 2" xfId="842"/>
    <cellStyle name="Note 2 6 2 3" xfId="843"/>
    <cellStyle name="Note 2 6 3" xfId="844"/>
    <cellStyle name="Note 2 6 4" xfId="845"/>
    <cellStyle name="Note 2 7" xfId="846"/>
    <cellStyle name="Note 2 8" xfId="847"/>
    <cellStyle name="Note 2 9" xfId="848"/>
    <cellStyle name="Note 3" xfId="405"/>
    <cellStyle name="Note 3 2" xfId="478"/>
    <cellStyle name="Note 3 2 2" xfId="849"/>
    <cellStyle name="Note 3 3" xfId="601"/>
    <cellStyle name="Note 3 3 2" xfId="850"/>
    <cellStyle name="Note 3 4" xfId="851"/>
    <cellStyle name="Note 4" xfId="406"/>
    <cellStyle name="Note 4 2" xfId="479"/>
    <cellStyle name="Note 4 2 2" xfId="852"/>
    <cellStyle name="Note 4 3" xfId="602"/>
    <cellStyle name="Note 4 3 2" xfId="853"/>
    <cellStyle name="Note 4 4" xfId="854"/>
    <cellStyle name="Note 5" xfId="164"/>
    <cellStyle name="Output 2" xfId="318"/>
    <cellStyle name="Output 2 10" xfId="855"/>
    <cellStyle name="Output 2 11" xfId="856"/>
    <cellStyle name="Output 2 12" xfId="857"/>
    <cellStyle name="Output 2 2" xfId="473"/>
    <cellStyle name="Output 2 2 2" xfId="858"/>
    <cellStyle name="Output 2 2 2 2" xfId="859"/>
    <cellStyle name="Output 2 2 2 3" xfId="860"/>
    <cellStyle name="Output 2 2 3" xfId="861"/>
    <cellStyle name="Output 2 2 3 2" xfId="862"/>
    <cellStyle name="Output 2 2 3 3" xfId="863"/>
    <cellStyle name="Output 2 2 4" xfId="864"/>
    <cellStyle name="Output 2 2 5" xfId="865"/>
    <cellStyle name="Output 2 2 6" xfId="866"/>
    <cellStyle name="Output 2 3" xfId="599"/>
    <cellStyle name="Output 2 3 2" xfId="867"/>
    <cellStyle name="Output 2 3 2 2" xfId="868"/>
    <cellStyle name="Output 2 3 2 3" xfId="869"/>
    <cellStyle name="Output 2 3 3" xfId="870"/>
    <cellStyle name="Output 2 3 3 2" xfId="871"/>
    <cellStyle name="Output 2 3 3 3" xfId="872"/>
    <cellStyle name="Output 2 3 4" xfId="873"/>
    <cellStyle name="Output 2 3 5" xfId="874"/>
    <cellStyle name="Output 2 3 6" xfId="875"/>
    <cellStyle name="Output 2 4" xfId="876"/>
    <cellStyle name="Output 2 4 2" xfId="877"/>
    <cellStyle name="Output 2 4 2 2" xfId="878"/>
    <cellStyle name="Output 2 4 2 3" xfId="879"/>
    <cellStyle name="Output 2 4 3" xfId="880"/>
    <cellStyle name="Output 2 4 3 2" xfId="881"/>
    <cellStyle name="Output 2 4 3 3" xfId="882"/>
    <cellStyle name="Output 2 4 4" xfId="883"/>
    <cellStyle name="Output 2 4 5" xfId="884"/>
    <cellStyle name="Output 2 5" xfId="885"/>
    <cellStyle name="Output 2 5 2" xfId="886"/>
    <cellStyle name="Output 2 5 2 2" xfId="887"/>
    <cellStyle name="Output 2 5 2 3" xfId="888"/>
    <cellStyle name="Output 2 5 3" xfId="889"/>
    <cellStyle name="Output 2 5 3 2" xfId="890"/>
    <cellStyle name="Output 2 5 3 3" xfId="891"/>
    <cellStyle name="Output 2 5 4" xfId="892"/>
    <cellStyle name="Output 2 5 5" xfId="893"/>
    <cellStyle name="Output 2 6" xfId="894"/>
    <cellStyle name="Output 2 6 2" xfId="895"/>
    <cellStyle name="Output 2 6 2 2" xfId="896"/>
    <cellStyle name="Output 2 6 2 3" xfId="897"/>
    <cellStyle name="Output 2 6 3" xfId="898"/>
    <cellStyle name="Output 2 6 3 2" xfId="899"/>
    <cellStyle name="Output 2 6 3 3" xfId="900"/>
    <cellStyle name="Output 2 6 4" xfId="901"/>
    <cellStyle name="Output 2 6 5" xfId="902"/>
    <cellStyle name="Output 2 7" xfId="903"/>
    <cellStyle name="Output 2 7 2" xfId="904"/>
    <cellStyle name="Output 2 7 2 2" xfId="905"/>
    <cellStyle name="Output 2 7 2 3" xfId="906"/>
    <cellStyle name="Output 2 7 3" xfId="907"/>
    <cellStyle name="Output 2 7 3 2" xfId="908"/>
    <cellStyle name="Output 2 7 3 3" xfId="909"/>
    <cellStyle name="Output 2 7 4" xfId="910"/>
    <cellStyle name="Output 2 7 5" xfId="911"/>
    <cellStyle name="Output 2 8" xfId="912"/>
    <cellStyle name="Output 2 8 2" xfId="913"/>
    <cellStyle name="Output 2 8 3" xfId="914"/>
    <cellStyle name="Output 2 9" xfId="915"/>
    <cellStyle name="Output 2 9 2" xfId="916"/>
    <cellStyle name="Output 2 9 3" xfId="917"/>
    <cellStyle name="Output 3" xfId="166"/>
    <cellStyle name="Percent" xfId="6" builtinId="5"/>
    <cellStyle name="Percent [2]" xfId="319"/>
    <cellStyle name="Percent [2] 2" xfId="320"/>
    <cellStyle name="Percent [2]_29(d) - Gas extensions -tariffs" xfId="321"/>
    <cellStyle name="Percent 10" xfId="652"/>
    <cellStyle name="Percent 11" xfId="653"/>
    <cellStyle name="Percent 12" xfId="48"/>
    <cellStyle name="Percent 12 2" xfId="183"/>
    <cellStyle name="Percent 12 2 2" xfId="548"/>
    <cellStyle name="Percent 12 3" xfId="443"/>
    <cellStyle name="Percent 12 4" xfId="520"/>
    <cellStyle name="Percent 13" xfId="1047"/>
    <cellStyle name="Percent 2" xfId="3"/>
    <cellStyle name="Percent 2 2" xfId="322"/>
    <cellStyle name="Percent 2 2 2" xfId="407"/>
    <cellStyle name="Percent 2 2 2 2" xfId="433"/>
    <cellStyle name="Percent 2 2 2 2 2" xfId="578"/>
    <cellStyle name="Percent 2 2 2 2 3" xfId="511"/>
    <cellStyle name="Percent 2 2 2 3" xfId="539"/>
    <cellStyle name="Percent 2 2 2 4" xfId="491"/>
    <cellStyle name="Percent 2 2 3" xfId="408"/>
    <cellStyle name="Percent 2 2 3 2" xfId="434"/>
    <cellStyle name="Percent 2 2 3 2 2" xfId="579"/>
    <cellStyle name="Percent 2 2 3 2 3" xfId="512"/>
    <cellStyle name="Percent 2 2 3 3" xfId="540"/>
    <cellStyle name="Percent 2 2 3 4" xfId="492"/>
    <cellStyle name="Percent 2 3" xfId="409"/>
    <cellStyle name="Percent 2 3 2" xfId="435"/>
    <cellStyle name="Percent 2 3 2 2" xfId="580"/>
    <cellStyle name="Percent 2 3 2 3" xfId="513"/>
    <cellStyle name="Percent 2 3 3" xfId="541"/>
    <cellStyle name="Percent 2 3 4" xfId="493"/>
    <cellStyle name="Percent 2 4" xfId="410"/>
    <cellStyle name="Percent 2 4 2" xfId="436"/>
    <cellStyle name="Percent 2 4 2 2" xfId="581"/>
    <cellStyle name="Percent 2 4 2 3" xfId="514"/>
    <cellStyle name="Percent 2 4 3" xfId="542"/>
    <cellStyle name="Percent 2 4 4" xfId="494"/>
    <cellStyle name="Percent 2 5" xfId="178"/>
    <cellStyle name="Percent 3" xfId="19"/>
    <cellStyle name="Percent 3 2" xfId="324"/>
    <cellStyle name="Percent 3 3" xfId="918"/>
    <cellStyle name="Percent 3 4" xfId="458"/>
    <cellStyle name="Percent 3 4 2" xfId="554"/>
    <cellStyle name="Percent 3 4 3" xfId="522"/>
    <cellStyle name="Percent 3 5" xfId="323"/>
    <cellStyle name="Percent 4" xfId="34"/>
    <cellStyle name="Percent 4 2" xfId="919"/>
    <cellStyle name="Percent 5" xfId="415"/>
    <cellStyle name="Percent 5 2" xfId="567"/>
    <cellStyle name="Percent 5 3" xfId="498"/>
    <cellStyle name="Percent 6" xfId="526"/>
    <cellStyle name="Percent 7" xfId="325"/>
    <cellStyle name="Percent 8" xfId="654"/>
    <cellStyle name="Percent 9" xfId="655"/>
    <cellStyle name="Percentage" xfId="326"/>
    <cellStyle name="Period Title" xfId="327"/>
    <cellStyle name="PSChar" xfId="328"/>
    <cellStyle name="PSDate" xfId="329"/>
    <cellStyle name="PSDec" xfId="330"/>
    <cellStyle name="PSDetail" xfId="331"/>
    <cellStyle name="PSDetail 2" xfId="920"/>
    <cellStyle name="PSHeading" xfId="332"/>
    <cellStyle name="PSHeading 2" xfId="474"/>
    <cellStyle name="PSHeading 2 2" xfId="594"/>
    <cellStyle name="PSHeading 2 2 2" xfId="656"/>
    <cellStyle name="PSHeading 2 2 2 2" xfId="1012"/>
    <cellStyle name="PSHeading 2 2 3" xfId="1011"/>
    <cellStyle name="PSHeading 2 3" xfId="657"/>
    <cellStyle name="PSHeading 2 3 2" xfId="1013"/>
    <cellStyle name="PSHeading 2 4" xfId="1008"/>
    <cellStyle name="PSHeading 3" xfId="422"/>
    <cellStyle name="PSHeading 3 2" xfId="186"/>
    <cellStyle name="PSHeading 3 2 2" xfId="572"/>
    <cellStyle name="PSHeading 3 2 2 2" xfId="658"/>
    <cellStyle name="PSHeading 3 2 2 2 2" xfId="1014"/>
    <cellStyle name="PSHeading 3 2 2 3" xfId="1010"/>
    <cellStyle name="PSHeading 3 2 3" xfId="659"/>
    <cellStyle name="PSHeading 3 2 3 2" xfId="1015"/>
    <cellStyle name="PSHeading 3 2 4" xfId="1001"/>
    <cellStyle name="PSHeading 3 3" xfId="660"/>
    <cellStyle name="PSHeading 3 3 2" xfId="1016"/>
    <cellStyle name="PSHeading 4" xfId="563"/>
    <cellStyle name="PSHeading 4 2" xfId="661"/>
    <cellStyle name="PSHeading 4 2 2" xfId="1017"/>
    <cellStyle name="PSHeading 4 3" xfId="1009"/>
    <cellStyle name="PSHeading 5" xfId="662"/>
    <cellStyle name="PSHeading 5 2" xfId="1018"/>
    <cellStyle name="PSInt" xfId="333"/>
    <cellStyle name="PSSpacer" xfId="334"/>
    <cellStyle name="Ratio" xfId="335"/>
    <cellStyle name="Ratio 2" xfId="336"/>
    <cellStyle name="Ratio_29(d) - Gas extensions -tariffs" xfId="337"/>
    <cellStyle name="Right Date" xfId="338"/>
    <cellStyle name="Right Number" xfId="339"/>
    <cellStyle name="Right Year" xfId="340"/>
    <cellStyle name="RIN_Input$_3dp" xfId="663"/>
    <cellStyle name="SAPError" xfId="341"/>
    <cellStyle name="SAPError 2" xfId="342"/>
    <cellStyle name="SAPKey" xfId="343"/>
    <cellStyle name="SAPKey 2" xfId="344"/>
    <cellStyle name="SAPLocked" xfId="345"/>
    <cellStyle name="SAPLocked 2" xfId="346"/>
    <cellStyle name="SAPOutput" xfId="347"/>
    <cellStyle name="SAPOutput 2" xfId="348"/>
    <cellStyle name="SAPSpace" xfId="349"/>
    <cellStyle name="SAPSpace 2" xfId="350"/>
    <cellStyle name="SAPText" xfId="351"/>
    <cellStyle name="SAPText 2" xfId="352"/>
    <cellStyle name="SAPUnLocked" xfId="353"/>
    <cellStyle name="SAPUnLocked 2" xfId="354"/>
    <cellStyle name="Sheet Title" xfId="355"/>
    <cellStyle name="SheetHeader1" xfId="664"/>
    <cellStyle name="Style 1" xfId="167"/>
    <cellStyle name="Style 1 2" xfId="168"/>
    <cellStyle name="Style 1 2 2" xfId="169"/>
    <cellStyle name="Style 1 3" xfId="170"/>
    <cellStyle name="Style 1 3 2" xfId="171"/>
    <cellStyle name="Style 1 3 3" xfId="172"/>
    <cellStyle name="Style 1 4" xfId="173"/>
    <cellStyle name="Style 1_29(d) - Gas extensions -tariffs" xfId="356"/>
    <cellStyle name="Style2" xfId="357"/>
    <cellStyle name="Style3" xfId="358"/>
    <cellStyle name="Style4" xfId="359"/>
    <cellStyle name="Style4 2" xfId="360"/>
    <cellStyle name="Style4_29(d) - Gas extensions -tariffs" xfId="361"/>
    <cellStyle name="Style5" xfId="362"/>
    <cellStyle name="Style5 2" xfId="363"/>
    <cellStyle name="Style5_29(d) - Gas extensions -tariffs" xfId="364"/>
    <cellStyle name="Table Head Green" xfId="365"/>
    <cellStyle name="Table Head Green 2" xfId="921"/>
    <cellStyle name="Table Head Green 2 2" xfId="922"/>
    <cellStyle name="Table Head Green 3" xfId="923"/>
    <cellStyle name="Table Head Green 4" xfId="924"/>
    <cellStyle name="Table Head_pldt" xfId="366"/>
    <cellStyle name="Table Source" xfId="367"/>
    <cellStyle name="Table Units" xfId="368"/>
    <cellStyle name="Table Units 2" xfId="925"/>
    <cellStyle name="TableLvl2" xfId="427"/>
    <cellStyle name="TableLvl3" xfId="44"/>
    <cellStyle name="Text" xfId="369"/>
    <cellStyle name="Text 2" xfId="370"/>
    <cellStyle name="Text 3" xfId="371"/>
    <cellStyle name="Text Head 1" xfId="372"/>
    <cellStyle name="Text Head 1 2" xfId="926"/>
    <cellStyle name="Text Head 2" xfId="373"/>
    <cellStyle name="Text Head 2 2" xfId="927"/>
    <cellStyle name="Text Indent 2" xfId="374"/>
    <cellStyle name="Theirs" xfId="375"/>
    <cellStyle name="Title 2" xfId="376"/>
    <cellStyle name="Title 3" xfId="174"/>
    <cellStyle name="TOC 1" xfId="377"/>
    <cellStyle name="TOC 2" xfId="378"/>
    <cellStyle name="TOC 3" xfId="379"/>
    <cellStyle name="Total 2" xfId="380"/>
    <cellStyle name="Total 2 10" xfId="928"/>
    <cellStyle name="Total 2 11" xfId="929"/>
    <cellStyle name="Total 2 12" xfId="930"/>
    <cellStyle name="Total 2 2" xfId="475"/>
    <cellStyle name="Total 2 2 2" xfId="931"/>
    <cellStyle name="Total 2 2 2 2" xfId="932"/>
    <cellStyle name="Total 2 2 2 3" xfId="933"/>
    <cellStyle name="Total 2 2 3" xfId="934"/>
    <cellStyle name="Total 2 2 3 2" xfId="935"/>
    <cellStyle name="Total 2 2 3 3" xfId="936"/>
    <cellStyle name="Total 2 2 4" xfId="937"/>
    <cellStyle name="Total 2 2 5" xfId="938"/>
    <cellStyle name="Total 2 2 6" xfId="939"/>
    <cellStyle name="Total 2 3" xfId="600"/>
    <cellStyle name="Total 2 3 2" xfId="940"/>
    <cellStyle name="Total 2 3 2 2" xfId="941"/>
    <cellStyle name="Total 2 3 2 3" xfId="942"/>
    <cellStyle name="Total 2 3 3" xfId="943"/>
    <cellStyle name="Total 2 3 3 2" xfId="944"/>
    <cellStyle name="Total 2 3 3 3" xfId="945"/>
    <cellStyle name="Total 2 3 4" xfId="946"/>
    <cellStyle name="Total 2 3 5" xfId="947"/>
    <cellStyle name="Total 2 3 6" xfId="948"/>
    <cellStyle name="Total 2 4" xfId="949"/>
    <cellStyle name="Total 2 4 2" xfId="950"/>
    <cellStyle name="Total 2 4 2 2" xfId="951"/>
    <cellStyle name="Total 2 4 2 3" xfId="952"/>
    <cellStyle name="Total 2 4 3" xfId="953"/>
    <cellStyle name="Total 2 4 3 2" xfId="954"/>
    <cellStyle name="Total 2 4 3 3" xfId="955"/>
    <cellStyle name="Total 2 4 4" xfId="956"/>
    <cellStyle name="Total 2 4 5" xfId="957"/>
    <cellStyle name="Total 2 5" xfId="958"/>
    <cellStyle name="Total 2 5 2" xfId="959"/>
    <cellStyle name="Total 2 5 2 2" xfId="960"/>
    <cellStyle name="Total 2 5 2 3" xfId="961"/>
    <cellStyle name="Total 2 5 3" xfId="962"/>
    <cellStyle name="Total 2 5 3 2" xfId="963"/>
    <cellStyle name="Total 2 5 3 3" xfId="964"/>
    <cellStyle name="Total 2 5 4" xfId="965"/>
    <cellStyle name="Total 2 5 5" xfId="966"/>
    <cellStyle name="Total 2 6" xfId="967"/>
    <cellStyle name="Total 2 6 2" xfId="968"/>
    <cellStyle name="Total 2 6 2 2" xfId="969"/>
    <cellStyle name="Total 2 6 2 3" xfId="970"/>
    <cellStyle name="Total 2 6 3" xfId="971"/>
    <cellStyle name="Total 2 6 3 2" xfId="972"/>
    <cellStyle name="Total 2 6 3 3" xfId="973"/>
    <cellStyle name="Total 2 6 4" xfId="974"/>
    <cellStyle name="Total 2 6 5" xfId="975"/>
    <cellStyle name="Total 2 7" xfId="976"/>
    <cellStyle name="Total 2 7 2" xfId="977"/>
    <cellStyle name="Total 2 7 2 2" xfId="978"/>
    <cellStyle name="Total 2 7 2 3" xfId="979"/>
    <cellStyle name="Total 2 7 3" xfId="980"/>
    <cellStyle name="Total 2 7 3 2" xfId="981"/>
    <cellStyle name="Total 2 7 3 3" xfId="982"/>
    <cellStyle name="Total 2 7 4" xfId="983"/>
    <cellStyle name="Total 2 7 5" xfId="984"/>
    <cellStyle name="Total 2 8" xfId="985"/>
    <cellStyle name="Total 2 8 2" xfId="986"/>
    <cellStyle name="Total 2 8 3" xfId="987"/>
    <cellStyle name="Total 2 9" xfId="988"/>
    <cellStyle name="Total 2 9 2" xfId="989"/>
    <cellStyle name="Total 2 9 3" xfId="990"/>
    <cellStyle name="Total 3" xfId="175"/>
    <cellStyle name="Warning Text 2" xfId="381"/>
    <cellStyle name="Warning Text 3" xfId="176"/>
    <cellStyle name="year" xfId="382"/>
    <cellStyle name="year 2" xfId="383"/>
    <cellStyle name="year 2 2" xfId="991"/>
    <cellStyle name="year 3" xfId="992"/>
    <cellStyle name="year_29(d) - Gas extensions -tariffs" xfId="384"/>
  </cellStyles>
  <dxfs count="45"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b/>
        <i val="0"/>
        <color rgb="FF00B050"/>
      </font>
      <fill>
        <patternFill patternType="none">
          <bgColor auto="1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DE9D9"/>
      <color rgb="FFFFFFFF"/>
      <color rgb="FFFF00FF"/>
      <color rgb="FFFF7C80"/>
      <color rgb="FF00FF00"/>
      <color rgb="FFFFFF99"/>
      <color rgb="FFCCFFFF"/>
      <color rgb="FF0000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0</xdr:rowOff>
    </xdr:from>
    <xdr:to>
      <xdr:col>5</xdr:col>
      <xdr:colOff>281579</xdr:colOff>
      <xdr:row>5</xdr:row>
      <xdr:rowOff>130703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00000000-0008-0000-0500-00007DB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56882"/>
          <a:ext cx="3385608" cy="75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1207389</xdr:colOff>
      <xdr:row>47</xdr:row>
      <xdr:rowOff>149818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265" y="313765"/>
          <a:ext cx="4838095" cy="72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16</xdr:col>
      <xdr:colOff>110895</xdr:colOff>
      <xdr:row>51</xdr:row>
      <xdr:rowOff>55622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47765" y="313765"/>
          <a:ext cx="4828571" cy="774285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25</xdr:col>
      <xdr:colOff>140011</xdr:colOff>
      <xdr:row>50</xdr:row>
      <xdr:rowOff>126790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0559" y="313765"/>
          <a:ext cx="4980952" cy="765714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</xdr:row>
      <xdr:rowOff>0</xdr:rowOff>
    </xdr:from>
    <xdr:to>
      <xdr:col>34</xdr:col>
      <xdr:colOff>35249</xdr:colOff>
      <xdr:row>23</xdr:row>
      <xdr:rowOff>86423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16618" y="313765"/>
          <a:ext cx="4876190" cy="3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24</xdr:row>
      <xdr:rowOff>0</xdr:rowOff>
    </xdr:from>
    <xdr:to>
      <xdr:col>33</xdr:col>
      <xdr:colOff>345129</xdr:colOff>
      <xdr:row>28</xdr:row>
      <xdr:rowOff>115327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16618" y="3765176"/>
          <a:ext cx="4580952" cy="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7</xdr:col>
      <xdr:colOff>1226437</xdr:colOff>
      <xdr:row>103</xdr:row>
      <xdr:rowOff>74670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4265" y="8471647"/>
          <a:ext cx="4857143" cy="77619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15</xdr:col>
      <xdr:colOff>468939</xdr:colOff>
      <xdr:row>73</xdr:row>
      <xdr:rowOff>133521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47765" y="8471647"/>
          <a:ext cx="4704762" cy="31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54</xdr:row>
      <xdr:rowOff>0</xdr:rowOff>
    </xdr:from>
    <xdr:to>
      <xdr:col>24</xdr:col>
      <xdr:colOff>583225</xdr:colOff>
      <xdr:row>101</xdr:row>
      <xdr:rowOff>150338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70559" y="8471647"/>
          <a:ext cx="4819048" cy="752380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54</xdr:row>
      <xdr:rowOff>0</xdr:rowOff>
    </xdr:from>
    <xdr:to>
      <xdr:col>33</xdr:col>
      <xdr:colOff>564177</xdr:colOff>
      <xdr:row>103</xdr:row>
      <xdr:rowOff>55622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416618" y="8471647"/>
          <a:ext cx="4800000" cy="7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7</xdr:col>
      <xdr:colOff>1274056</xdr:colOff>
      <xdr:row>147</xdr:row>
      <xdr:rowOff>115703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4265" y="16472647"/>
          <a:ext cx="4904762" cy="67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105</xdr:row>
      <xdr:rowOff>0</xdr:rowOff>
    </xdr:from>
    <xdr:to>
      <xdr:col>16</xdr:col>
      <xdr:colOff>148991</xdr:colOff>
      <xdr:row>154</xdr:row>
      <xdr:rowOff>27051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47765" y="16472647"/>
          <a:ext cx="4866667" cy="771428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105</xdr:row>
      <xdr:rowOff>0</xdr:rowOff>
    </xdr:from>
    <xdr:to>
      <xdr:col>24</xdr:col>
      <xdr:colOff>554653</xdr:colOff>
      <xdr:row>153</xdr:row>
      <xdr:rowOff>136314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0559" y="16472647"/>
          <a:ext cx="4790476" cy="766666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105</xdr:row>
      <xdr:rowOff>0</xdr:rowOff>
    </xdr:from>
    <xdr:to>
      <xdr:col>34</xdr:col>
      <xdr:colOff>301916</xdr:colOff>
      <xdr:row>140</xdr:row>
      <xdr:rowOff>42451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416618" y="16472647"/>
          <a:ext cx="5142857" cy="5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7</xdr:col>
      <xdr:colOff>1340723</xdr:colOff>
      <xdr:row>205</xdr:row>
      <xdr:rowOff>117266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4265" y="24630529"/>
          <a:ext cx="4971429" cy="76476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157</xdr:row>
      <xdr:rowOff>0</xdr:rowOff>
    </xdr:from>
    <xdr:to>
      <xdr:col>16</xdr:col>
      <xdr:colOff>72800</xdr:colOff>
      <xdr:row>206</xdr:row>
      <xdr:rowOff>103240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47765" y="24630529"/>
          <a:ext cx="4790476" cy="779047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157</xdr:row>
      <xdr:rowOff>0</xdr:rowOff>
    </xdr:from>
    <xdr:to>
      <xdr:col>25</xdr:col>
      <xdr:colOff>44773</xdr:colOff>
      <xdr:row>205</xdr:row>
      <xdr:rowOff>145837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70559" y="24630529"/>
          <a:ext cx="4885714" cy="76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7</xdr:col>
      <xdr:colOff>1197865</xdr:colOff>
      <xdr:row>246</xdr:row>
      <xdr:rowOff>110159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265" y="32474647"/>
          <a:ext cx="4828571" cy="62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207</xdr:row>
      <xdr:rowOff>0</xdr:rowOff>
    </xdr:from>
    <xdr:to>
      <xdr:col>16</xdr:col>
      <xdr:colOff>234705</xdr:colOff>
      <xdr:row>252</xdr:row>
      <xdr:rowOff>45056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647765" y="32474647"/>
          <a:ext cx="4952381" cy="710476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207</xdr:row>
      <xdr:rowOff>0</xdr:rowOff>
    </xdr:from>
    <xdr:to>
      <xdr:col>25</xdr:col>
      <xdr:colOff>6678</xdr:colOff>
      <xdr:row>252</xdr:row>
      <xdr:rowOff>111722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970559" y="32474647"/>
          <a:ext cx="4847619" cy="717142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207</xdr:row>
      <xdr:rowOff>0</xdr:rowOff>
    </xdr:from>
    <xdr:to>
      <xdr:col>33</xdr:col>
      <xdr:colOff>535606</xdr:colOff>
      <xdr:row>217</xdr:row>
      <xdr:rowOff>97843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416618" y="32474647"/>
          <a:ext cx="4771429" cy="16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D8:AB66"/>
  <sheetViews>
    <sheetView showGridLines="0" zoomScale="80" zoomScaleNormal="80" workbookViewId="0"/>
  </sheetViews>
  <sheetFormatPr defaultRowHeight="12.75"/>
  <cols>
    <col min="4" max="4" width="5.85546875" customWidth="1"/>
    <col min="5" max="5" width="14.85546875" customWidth="1"/>
    <col min="6" max="6" width="29.28515625" customWidth="1"/>
    <col min="11" max="11" width="15.140625" customWidth="1"/>
    <col min="13" max="13" width="5.5703125" customWidth="1"/>
    <col min="14" max="14" width="15.7109375" customWidth="1"/>
  </cols>
  <sheetData>
    <row r="8" spans="7:17" ht="60">
      <c r="G8" s="538" t="s">
        <v>200</v>
      </c>
      <c r="H8" s="539"/>
      <c r="I8" s="539"/>
      <c r="J8" s="540"/>
      <c r="K8" s="540"/>
      <c r="L8" s="540"/>
      <c r="M8" s="540"/>
      <c r="N8" s="540"/>
      <c r="O8" s="540"/>
      <c r="P8" s="540"/>
      <c r="Q8" s="540"/>
    </row>
    <row r="9" spans="7:17" ht="16.5" customHeight="1">
      <c r="G9" s="538"/>
      <c r="H9" s="539"/>
      <c r="I9" s="539"/>
      <c r="J9" s="540"/>
      <c r="K9" s="540"/>
      <c r="L9" s="540"/>
      <c r="M9" s="540"/>
      <c r="N9" s="540"/>
      <c r="O9" s="540"/>
      <c r="P9" s="540"/>
      <c r="Q9" s="540"/>
    </row>
    <row r="10" spans="7:17" ht="30">
      <c r="G10" s="537" t="s">
        <v>201</v>
      </c>
    </row>
    <row r="12" spans="7:17" ht="15">
      <c r="J12" s="536" t="s">
        <v>202</v>
      </c>
    </row>
    <row r="17" spans="4:28">
      <c r="D17" s="516" t="s">
        <v>309</v>
      </c>
      <c r="E17" s="516"/>
      <c r="F17" s="516"/>
      <c r="G17" s="516"/>
      <c r="H17" s="516"/>
      <c r="I17" s="516"/>
      <c r="J17" s="516"/>
      <c r="K17" s="516"/>
      <c r="L17" s="249"/>
      <c r="M17" s="535" t="s">
        <v>310</v>
      </c>
      <c r="N17" s="535"/>
      <c r="O17" s="535"/>
      <c r="P17" s="535"/>
      <c r="Q17" s="535"/>
      <c r="R17" s="535"/>
      <c r="S17" s="535"/>
      <c r="T17" s="535"/>
      <c r="U17" s="706"/>
      <c r="V17" s="535"/>
      <c r="W17" s="535"/>
      <c r="X17" s="535"/>
      <c r="Y17" s="535"/>
      <c r="Z17" s="535"/>
      <c r="AA17" s="535"/>
      <c r="AB17" s="535"/>
    </row>
    <row r="18" spans="4:28">
      <c r="D18" s="516"/>
      <c r="E18" s="572" t="s">
        <v>224</v>
      </c>
      <c r="F18" s="516" t="s">
        <v>233</v>
      </c>
      <c r="G18" s="516"/>
      <c r="H18" s="516"/>
      <c r="I18" s="516"/>
      <c r="J18" s="516"/>
      <c r="K18" s="516"/>
      <c r="M18" s="535"/>
      <c r="N18" s="573" t="s">
        <v>276</v>
      </c>
      <c r="O18" s="535" t="s">
        <v>277</v>
      </c>
      <c r="P18" s="535"/>
      <c r="Q18" s="535"/>
      <c r="R18" s="535"/>
      <c r="S18" s="535"/>
      <c r="T18" s="535"/>
      <c r="U18" s="535"/>
      <c r="V18" s="535"/>
      <c r="W18" s="535"/>
      <c r="X18" s="535"/>
      <c r="Y18" s="535"/>
      <c r="Z18" s="535"/>
      <c r="AA18" s="535"/>
      <c r="AB18" s="535"/>
    </row>
    <row r="19" spans="4:28">
      <c r="D19" s="516"/>
      <c r="E19" s="516"/>
      <c r="F19" s="516"/>
      <c r="G19" s="516"/>
      <c r="H19" s="516"/>
      <c r="I19" s="516"/>
      <c r="J19" s="516"/>
      <c r="K19" s="516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  <c r="AB19" s="535"/>
    </row>
    <row r="20" spans="4:28">
      <c r="D20" s="516"/>
      <c r="E20" s="572" t="s">
        <v>207</v>
      </c>
      <c r="F20" s="516" t="s">
        <v>225</v>
      </c>
      <c r="G20" s="516"/>
      <c r="H20" s="516"/>
      <c r="I20" s="516"/>
      <c r="J20" s="516"/>
      <c r="K20" s="516"/>
      <c r="M20" s="535"/>
      <c r="N20" s="573" t="s">
        <v>278</v>
      </c>
      <c r="O20" s="535" t="s">
        <v>291</v>
      </c>
      <c r="P20" s="535"/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</row>
    <row r="21" spans="4:28">
      <c r="D21" s="516"/>
      <c r="E21" s="516"/>
      <c r="F21" s="516" t="s">
        <v>227</v>
      </c>
      <c r="G21" s="516"/>
      <c r="H21" s="516"/>
      <c r="I21" s="516"/>
      <c r="J21" s="516"/>
      <c r="K21" s="516"/>
      <c r="M21" s="535"/>
      <c r="N21" s="573"/>
      <c r="O21" s="535" t="s">
        <v>281</v>
      </c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  <c r="AB21" s="535"/>
    </row>
    <row r="22" spans="4:28">
      <c r="D22" s="516"/>
      <c r="E22" s="516"/>
      <c r="F22" s="516"/>
      <c r="G22" s="516"/>
      <c r="H22" s="516"/>
      <c r="I22" s="516"/>
      <c r="J22" s="516"/>
      <c r="K22" s="516"/>
      <c r="M22" s="535"/>
      <c r="N22" s="573"/>
      <c r="O22" s="535" t="s">
        <v>286</v>
      </c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  <c r="AB22" s="535"/>
    </row>
    <row r="23" spans="4:28">
      <c r="D23" s="516"/>
      <c r="E23" s="572" t="s">
        <v>210</v>
      </c>
      <c r="F23" s="516" t="s">
        <v>226</v>
      </c>
      <c r="G23" s="516"/>
      <c r="H23" s="516"/>
      <c r="I23" s="516"/>
      <c r="J23" s="516"/>
      <c r="K23" s="516"/>
      <c r="M23" s="535"/>
      <c r="N23" s="535"/>
      <c r="O23" s="535"/>
      <c r="P23" s="535"/>
      <c r="Q23" s="535"/>
      <c r="R23" s="535"/>
      <c r="S23" s="535"/>
      <c r="T23" s="535"/>
      <c r="U23" s="535"/>
      <c r="V23" s="535"/>
      <c r="W23" s="535"/>
      <c r="X23" s="535"/>
      <c r="Y23" s="535"/>
      <c r="Z23" s="535"/>
      <c r="AA23" s="535"/>
      <c r="AB23" s="535"/>
    </row>
    <row r="24" spans="4:28">
      <c r="D24" s="516"/>
      <c r="E24" s="516"/>
      <c r="F24" s="516"/>
      <c r="G24" s="516"/>
      <c r="H24" s="516"/>
      <c r="I24" s="516"/>
      <c r="J24" s="516"/>
      <c r="K24" s="516"/>
      <c r="M24" s="535"/>
      <c r="N24" s="573" t="s">
        <v>207</v>
      </c>
      <c r="O24" s="535" t="s">
        <v>206</v>
      </c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  <c r="AB24" s="535"/>
    </row>
    <row r="25" spans="4:28">
      <c r="D25" s="516"/>
      <c r="E25" s="572" t="s">
        <v>213</v>
      </c>
      <c r="F25" s="516" t="s">
        <v>228</v>
      </c>
      <c r="G25" s="516"/>
      <c r="H25" s="516"/>
      <c r="I25" s="516"/>
      <c r="J25" s="516"/>
      <c r="K25" s="516"/>
      <c r="M25" s="535"/>
      <c r="N25" s="573"/>
      <c r="O25" s="535" t="s">
        <v>307</v>
      </c>
      <c r="P25" s="535"/>
      <c r="Q25" s="535"/>
      <c r="R25" s="535"/>
      <c r="S25" s="535"/>
      <c r="T25" s="535"/>
      <c r="U25" s="535"/>
      <c r="V25" s="535"/>
      <c r="W25" s="535"/>
      <c r="X25" s="535"/>
      <c r="Y25" s="535"/>
      <c r="Z25" s="535"/>
      <c r="AA25" s="535"/>
      <c r="AB25" s="535"/>
    </row>
    <row r="26" spans="4:28">
      <c r="D26" s="516"/>
      <c r="E26" s="516"/>
      <c r="F26" s="516"/>
      <c r="G26" s="516"/>
      <c r="H26" s="516"/>
      <c r="I26" s="516"/>
      <c r="J26" s="516"/>
      <c r="K26" s="516"/>
      <c r="M26" s="535"/>
      <c r="N26" s="535"/>
      <c r="O26" s="535"/>
      <c r="P26" s="535"/>
      <c r="Q26" s="535"/>
      <c r="R26" s="535"/>
      <c r="S26" s="535"/>
      <c r="T26" s="535"/>
      <c r="U26" s="535"/>
      <c r="V26" s="535"/>
      <c r="W26" s="535"/>
      <c r="X26" s="535"/>
      <c r="Y26" s="535"/>
      <c r="Z26" s="535"/>
      <c r="AA26" s="535"/>
      <c r="AB26" s="535"/>
    </row>
    <row r="27" spans="4:28">
      <c r="D27" s="516"/>
      <c r="E27" s="572" t="s">
        <v>214</v>
      </c>
      <c r="F27" s="516" t="s">
        <v>225</v>
      </c>
      <c r="G27" s="516"/>
      <c r="H27" s="516"/>
      <c r="I27" s="516"/>
      <c r="J27" s="516"/>
      <c r="K27" s="516"/>
      <c r="M27" s="535"/>
      <c r="N27" s="573" t="s">
        <v>208</v>
      </c>
      <c r="O27" s="535" t="s">
        <v>209</v>
      </c>
      <c r="P27" s="535"/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</row>
    <row r="28" spans="4:28">
      <c r="D28" s="516"/>
      <c r="E28" s="516"/>
      <c r="F28" s="516" t="s">
        <v>229</v>
      </c>
      <c r="G28" s="516"/>
      <c r="H28" s="516"/>
      <c r="I28" s="516"/>
      <c r="J28" s="516"/>
      <c r="K28" s="516"/>
      <c r="M28" s="535"/>
      <c r="N28" s="535"/>
      <c r="O28" s="535"/>
      <c r="P28" s="535"/>
      <c r="Q28" s="535"/>
      <c r="R28" s="535"/>
      <c r="S28" s="535"/>
      <c r="T28" s="535"/>
      <c r="U28" s="535"/>
      <c r="V28" s="535"/>
      <c r="W28" s="535"/>
      <c r="X28" s="535"/>
      <c r="Y28" s="535"/>
      <c r="Z28" s="535"/>
      <c r="AA28" s="535"/>
      <c r="AB28" s="535"/>
    </row>
    <row r="29" spans="4:28">
      <c r="D29" s="516"/>
      <c r="E29" s="516"/>
      <c r="F29" s="516" t="s">
        <v>227</v>
      </c>
      <c r="G29" s="516"/>
      <c r="H29" s="516"/>
      <c r="I29" s="516"/>
      <c r="J29" s="516"/>
      <c r="K29" s="516"/>
      <c r="M29" s="535"/>
      <c r="N29" s="573" t="s">
        <v>210</v>
      </c>
      <c r="O29" s="535" t="s">
        <v>211</v>
      </c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</row>
    <row r="30" spans="4:28">
      <c r="D30" s="516"/>
      <c r="E30" s="516"/>
      <c r="F30" s="516"/>
      <c r="G30" s="516"/>
      <c r="H30" s="516"/>
      <c r="I30" s="516"/>
      <c r="J30" s="516"/>
      <c r="K30" s="516"/>
      <c r="M30" s="535"/>
      <c r="N30" s="535"/>
      <c r="O30" s="535" t="s">
        <v>212</v>
      </c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</row>
    <row r="31" spans="4:28">
      <c r="D31" s="516"/>
      <c r="E31" s="572" t="s">
        <v>230</v>
      </c>
      <c r="F31" s="516" t="s">
        <v>228</v>
      </c>
      <c r="G31" s="516"/>
      <c r="H31" s="516"/>
      <c r="I31" s="516"/>
      <c r="J31" s="516"/>
      <c r="K31" s="516"/>
      <c r="M31" s="535"/>
      <c r="N31" s="535"/>
      <c r="O31" s="535" t="s">
        <v>258</v>
      </c>
      <c r="P31" s="535"/>
      <c r="Q31" s="535"/>
      <c r="R31" s="535"/>
      <c r="S31" s="535"/>
      <c r="T31" s="535"/>
      <c r="U31" s="535"/>
      <c r="V31" s="535"/>
      <c r="W31" s="535"/>
      <c r="X31" s="535"/>
      <c r="Y31" s="535"/>
      <c r="Z31" s="535"/>
      <c r="AA31" s="535"/>
      <c r="AB31" s="535"/>
    </row>
    <row r="32" spans="4:28">
      <c r="D32" s="516"/>
      <c r="E32" s="516"/>
      <c r="F32" s="516"/>
      <c r="G32" s="516"/>
      <c r="H32" s="516"/>
      <c r="I32" s="516"/>
      <c r="J32" s="516"/>
      <c r="K32" s="516"/>
      <c r="M32" s="535"/>
      <c r="N32" s="535"/>
      <c r="O32" s="535" t="s">
        <v>204</v>
      </c>
      <c r="P32" s="535"/>
      <c r="Q32" s="535"/>
      <c r="R32" s="535"/>
      <c r="S32" s="535"/>
      <c r="T32" s="535"/>
      <c r="U32" s="535"/>
      <c r="V32" s="535"/>
      <c r="W32" s="535"/>
      <c r="X32" s="535"/>
      <c r="Y32" s="535"/>
      <c r="Z32" s="535"/>
      <c r="AA32" s="535"/>
      <c r="AB32" s="535"/>
    </row>
    <row r="33" spans="4:28">
      <c r="D33" s="516"/>
      <c r="E33" s="572" t="s">
        <v>218</v>
      </c>
      <c r="F33" s="516" t="s">
        <v>225</v>
      </c>
      <c r="G33" s="516"/>
      <c r="H33" s="516"/>
      <c r="I33" s="516"/>
      <c r="J33" s="516"/>
      <c r="K33" s="516"/>
      <c r="M33" s="535"/>
      <c r="N33" s="535"/>
      <c r="O33" s="535" t="s">
        <v>203</v>
      </c>
      <c r="P33" s="535"/>
      <c r="Q33" s="535"/>
      <c r="R33" s="535"/>
      <c r="S33" s="535"/>
      <c r="T33" s="535"/>
      <c r="U33" s="535"/>
      <c r="V33" s="535"/>
      <c r="W33" s="535"/>
      <c r="X33" s="535"/>
      <c r="Y33" s="535"/>
      <c r="Z33" s="535"/>
      <c r="AA33" s="535"/>
      <c r="AB33" s="535"/>
    </row>
    <row r="34" spans="4:28">
      <c r="D34" s="516"/>
      <c r="E34" s="516"/>
      <c r="F34" s="516" t="s">
        <v>229</v>
      </c>
      <c r="G34" s="516"/>
      <c r="H34" s="516"/>
      <c r="I34" s="516"/>
      <c r="J34" s="516"/>
      <c r="K34" s="516"/>
      <c r="M34" s="535"/>
      <c r="N34" s="535"/>
      <c r="O34" s="535"/>
      <c r="P34" s="535"/>
      <c r="Q34" s="535"/>
      <c r="R34" s="535"/>
      <c r="S34" s="535"/>
      <c r="T34" s="535"/>
      <c r="U34" s="535"/>
      <c r="V34" s="535"/>
      <c r="W34" s="535"/>
      <c r="X34" s="535"/>
      <c r="Y34" s="535"/>
      <c r="Z34" s="535"/>
      <c r="AA34" s="535"/>
      <c r="AB34" s="535"/>
    </row>
    <row r="35" spans="4:28">
      <c r="D35" s="516"/>
      <c r="E35" s="516"/>
      <c r="F35" s="516" t="s">
        <v>227</v>
      </c>
      <c r="G35" s="516"/>
      <c r="H35" s="516"/>
      <c r="I35" s="516"/>
      <c r="J35" s="516"/>
      <c r="K35" s="516"/>
      <c r="M35" s="535"/>
      <c r="N35" s="573" t="s">
        <v>213</v>
      </c>
      <c r="O35" s="535" t="s">
        <v>205</v>
      </c>
      <c r="P35" s="535"/>
      <c r="Q35" s="535"/>
      <c r="R35" s="535"/>
      <c r="S35" s="535"/>
      <c r="T35" s="535"/>
      <c r="U35" s="535"/>
      <c r="V35" s="535"/>
      <c r="W35" s="535"/>
      <c r="X35" s="535"/>
      <c r="Y35" s="535"/>
      <c r="Z35" s="535"/>
      <c r="AA35" s="535"/>
      <c r="AB35" s="535"/>
    </row>
    <row r="36" spans="4:28">
      <c r="D36" s="516"/>
      <c r="E36" s="516"/>
      <c r="F36" s="516"/>
      <c r="G36" s="516"/>
      <c r="H36" s="516"/>
      <c r="I36" s="516"/>
      <c r="J36" s="516"/>
      <c r="K36" s="516"/>
      <c r="M36" s="535"/>
      <c r="N36" s="535"/>
      <c r="O36" s="535"/>
      <c r="P36" s="535"/>
      <c r="Q36" s="535"/>
      <c r="R36" s="535"/>
      <c r="S36" s="535"/>
      <c r="T36" s="535"/>
      <c r="U36" s="535"/>
      <c r="V36" s="535"/>
      <c r="W36" s="535"/>
      <c r="X36" s="535"/>
      <c r="Y36" s="535"/>
      <c r="Z36" s="535"/>
      <c r="AA36" s="535"/>
      <c r="AB36" s="535"/>
    </row>
    <row r="37" spans="4:28">
      <c r="D37" s="516"/>
      <c r="E37" s="572" t="s">
        <v>231</v>
      </c>
      <c r="F37" s="516" t="s">
        <v>228</v>
      </c>
      <c r="G37" s="516"/>
      <c r="H37" s="516"/>
      <c r="I37" s="516"/>
      <c r="J37" s="516"/>
      <c r="K37" s="516"/>
      <c r="M37" s="535"/>
      <c r="N37" s="573" t="s">
        <v>214</v>
      </c>
      <c r="O37" s="535" t="s">
        <v>215</v>
      </c>
      <c r="P37" s="535"/>
      <c r="Q37" s="535"/>
      <c r="R37" s="535"/>
      <c r="S37" s="535"/>
      <c r="T37" s="535"/>
      <c r="U37" s="535"/>
      <c r="V37" s="535"/>
      <c r="W37" s="535"/>
      <c r="X37" s="535"/>
      <c r="Y37" s="535"/>
      <c r="Z37" s="535"/>
      <c r="AA37" s="535"/>
      <c r="AB37" s="535"/>
    </row>
    <row r="38" spans="4:28">
      <c r="D38" s="516"/>
      <c r="E38" s="516"/>
      <c r="F38" s="516"/>
      <c r="G38" s="516"/>
      <c r="H38" s="516"/>
      <c r="I38" s="516"/>
      <c r="J38" s="516"/>
      <c r="K38" s="516"/>
      <c r="M38" s="535"/>
      <c r="N38" s="535"/>
      <c r="O38" s="535" t="s">
        <v>216</v>
      </c>
      <c r="P38" s="535"/>
      <c r="Q38" s="535"/>
      <c r="R38" s="535"/>
      <c r="S38" s="535"/>
      <c r="T38" s="535"/>
      <c r="U38" s="535"/>
      <c r="V38" s="535"/>
      <c r="W38" s="535"/>
      <c r="X38" s="535"/>
      <c r="Y38" s="535"/>
      <c r="Z38" s="535"/>
      <c r="AA38" s="535"/>
      <c r="AB38" s="535"/>
    </row>
    <row r="39" spans="4:28">
      <c r="D39" s="516"/>
      <c r="E39" s="572" t="s">
        <v>222</v>
      </c>
      <c r="F39" s="516" t="s">
        <v>232</v>
      </c>
      <c r="G39" s="516"/>
      <c r="H39" s="516"/>
      <c r="I39" s="516"/>
      <c r="J39" s="516"/>
      <c r="K39" s="516"/>
      <c r="M39" s="535"/>
      <c r="N39" s="535"/>
      <c r="O39" s="535" t="s">
        <v>206</v>
      </c>
      <c r="P39" s="535"/>
      <c r="Q39" s="535"/>
      <c r="R39" s="535"/>
      <c r="S39" s="535"/>
      <c r="T39" s="535"/>
      <c r="U39" s="535"/>
      <c r="V39" s="535"/>
      <c r="W39" s="535"/>
      <c r="X39" s="535"/>
      <c r="Y39" s="535"/>
      <c r="Z39" s="535"/>
      <c r="AA39" s="535"/>
      <c r="AB39" s="535"/>
    </row>
    <row r="40" spans="4:28">
      <c r="M40" s="535"/>
      <c r="N40" s="535"/>
      <c r="O40" s="535" t="s">
        <v>307</v>
      </c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Z40" s="535"/>
      <c r="AA40" s="535"/>
      <c r="AB40" s="535"/>
    </row>
    <row r="41" spans="4:28">
      <c r="M41" s="535"/>
      <c r="N41" s="535"/>
      <c r="O41" s="535"/>
      <c r="P41" s="535"/>
      <c r="Q41" s="535"/>
      <c r="R41" s="535"/>
      <c r="S41" s="535"/>
      <c r="T41" s="535"/>
      <c r="U41" s="535"/>
      <c r="V41" s="535"/>
      <c r="W41" s="535"/>
      <c r="X41" s="535"/>
      <c r="Y41" s="535"/>
      <c r="Z41" s="535"/>
      <c r="AA41" s="535"/>
      <c r="AB41" s="535"/>
    </row>
    <row r="42" spans="4:28">
      <c r="D42" s="771" t="s">
        <v>234</v>
      </c>
      <c r="E42" s="771"/>
      <c r="F42" s="771"/>
      <c r="G42" s="771"/>
      <c r="H42" s="771"/>
      <c r="I42" s="771"/>
      <c r="J42" s="771"/>
      <c r="K42" s="771"/>
      <c r="L42" s="249"/>
      <c r="M42" s="535"/>
      <c r="N42" s="573" t="s">
        <v>217</v>
      </c>
      <c r="O42" s="535" t="s">
        <v>204</v>
      </c>
      <c r="P42" s="535"/>
      <c r="Q42" s="535"/>
      <c r="R42" s="535"/>
      <c r="S42" s="535"/>
      <c r="T42" s="535"/>
      <c r="U42" s="535"/>
      <c r="V42" s="535"/>
      <c r="W42" s="535"/>
      <c r="X42" s="535"/>
      <c r="Y42" s="535"/>
      <c r="Z42" s="535"/>
      <c r="AA42" s="535"/>
      <c r="AB42" s="535"/>
    </row>
    <row r="43" spans="4:28">
      <c r="D43" s="771"/>
      <c r="E43" s="771"/>
      <c r="F43" s="771"/>
      <c r="G43" s="771"/>
      <c r="H43" s="771"/>
      <c r="I43" s="771"/>
      <c r="J43" s="771"/>
      <c r="K43" s="771"/>
      <c r="M43" s="535"/>
      <c r="N43" s="535"/>
      <c r="O43" s="535"/>
      <c r="P43" s="535"/>
      <c r="Q43" s="535"/>
      <c r="R43" s="535"/>
      <c r="S43" s="535"/>
      <c r="T43" s="535"/>
      <c r="U43" s="535"/>
      <c r="V43" s="535"/>
      <c r="W43" s="535"/>
      <c r="X43" s="535"/>
      <c r="Y43" s="535"/>
      <c r="Z43" s="535"/>
      <c r="AA43" s="535"/>
      <c r="AB43" s="535"/>
    </row>
    <row r="44" spans="4:28">
      <c r="M44" s="535"/>
      <c r="N44" s="573" t="s">
        <v>218</v>
      </c>
      <c r="O44" s="535" t="s">
        <v>220</v>
      </c>
      <c r="P44" s="535"/>
      <c r="Q44" s="535"/>
      <c r="R44" s="535"/>
      <c r="S44" s="535"/>
      <c r="T44" s="535"/>
      <c r="U44" s="535"/>
      <c r="V44" s="535"/>
      <c r="W44" s="535"/>
      <c r="X44" s="535"/>
      <c r="Y44" s="535"/>
      <c r="Z44" s="535"/>
      <c r="AA44" s="535"/>
      <c r="AB44" s="535"/>
    </row>
    <row r="45" spans="4:28">
      <c r="M45" s="535"/>
      <c r="N45" s="535"/>
      <c r="O45" s="535" t="s">
        <v>221</v>
      </c>
      <c r="P45" s="535"/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5"/>
    </row>
    <row r="46" spans="4:28">
      <c r="M46" s="535"/>
      <c r="N46" s="535"/>
      <c r="O46" s="535" t="s">
        <v>307</v>
      </c>
      <c r="P46" s="535"/>
      <c r="Q46" s="535"/>
      <c r="R46" s="535"/>
      <c r="S46" s="535"/>
      <c r="T46" s="535"/>
      <c r="U46" s="535"/>
      <c r="V46" s="535"/>
      <c r="W46" s="535"/>
      <c r="X46" s="535"/>
      <c r="Y46" s="535"/>
      <c r="Z46" s="535"/>
      <c r="AA46" s="535"/>
      <c r="AB46" s="535"/>
    </row>
    <row r="47" spans="4:28">
      <c r="M47" s="535"/>
      <c r="N47" s="535"/>
      <c r="O47" s="535"/>
      <c r="P47" s="535"/>
      <c r="Q47" s="535"/>
      <c r="R47" s="535"/>
      <c r="S47" s="535"/>
      <c r="T47" s="535"/>
      <c r="U47" s="535"/>
      <c r="V47" s="535"/>
      <c r="W47" s="535"/>
      <c r="X47" s="535"/>
      <c r="Y47" s="535"/>
      <c r="Z47" s="535"/>
      <c r="AA47" s="535"/>
      <c r="AB47" s="535"/>
    </row>
    <row r="48" spans="4:28">
      <c r="M48" s="535"/>
      <c r="N48" s="573" t="s">
        <v>219</v>
      </c>
      <c r="O48" s="535" t="s">
        <v>204</v>
      </c>
      <c r="P48" s="535"/>
      <c r="Q48" s="535"/>
      <c r="R48" s="535"/>
      <c r="S48" s="535"/>
      <c r="T48" s="535"/>
      <c r="U48" s="535"/>
      <c r="V48" s="535"/>
      <c r="W48" s="535"/>
      <c r="X48" s="535"/>
      <c r="Y48" s="535"/>
      <c r="Z48" s="535"/>
      <c r="AA48" s="535"/>
      <c r="AB48" s="535"/>
    </row>
    <row r="49" spans="5:28">
      <c r="M49" s="535"/>
      <c r="N49" s="535"/>
      <c r="O49" s="535"/>
      <c r="P49" s="535"/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5"/>
      <c r="AB49" s="535"/>
    </row>
    <row r="50" spans="5:28">
      <c r="M50" s="535"/>
      <c r="N50" s="573" t="s">
        <v>222</v>
      </c>
      <c r="O50" s="535" t="s">
        <v>223</v>
      </c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</row>
    <row r="51" spans="5:28">
      <c r="M51" s="535"/>
      <c r="N51" s="535"/>
      <c r="O51" s="535"/>
      <c r="P51" s="535"/>
      <c r="Q51" s="535"/>
      <c r="R51" s="535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</row>
    <row r="52" spans="5:28">
      <c r="M52" s="535"/>
      <c r="N52" s="573" t="s">
        <v>264</v>
      </c>
      <c r="O52" s="535" t="s">
        <v>263</v>
      </c>
      <c r="P52" s="535"/>
      <c r="Q52" s="535"/>
      <c r="R52" s="535"/>
      <c r="S52" s="535"/>
      <c r="T52" s="535"/>
      <c r="U52" s="535"/>
      <c r="V52" s="535"/>
      <c r="W52" s="535"/>
      <c r="X52" s="535"/>
      <c r="Y52" s="535"/>
      <c r="Z52" s="535"/>
      <c r="AA52" s="535"/>
      <c r="AB52" s="535"/>
    </row>
    <row r="53" spans="5:28" ht="15.75">
      <c r="E53" s="574" t="s">
        <v>235</v>
      </c>
      <c r="F53" s="575"/>
      <c r="G53" s="575"/>
      <c r="H53" s="575"/>
      <c r="I53" s="575"/>
      <c r="J53" s="575"/>
      <c r="K53" s="575"/>
      <c r="L53" s="575"/>
    </row>
    <row r="54" spans="5:28">
      <c r="E54" s="576"/>
      <c r="F54" s="576"/>
      <c r="G54" s="576"/>
      <c r="H54" s="576"/>
      <c r="I54" s="576"/>
      <c r="J54" s="576"/>
      <c r="K54" s="576"/>
      <c r="L54" s="576"/>
    </row>
    <row r="55" spans="5:28">
      <c r="E55" s="577" t="s">
        <v>236</v>
      </c>
      <c r="F55" s="577" t="s">
        <v>237</v>
      </c>
      <c r="G55" s="577"/>
      <c r="H55" s="577" t="s">
        <v>238</v>
      </c>
      <c r="I55" s="577"/>
      <c r="J55" s="577"/>
      <c r="K55" s="577"/>
      <c r="L55" s="577"/>
      <c r="M55" s="581"/>
      <c r="N55" s="581"/>
      <c r="O55" s="581"/>
      <c r="P55" s="581"/>
    </row>
    <row r="56" spans="5:28">
      <c r="E56" s="578">
        <v>1</v>
      </c>
      <c r="F56" s="579" t="s">
        <v>308</v>
      </c>
      <c r="G56" s="579"/>
      <c r="H56" s="580" t="s">
        <v>239</v>
      </c>
      <c r="I56" s="580"/>
      <c r="J56" s="580"/>
      <c r="K56" s="580"/>
      <c r="L56" s="580"/>
    </row>
    <row r="57" spans="5:28">
      <c r="H57" s="582" t="s">
        <v>242</v>
      </c>
    </row>
    <row r="58" spans="5:28">
      <c r="H58" t="s">
        <v>240</v>
      </c>
    </row>
    <row r="59" spans="5:28">
      <c r="H59" s="582" t="s">
        <v>279</v>
      </c>
    </row>
    <row r="60" spans="5:28">
      <c r="H60" s="582" t="s">
        <v>245</v>
      </c>
    </row>
    <row r="61" spans="5:28">
      <c r="H61" s="582" t="s">
        <v>246</v>
      </c>
    </row>
    <row r="62" spans="5:28">
      <c r="H62" s="582" t="s">
        <v>253</v>
      </c>
    </row>
    <row r="63" spans="5:28">
      <c r="H63" s="582" t="s">
        <v>241</v>
      </c>
    </row>
    <row r="64" spans="5:28">
      <c r="H64" t="s">
        <v>243</v>
      </c>
    </row>
    <row r="65" spans="8:8">
      <c r="H65" t="s">
        <v>244</v>
      </c>
    </row>
    <row r="66" spans="8:8">
      <c r="H66" s="582" t="s">
        <v>280</v>
      </c>
    </row>
  </sheetData>
  <mergeCells count="1">
    <mergeCell ref="D42:K4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0.39997558519241921"/>
  </sheetPr>
  <dimension ref="A2:AD74"/>
  <sheetViews>
    <sheetView showGridLines="0" zoomScale="80" zoomScaleNormal="80" workbookViewId="0"/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8.140625" style="4" customWidth="1"/>
    <col min="5" max="5" width="61.140625" style="4" customWidth="1"/>
    <col min="6" max="6" width="7" style="4" customWidth="1"/>
    <col min="7" max="8" width="18.140625" style="5" customWidth="1"/>
    <col min="9" max="10" width="18.140625" style="4" customWidth="1"/>
    <col min="11" max="14" width="9.140625" style="4" customWidth="1"/>
    <col min="15" max="16" width="9.140625" style="4"/>
    <col min="17" max="17" width="15.42578125" style="4" bestFit="1" customWidth="1"/>
    <col min="18" max="18" width="9.140625" style="4"/>
    <col min="19" max="19" width="9.140625" style="4" customWidth="1"/>
    <col min="20" max="253" width="9.140625" style="4"/>
    <col min="254" max="254" width="2.7109375" style="4" customWidth="1"/>
    <col min="255" max="255" width="114.42578125" style="4" customWidth="1"/>
    <col min="256" max="256" width="0" style="4" hidden="1" customWidth="1"/>
    <col min="257" max="257" width="27.5703125" style="4" customWidth="1"/>
    <col min="258" max="258" width="20" style="4" customWidth="1"/>
    <col min="259" max="259" width="18.28515625" style="4" customWidth="1"/>
    <col min="260" max="260" width="20.140625" style="4" customWidth="1"/>
    <col min="261" max="261" width="10.7109375" style="4" customWidth="1"/>
    <col min="262" max="262" width="14.42578125" style="4" bestFit="1" customWidth="1"/>
    <col min="263" max="263" width="10.7109375" style="4" customWidth="1"/>
    <col min="264" max="264" width="12.7109375" style="4" bestFit="1" customWidth="1"/>
    <col min="265" max="267" width="8.42578125" style="4" customWidth="1"/>
    <col min="268" max="270" width="13" style="4" customWidth="1"/>
    <col min="271" max="274" width="9.140625" style="4"/>
    <col min="275" max="275" width="8.7109375" style="4" customWidth="1"/>
    <col min="276" max="509" width="9.140625" style="4"/>
    <col min="510" max="510" width="2.7109375" style="4" customWidth="1"/>
    <col min="511" max="511" width="114.42578125" style="4" customWidth="1"/>
    <col min="512" max="512" width="0" style="4" hidden="1" customWidth="1"/>
    <col min="513" max="513" width="27.5703125" style="4" customWidth="1"/>
    <col min="514" max="514" width="20" style="4" customWidth="1"/>
    <col min="515" max="515" width="18.28515625" style="4" customWidth="1"/>
    <col min="516" max="516" width="20.140625" style="4" customWidth="1"/>
    <col min="517" max="517" width="10.7109375" style="4" customWidth="1"/>
    <col min="518" max="518" width="14.42578125" style="4" bestFit="1" customWidth="1"/>
    <col min="519" max="519" width="10.7109375" style="4" customWidth="1"/>
    <col min="520" max="520" width="12.7109375" style="4" bestFit="1" customWidth="1"/>
    <col min="521" max="523" width="8.42578125" style="4" customWidth="1"/>
    <col min="524" max="526" width="13" style="4" customWidth="1"/>
    <col min="527" max="530" width="9.140625" style="4"/>
    <col min="531" max="531" width="8.7109375" style="4" customWidth="1"/>
    <col min="532" max="765" width="9.140625" style="4"/>
    <col min="766" max="766" width="2.7109375" style="4" customWidth="1"/>
    <col min="767" max="767" width="114.42578125" style="4" customWidth="1"/>
    <col min="768" max="768" width="0" style="4" hidden="1" customWidth="1"/>
    <col min="769" max="769" width="27.5703125" style="4" customWidth="1"/>
    <col min="770" max="770" width="20" style="4" customWidth="1"/>
    <col min="771" max="771" width="18.28515625" style="4" customWidth="1"/>
    <col min="772" max="772" width="20.140625" style="4" customWidth="1"/>
    <col min="773" max="773" width="10.7109375" style="4" customWidth="1"/>
    <col min="774" max="774" width="14.42578125" style="4" bestFit="1" customWidth="1"/>
    <col min="775" max="775" width="10.7109375" style="4" customWidth="1"/>
    <col min="776" max="776" width="12.7109375" style="4" bestFit="1" customWidth="1"/>
    <col min="777" max="779" width="8.42578125" style="4" customWidth="1"/>
    <col min="780" max="782" width="13" style="4" customWidth="1"/>
    <col min="783" max="786" width="9.140625" style="4"/>
    <col min="787" max="787" width="8.7109375" style="4" customWidth="1"/>
    <col min="788" max="1021" width="9.140625" style="4"/>
    <col min="1022" max="1022" width="2.7109375" style="4" customWidth="1"/>
    <col min="1023" max="1023" width="114.42578125" style="4" customWidth="1"/>
    <col min="1024" max="1024" width="0" style="4" hidden="1" customWidth="1"/>
    <col min="1025" max="1025" width="27.5703125" style="4" customWidth="1"/>
    <col min="1026" max="1026" width="20" style="4" customWidth="1"/>
    <col min="1027" max="1027" width="18.28515625" style="4" customWidth="1"/>
    <col min="1028" max="1028" width="20.140625" style="4" customWidth="1"/>
    <col min="1029" max="1029" width="10.7109375" style="4" customWidth="1"/>
    <col min="1030" max="1030" width="14.42578125" style="4" bestFit="1" customWidth="1"/>
    <col min="1031" max="1031" width="10.7109375" style="4" customWidth="1"/>
    <col min="1032" max="1032" width="12.7109375" style="4" bestFit="1" customWidth="1"/>
    <col min="1033" max="1035" width="8.42578125" style="4" customWidth="1"/>
    <col min="1036" max="1038" width="13" style="4" customWidth="1"/>
    <col min="1039" max="1042" width="9.140625" style="4"/>
    <col min="1043" max="1043" width="8.7109375" style="4" customWidth="1"/>
    <col min="1044" max="1277" width="9.140625" style="4"/>
    <col min="1278" max="1278" width="2.7109375" style="4" customWidth="1"/>
    <col min="1279" max="1279" width="114.42578125" style="4" customWidth="1"/>
    <col min="1280" max="1280" width="0" style="4" hidden="1" customWidth="1"/>
    <col min="1281" max="1281" width="27.5703125" style="4" customWidth="1"/>
    <col min="1282" max="1282" width="20" style="4" customWidth="1"/>
    <col min="1283" max="1283" width="18.28515625" style="4" customWidth="1"/>
    <col min="1284" max="1284" width="20.140625" style="4" customWidth="1"/>
    <col min="1285" max="1285" width="10.7109375" style="4" customWidth="1"/>
    <col min="1286" max="1286" width="14.42578125" style="4" bestFit="1" customWidth="1"/>
    <col min="1287" max="1287" width="10.7109375" style="4" customWidth="1"/>
    <col min="1288" max="1288" width="12.7109375" style="4" bestFit="1" customWidth="1"/>
    <col min="1289" max="1291" width="8.42578125" style="4" customWidth="1"/>
    <col min="1292" max="1294" width="13" style="4" customWidth="1"/>
    <col min="1295" max="1298" width="9.140625" style="4"/>
    <col min="1299" max="1299" width="8.7109375" style="4" customWidth="1"/>
    <col min="1300" max="1533" width="9.140625" style="4"/>
    <col min="1534" max="1534" width="2.7109375" style="4" customWidth="1"/>
    <col min="1535" max="1535" width="114.42578125" style="4" customWidth="1"/>
    <col min="1536" max="1536" width="0" style="4" hidden="1" customWidth="1"/>
    <col min="1537" max="1537" width="27.5703125" style="4" customWidth="1"/>
    <col min="1538" max="1538" width="20" style="4" customWidth="1"/>
    <col min="1539" max="1539" width="18.28515625" style="4" customWidth="1"/>
    <col min="1540" max="1540" width="20.140625" style="4" customWidth="1"/>
    <col min="1541" max="1541" width="10.7109375" style="4" customWidth="1"/>
    <col min="1542" max="1542" width="14.42578125" style="4" bestFit="1" customWidth="1"/>
    <col min="1543" max="1543" width="10.7109375" style="4" customWidth="1"/>
    <col min="1544" max="1544" width="12.7109375" style="4" bestFit="1" customWidth="1"/>
    <col min="1545" max="1547" width="8.42578125" style="4" customWidth="1"/>
    <col min="1548" max="1550" width="13" style="4" customWidth="1"/>
    <col min="1551" max="1554" width="9.140625" style="4"/>
    <col min="1555" max="1555" width="8.7109375" style="4" customWidth="1"/>
    <col min="1556" max="1789" width="9.140625" style="4"/>
    <col min="1790" max="1790" width="2.7109375" style="4" customWidth="1"/>
    <col min="1791" max="1791" width="114.42578125" style="4" customWidth="1"/>
    <col min="1792" max="1792" width="0" style="4" hidden="1" customWidth="1"/>
    <col min="1793" max="1793" width="27.5703125" style="4" customWidth="1"/>
    <col min="1794" max="1794" width="20" style="4" customWidth="1"/>
    <col min="1795" max="1795" width="18.28515625" style="4" customWidth="1"/>
    <col min="1796" max="1796" width="20.140625" style="4" customWidth="1"/>
    <col min="1797" max="1797" width="10.7109375" style="4" customWidth="1"/>
    <col min="1798" max="1798" width="14.42578125" style="4" bestFit="1" customWidth="1"/>
    <col min="1799" max="1799" width="10.7109375" style="4" customWidth="1"/>
    <col min="1800" max="1800" width="12.7109375" style="4" bestFit="1" customWidth="1"/>
    <col min="1801" max="1803" width="8.42578125" style="4" customWidth="1"/>
    <col min="1804" max="1806" width="13" style="4" customWidth="1"/>
    <col min="1807" max="1810" width="9.140625" style="4"/>
    <col min="1811" max="1811" width="8.7109375" style="4" customWidth="1"/>
    <col min="1812" max="2045" width="9.140625" style="4"/>
    <col min="2046" max="2046" width="2.7109375" style="4" customWidth="1"/>
    <col min="2047" max="2047" width="114.42578125" style="4" customWidth="1"/>
    <col min="2048" max="2048" width="0" style="4" hidden="1" customWidth="1"/>
    <col min="2049" max="2049" width="27.5703125" style="4" customWidth="1"/>
    <col min="2050" max="2050" width="20" style="4" customWidth="1"/>
    <col min="2051" max="2051" width="18.28515625" style="4" customWidth="1"/>
    <col min="2052" max="2052" width="20.140625" style="4" customWidth="1"/>
    <col min="2053" max="2053" width="10.7109375" style="4" customWidth="1"/>
    <col min="2054" max="2054" width="14.42578125" style="4" bestFit="1" customWidth="1"/>
    <col min="2055" max="2055" width="10.7109375" style="4" customWidth="1"/>
    <col min="2056" max="2056" width="12.7109375" style="4" bestFit="1" customWidth="1"/>
    <col min="2057" max="2059" width="8.42578125" style="4" customWidth="1"/>
    <col min="2060" max="2062" width="13" style="4" customWidth="1"/>
    <col min="2063" max="2066" width="9.140625" style="4"/>
    <col min="2067" max="2067" width="8.7109375" style="4" customWidth="1"/>
    <col min="2068" max="2301" width="9.140625" style="4"/>
    <col min="2302" max="2302" width="2.7109375" style="4" customWidth="1"/>
    <col min="2303" max="2303" width="114.42578125" style="4" customWidth="1"/>
    <col min="2304" max="2304" width="0" style="4" hidden="1" customWidth="1"/>
    <col min="2305" max="2305" width="27.5703125" style="4" customWidth="1"/>
    <col min="2306" max="2306" width="20" style="4" customWidth="1"/>
    <col min="2307" max="2307" width="18.28515625" style="4" customWidth="1"/>
    <col min="2308" max="2308" width="20.140625" style="4" customWidth="1"/>
    <col min="2309" max="2309" width="10.7109375" style="4" customWidth="1"/>
    <col min="2310" max="2310" width="14.42578125" style="4" bestFit="1" customWidth="1"/>
    <col min="2311" max="2311" width="10.7109375" style="4" customWidth="1"/>
    <col min="2312" max="2312" width="12.7109375" style="4" bestFit="1" customWidth="1"/>
    <col min="2313" max="2315" width="8.42578125" style="4" customWidth="1"/>
    <col min="2316" max="2318" width="13" style="4" customWidth="1"/>
    <col min="2319" max="2322" width="9.140625" style="4"/>
    <col min="2323" max="2323" width="8.7109375" style="4" customWidth="1"/>
    <col min="2324" max="2557" width="9.140625" style="4"/>
    <col min="2558" max="2558" width="2.7109375" style="4" customWidth="1"/>
    <col min="2559" max="2559" width="114.42578125" style="4" customWidth="1"/>
    <col min="2560" max="2560" width="0" style="4" hidden="1" customWidth="1"/>
    <col min="2561" max="2561" width="27.5703125" style="4" customWidth="1"/>
    <col min="2562" max="2562" width="20" style="4" customWidth="1"/>
    <col min="2563" max="2563" width="18.28515625" style="4" customWidth="1"/>
    <col min="2564" max="2564" width="20.140625" style="4" customWidth="1"/>
    <col min="2565" max="2565" width="10.7109375" style="4" customWidth="1"/>
    <col min="2566" max="2566" width="14.42578125" style="4" bestFit="1" customWidth="1"/>
    <col min="2567" max="2567" width="10.7109375" style="4" customWidth="1"/>
    <col min="2568" max="2568" width="12.7109375" style="4" bestFit="1" customWidth="1"/>
    <col min="2569" max="2571" width="8.42578125" style="4" customWidth="1"/>
    <col min="2572" max="2574" width="13" style="4" customWidth="1"/>
    <col min="2575" max="2578" width="9.140625" style="4"/>
    <col min="2579" max="2579" width="8.7109375" style="4" customWidth="1"/>
    <col min="2580" max="2813" width="9.140625" style="4"/>
    <col min="2814" max="2814" width="2.7109375" style="4" customWidth="1"/>
    <col min="2815" max="2815" width="114.42578125" style="4" customWidth="1"/>
    <col min="2816" max="2816" width="0" style="4" hidden="1" customWidth="1"/>
    <col min="2817" max="2817" width="27.5703125" style="4" customWidth="1"/>
    <col min="2818" max="2818" width="20" style="4" customWidth="1"/>
    <col min="2819" max="2819" width="18.28515625" style="4" customWidth="1"/>
    <col min="2820" max="2820" width="20.140625" style="4" customWidth="1"/>
    <col min="2821" max="2821" width="10.7109375" style="4" customWidth="1"/>
    <col min="2822" max="2822" width="14.42578125" style="4" bestFit="1" customWidth="1"/>
    <col min="2823" max="2823" width="10.7109375" style="4" customWidth="1"/>
    <col min="2824" max="2824" width="12.7109375" style="4" bestFit="1" customWidth="1"/>
    <col min="2825" max="2827" width="8.42578125" style="4" customWidth="1"/>
    <col min="2828" max="2830" width="13" style="4" customWidth="1"/>
    <col min="2831" max="2834" width="9.140625" style="4"/>
    <col min="2835" max="2835" width="8.7109375" style="4" customWidth="1"/>
    <col min="2836" max="3069" width="9.140625" style="4"/>
    <col min="3070" max="3070" width="2.7109375" style="4" customWidth="1"/>
    <col min="3071" max="3071" width="114.42578125" style="4" customWidth="1"/>
    <col min="3072" max="3072" width="0" style="4" hidden="1" customWidth="1"/>
    <col min="3073" max="3073" width="27.5703125" style="4" customWidth="1"/>
    <col min="3074" max="3074" width="20" style="4" customWidth="1"/>
    <col min="3075" max="3075" width="18.28515625" style="4" customWidth="1"/>
    <col min="3076" max="3076" width="20.140625" style="4" customWidth="1"/>
    <col min="3077" max="3077" width="10.7109375" style="4" customWidth="1"/>
    <col min="3078" max="3078" width="14.42578125" style="4" bestFit="1" customWidth="1"/>
    <col min="3079" max="3079" width="10.7109375" style="4" customWidth="1"/>
    <col min="3080" max="3080" width="12.7109375" style="4" bestFit="1" customWidth="1"/>
    <col min="3081" max="3083" width="8.42578125" style="4" customWidth="1"/>
    <col min="3084" max="3086" width="13" style="4" customWidth="1"/>
    <col min="3087" max="3090" width="9.140625" style="4"/>
    <col min="3091" max="3091" width="8.7109375" style="4" customWidth="1"/>
    <col min="3092" max="3325" width="9.140625" style="4"/>
    <col min="3326" max="3326" width="2.7109375" style="4" customWidth="1"/>
    <col min="3327" max="3327" width="114.42578125" style="4" customWidth="1"/>
    <col min="3328" max="3328" width="0" style="4" hidden="1" customWidth="1"/>
    <col min="3329" max="3329" width="27.5703125" style="4" customWidth="1"/>
    <col min="3330" max="3330" width="20" style="4" customWidth="1"/>
    <col min="3331" max="3331" width="18.28515625" style="4" customWidth="1"/>
    <col min="3332" max="3332" width="20.140625" style="4" customWidth="1"/>
    <col min="3333" max="3333" width="10.7109375" style="4" customWidth="1"/>
    <col min="3334" max="3334" width="14.42578125" style="4" bestFit="1" customWidth="1"/>
    <col min="3335" max="3335" width="10.7109375" style="4" customWidth="1"/>
    <col min="3336" max="3336" width="12.7109375" style="4" bestFit="1" customWidth="1"/>
    <col min="3337" max="3339" width="8.42578125" style="4" customWidth="1"/>
    <col min="3340" max="3342" width="13" style="4" customWidth="1"/>
    <col min="3343" max="3346" width="9.140625" style="4"/>
    <col min="3347" max="3347" width="8.7109375" style="4" customWidth="1"/>
    <col min="3348" max="3581" width="9.140625" style="4"/>
    <col min="3582" max="3582" width="2.7109375" style="4" customWidth="1"/>
    <col min="3583" max="3583" width="114.42578125" style="4" customWidth="1"/>
    <col min="3584" max="3584" width="0" style="4" hidden="1" customWidth="1"/>
    <col min="3585" max="3585" width="27.5703125" style="4" customWidth="1"/>
    <col min="3586" max="3586" width="20" style="4" customWidth="1"/>
    <col min="3587" max="3587" width="18.28515625" style="4" customWidth="1"/>
    <col min="3588" max="3588" width="20.140625" style="4" customWidth="1"/>
    <col min="3589" max="3589" width="10.7109375" style="4" customWidth="1"/>
    <col min="3590" max="3590" width="14.42578125" style="4" bestFit="1" customWidth="1"/>
    <col min="3591" max="3591" width="10.7109375" style="4" customWidth="1"/>
    <col min="3592" max="3592" width="12.7109375" style="4" bestFit="1" customWidth="1"/>
    <col min="3593" max="3595" width="8.42578125" style="4" customWidth="1"/>
    <col min="3596" max="3598" width="13" style="4" customWidth="1"/>
    <col min="3599" max="3602" width="9.140625" style="4"/>
    <col min="3603" max="3603" width="8.7109375" style="4" customWidth="1"/>
    <col min="3604" max="3837" width="9.140625" style="4"/>
    <col min="3838" max="3838" width="2.7109375" style="4" customWidth="1"/>
    <col min="3839" max="3839" width="114.42578125" style="4" customWidth="1"/>
    <col min="3840" max="3840" width="0" style="4" hidden="1" customWidth="1"/>
    <col min="3841" max="3841" width="27.5703125" style="4" customWidth="1"/>
    <col min="3842" max="3842" width="20" style="4" customWidth="1"/>
    <col min="3843" max="3843" width="18.28515625" style="4" customWidth="1"/>
    <col min="3844" max="3844" width="20.140625" style="4" customWidth="1"/>
    <col min="3845" max="3845" width="10.7109375" style="4" customWidth="1"/>
    <col min="3846" max="3846" width="14.42578125" style="4" bestFit="1" customWidth="1"/>
    <col min="3847" max="3847" width="10.7109375" style="4" customWidth="1"/>
    <col min="3848" max="3848" width="12.7109375" style="4" bestFit="1" customWidth="1"/>
    <col min="3849" max="3851" width="8.42578125" style="4" customWidth="1"/>
    <col min="3852" max="3854" width="13" style="4" customWidth="1"/>
    <col min="3855" max="3858" width="9.140625" style="4"/>
    <col min="3859" max="3859" width="8.7109375" style="4" customWidth="1"/>
    <col min="3860" max="4093" width="9.140625" style="4"/>
    <col min="4094" max="4094" width="2.7109375" style="4" customWidth="1"/>
    <col min="4095" max="4095" width="114.42578125" style="4" customWidth="1"/>
    <col min="4096" max="4096" width="0" style="4" hidden="1" customWidth="1"/>
    <col min="4097" max="4097" width="27.5703125" style="4" customWidth="1"/>
    <col min="4098" max="4098" width="20" style="4" customWidth="1"/>
    <col min="4099" max="4099" width="18.28515625" style="4" customWidth="1"/>
    <col min="4100" max="4100" width="20.140625" style="4" customWidth="1"/>
    <col min="4101" max="4101" width="10.7109375" style="4" customWidth="1"/>
    <col min="4102" max="4102" width="14.42578125" style="4" bestFit="1" customWidth="1"/>
    <col min="4103" max="4103" width="10.7109375" style="4" customWidth="1"/>
    <col min="4104" max="4104" width="12.7109375" style="4" bestFit="1" customWidth="1"/>
    <col min="4105" max="4107" width="8.42578125" style="4" customWidth="1"/>
    <col min="4108" max="4110" width="13" style="4" customWidth="1"/>
    <col min="4111" max="4114" width="9.140625" style="4"/>
    <col min="4115" max="4115" width="8.7109375" style="4" customWidth="1"/>
    <col min="4116" max="4349" width="9.140625" style="4"/>
    <col min="4350" max="4350" width="2.7109375" style="4" customWidth="1"/>
    <col min="4351" max="4351" width="114.42578125" style="4" customWidth="1"/>
    <col min="4352" max="4352" width="0" style="4" hidden="1" customWidth="1"/>
    <col min="4353" max="4353" width="27.5703125" style="4" customWidth="1"/>
    <col min="4354" max="4354" width="20" style="4" customWidth="1"/>
    <col min="4355" max="4355" width="18.28515625" style="4" customWidth="1"/>
    <col min="4356" max="4356" width="20.140625" style="4" customWidth="1"/>
    <col min="4357" max="4357" width="10.7109375" style="4" customWidth="1"/>
    <col min="4358" max="4358" width="14.42578125" style="4" bestFit="1" customWidth="1"/>
    <col min="4359" max="4359" width="10.7109375" style="4" customWidth="1"/>
    <col min="4360" max="4360" width="12.7109375" style="4" bestFit="1" customWidth="1"/>
    <col min="4361" max="4363" width="8.42578125" style="4" customWidth="1"/>
    <col min="4364" max="4366" width="13" style="4" customWidth="1"/>
    <col min="4367" max="4370" width="9.140625" style="4"/>
    <col min="4371" max="4371" width="8.7109375" style="4" customWidth="1"/>
    <col min="4372" max="4605" width="9.140625" style="4"/>
    <col min="4606" max="4606" width="2.7109375" style="4" customWidth="1"/>
    <col min="4607" max="4607" width="114.42578125" style="4" customWidth="1"/>
    <col min="4608" max="4608" width="0" style="4" hidden="1" customWidth="1"/>
    <col min="4609" max="4609" width="27.5703125" style="4" customWidth="1"/>
    <col min="4610" max="4610" width="20" style="4" customWidth="1"/>
    <col min="4611" max="4611" width="18.28515625" style="4" customWidth="1"/>
    <col min="4612" max="4612" width="20.140625" style="4" customWidth="1"/>
    <col min="4613" max="4613" width="10.7109375" style="4" customWidth="1"/>
    <col min="4614" max="4614" width="14.42578125" style="4" bestFit="1" customWidth="1"/>
    <col min="4615" max="4615" width="10.7109375" style="4" customWidth="1"/>
    <col min="4616" max="4616" width="12.7109375" style="4" bestFit="1" customWidth="1"/>
    <col min="4617" max="4619" width="8.42578125" style="4" customWidth="1"/>
    <col min="4620" max="4622" width="13" style="4" customWidth="1"/>
    <col min="4623" max="4626" width="9.140625" style="4"/>
    <col min="4627" max="4627" width="8.7109375" style="4" customWidth="1"/>
    <col min="4628" max="4861" width="9.140625" style="4"/>
    <col min="4862" max="4862" width="2.7109375" style="4" customWidth="1"/>
    <col min="4863" max="4863" width="114.42578125" style="4" customWidth="1"/>
    <col min="4864" max="4864" width="0" style="4" hidden="1" customWidth="1"/>
    <col min="4865" max="4865" width="27.5703125" style="4" customWidth="1"/>
    <col min="4866" max="4866" width="20" style="4" customWidth="1"/>
    <col min="4867" max="4867" width="18.28515625" style="4" customWidth="1"/>
    <col min="4868" max="4868" width="20.140625" style="4" customWidth="1"/>
    <col min="4869" max="4869" width="10.7109375" style="4" customWidth="1"/>
    <col min="4870" max="4870" width="14.42578125" style="4" bestFit="1" customWidth="1"/>
    <col min="4871" max="4871" width="10.7109375" style="4" customWidth="1"/>
    <col min="4872" max="4872" width="12.7109375" style="4" bestFit="1" customWidth="1"/>
    <col min="4873" max="4875" width="8.42578125" style="4" customWidth="1"/>
    <col min="4876" max="4878" width="13" style="4" customWidth="1"/>
    <col min="4879" max="4882" width="9.140625" style="4"/>
    <col min="4883" max="4883" width="8.7109375" style="4" customWidth="1"/>
    <col min="4884" max="5117" width="9.140625" style="4"/>
    <col min="5118" max="5118" width="2.7109375" style="4" customWidth="1"/>
    <col min="5119" max="5119" width="114.42578125" style="4" customWidth="1"/>
    <col min="5120" max="5120" width="0" style="4" hidden="1" customWidth="1"/>
    <col min="5121" max="5121" width="27.5703125" style="4" customWidth="1"/>
    <col min="5122" max="5122" width="20" style="4" customWidth="1"/>
    <col min="5123" max="5123" width="18.28515625" style="4" customWidth="1"/>
    <col min="5124" max="5124" width="20.140625" style="4" customWidth="1"/>
    <col min="5125" max="5125" width="10.7109375" style="4" customWidth="1"/>
    <col min="5126" max="5126" width="14.42578125" style="4" bestFit="1" customWidth="1"/>
    <col min="5127" max="5127" width="10.7109375" style="4" customWidth="1"/>
    <col min="5128" max="5128" width="12.7109375" style="4" bestFit="1" customWidth="1"/>
    <col min="5129" max="5131" width="8.42578125" style="4" customWidth="1"/>
    <col min="5132" max="5134" width="13" style="4" customWidth="1"/>
    <col min="5135" max="5138" width="9.140625" style="4"/>
    <col min="5139" max="5139" width="8.7109375" style="4" customWidth="1"/>
    <col min="5140" max="5373" width="9.140625" style="4"/>
    <col min="5374" max="5374" width="2.7109375" style="4" customWidth="1"/>
    <col min="5375" max="5375" width="114.42578125" style="4" customWidth="1"/>
    <col min="5376" max="5376" width="0" style="4" hidden="1" customWidth="1"/>
    <col min="5377" max="5377" width="27.5703125" style="4" customWidth="1"/>
    <col min="5378" max="5378" width="20" style="4" customWidth="1"/>
    <col min="5379" max="5379" width="18.28515625" style="4" customWidth="1"/>
    <col min="5380" max="5380" width="20.140625" style="4" customWidth="1"/>
    <col min="5381" max="5381" width="10.7109375" style="4" customWidth="1"/>
    <col min="5382" max="5382" width="14.42578125" style="4" bestFit="1" customWidth="1"/>
    <col min="5383" max="5383" width="10.7109375" style="4" customWidth="1"/>
    <col min="5384" max="5384" width="12.7109375" style="4" bestFit="1" customWidth="1"/>
    <col min="5385" max="5387" width="8.42578125" style="4" customWidth="1"/>
    <col min="5388" max="5390" width="13" style="4" customWidth="1"/>
    <col min="5391" max="5394" width="9.140625" style="4"/>
    <col min="5395" max="5395" width="8.7109375" style="4" customWidth="1"/>
    <col min="5396" max="5629" width="9.140625" style="4"/>
    <col min="5630" max="5630" width="2.7109375" style="4" customWidth="1"/>
    <col min="5631" max="5631" width="114.42578125" style="4" customWidth="1"/>
    <col min="5632" max="5632" width="0" style="4" hidden="1" customWidth="1"/>
    <col min="5633" max="5633" width="27.5703125" style="4" customWidth="1"/>
    <col min="5634" max="5634" width="20" style="4" customWidth="1"/>
    <col min="5635" max="5635" width="18.28515625" style="4" customWidth="1"/>
    <col min="5636" max="5636" width="20.140625" style="4" customWidth="1"/>
    <col min="5637" max="5637" width="10.7109375" style="4" customWidth="1"/>
    <col min="5638" max="5638" width="14.42578125" style="4" bestFit="1" customWidth="1"/>
    <col min="5639" max="5639" width="10.7109375" style="4" customWidth="1"/>
    <col min="5640" max="5640" width="12.7109375" style="4" bestFit="1" customWidth="1"/>
    <col min="5641" max="5643" width="8.42578125" style="4" customWidth="1"/>
    <col min="5644" max="5646" width="13" style="4" customWidth="1"/>
    <col min="5647" max="5650" width="9.140625" style="4"/>
    <col min="5651" max="5651" width="8.7109375" style="4" customWidth="1"/>
    <col min="5652" max="5885" width="9.140625" style="4"/>
    <col min="5886" max="5886" width="2.7109375" style="4" customWidth="1"/>
    <col min="5887" max="5887" width="114.42578125" style="4" customWidth="1"/>
    <col min="5888" max="5888" width="0" style="4" hidden="1" customWidth="1"/>
    <col min="5889" max="5889" width="27.5703125" style="4" customWidth="1"/>
    <col min="5890" max="5890" width="20" style="4" customWidth="1"/>
    <col min="5891" max="5891" width="18.28515625" style="4" customWidth="1"/>
    <col min="5892" max="5892" width="20.140625" style="4" customWidth="1"/>
    <col min="5893" max="5893" width="10.7109375" style="4" customWidth="1"/>
    <col min="5894" max="5894" width="14.42578125" style="4" bestFit="1" customWidth="1"/>
    <col min="5895" max="5895" width="10.7109375" style="4" customWidth="1"/>
    <col min="5896" max="5896" width="12.7109375" style="4" bestFit="1" customWidth="1"/>
    <col min="5897" max="5899" width="8.42578125" style="4" customWidth="1"/>
    <col min="5900" max="5902" width="13" style="4" customWidth="1"/>
    <col min="5903" max="5906" width="9.140625" style="4"/>
    <col min="5907" max="5907" width="8.7109375" style="4" customWidth="1"/>
    <col min="5908" max="6141" width="9.140625" style="4"/>
    <col min="6142" max="6142" width="2.7109375" style="4" customWidth="1"/>
    <col min="6143" max="6143" width="114.42578125" style="4" customWidth="1"/>
    <col min="6144" max="6144" width="0" style="4" hidden="1" customWidth="1"/>
    <col min="6145" max="6145" width="27.5703125" style="4" customWidth="1"/>
    <col min="6146" max="6146" width="20" style="4" customWidth="1"/>
    <col min="6147" max="6147" width="18.28515625" style="4" customWidth="1"/>
    <col min="6148" max="6148" width="20.140625" style="4" customWidth="1"/>
    <col min="6149" max="6149" width="10.7109375" style="4" customWidth="1"/>
    <col min="6150" max="6150" width="14.42578125" style="4" bestFit="1" customWidth="1"/>
    <col min="6151" max="6151" width="10.7109375" style="4" customWidth="1"/>
    <col min="6152" max="6152" width="12.7109375" style="4" bestFit="1" customWidth="1"/>
    <col min="6153" max="6155" width="8.42578125" style="4" customWidth="1"/>
    <col min="6156" max="6158" width="13" style="4" customWidth="1"/>
    <col min="6159" max="6162" width="9.140625" style="4"/>
    <col min="6163" max="6163" width="8.7109375" style="4" customWidth="1"/>
    <col min="6164" max="6397" width="9.140625" style="4"/>
    <col min="6398" max="6398" width="2.7109375" style="4" customWidth="1"/>
    <col min="6399" max="6399" width="114.42578125" style="4" customWidth="1"/>
    <col min="6400" max="6400" width="0" style="4" hidden="1" customWidth="1"/>
    <col min="6401" max="6401" width="27.5703125" style="4" customWidth="1"/>
    <col min="6402" max="6402" width="20" style="4" customWidth="1"/>
    <col min="6403" max="6403" width="18.28515625" style="4" customWidth="1"/>
    <col min="6404" max="6404" width="20.140625" style="4" customWidth="1"/>
    <col min="6405" max="6405" width="10.7109375" style="4" customWidth="1"/>
    <col min="6406" max="6406" width="14.42578125" style="4" bestFit="1" customWidth="1"/>
    <col min="6407" max="6407" width="10.7109375" style="4" customWidth="1"/>
    <col min="6408" max="6408" width="12.7109375" style="4" bestFit="1" customWidth="1"/>
    <col min="6409" max="6411" width="8.42578125" style="4" customWidth="1"/>
    <col min="6412" max="6414" width="13" style="4" customWidth="1"/>
    <col min="6415" max="6418" width="9.140625" style="4"/>
    <col min="6419" max="6419" width="8.7109375" style="4" customWidth="1"/>
    <col min="6420" max="6653" width="9.140625" style="4"/>
    <col min="6654" max="6654" width="2.7109375" style="4" customWidth="1"/>
    <col min="6655" max="6655" width="114.42578125" style="4" customWidth="1"/>
    <col min="6656" max="6656" width="0" style="4" hidden="1" customWidth="1"/>
    <col min="6657" max="6657" width="27.5703125" style="4" customWidth="1"/>
    <col min="6658" max="6658" width="20" style="4" customWidth="1"/>
    <col min="6659" max="6659" width="18.28515625" style="4" customWidth="1"/>
    <col min="6660" max="6660" width="20.140625" style="4" customWidth="1"/>
    <col min="6661" max="6661" width="10.7109375" style="4" customWidth="1"/>
    <col min="6662" max="6662" width="14.42578125" style="4" bestFit="1" customWidth="1"/>
    <col min="6663" max="6663" width="10.7109375" style="4" customWidth="1"/>
    <col min="6664" max="6664" width="12.7109375" style="4" bestFit="1" customWidth="1"/>
    <col min="6665" max="6667" width="8.42578125" style="4" customWidth="1"/>
    <col min="6668" max="6670" width="13" style="4" customWidth="1"/>
    <col min="6671" max="6674" width="9.140625" style="4"/>
    <col min="6675" max="6675" width="8.7109375" style="4" customWidth="1"/>
    <col min="6676" max="6909" width="9.140625" style="4"/>
    <col min="6910" max="6910" width="2.7109375" style="4" customWidth="1"/>
    <col min="6911" max="6911" width="114.42578125" style="4" customWidth="1"/>
    <col min="6912" max="6912" width="0" style="4" hidden="1" customWidth="1"/>
    <col min="6913" max="6913" width="27.5703125" style="4" customWidth="1"/>
    <col min="6914" max="6914" width="20" style="4" customWidth="1"/>
    <col min="6915" max="6915" width="18.28515625" style="4" customWidth="1"/>
    <col min="6916" max="6916" width="20.140625" style="4" customWidth="1"/>
    <col min="6917" max="6917" width="10.7109375" style="4" customWidth="1"/>
    <col min="6918" max="6918" width="14.42578125" style="4" bestFit="1" customWidth="1"/>
    <col min="6919" max="6919" width="10.7109375" style="4" customWidth="1"/>
    <col min="6920" max="6920" width="12.7109375" style="4" bestFit="1" customWidth="1"/>
    <col min="6921" max="6923" width="8.42578125" style="4" customWidth="1"/>
    <col min="6924" max="6926" width="13" style="4" customWidth="1"/>
    <col min="6927" max="6930" width="9.140625" style="4"/>
    <col min="6931" max="6931" width="8.7109375" style="4" customWidth="1"/>
    <col min="6932" max="7165" width="9.140625" style="4"/>
    <col min="7166" max="7166" width="2.7109375" style="4" customWidth="1"/>
    <col min="7167" max="7167" width="114.42578125" style="4" customWidth="1"/>
    <col min="7168" max="7168" width="0" style="4" hidden="1" customWidth="1"/>
    <col min="7169" max="7169" width="27.5703125" style="4" customWidth="1"/>
    <col min="7170" max="7170" width="20" style="4" customWidth="1"/>
    <col min="7171" max="7171" width="18.28515625" style="4" customWidth="1"/>
    <col min="7172" max="7172" width="20.140625" style="4" customWidth="1"/>
    <col min="7173" max="7173" width="10.7109375" style="4" customWidth="1"/>
    <col min="7174" max="7174" width="14.42578125" style="4" bestFit="1" customWidth="1"/>
    <col min="7175" max="7175" width="10.7109375" style="4" customWidth="1"/>
    <col min="7176" max="7176" width="12.7109375" style="4" bestFit="1" customWidth="1"/>
    <col min="7177" max="7179" width="8.42578125" style="4" customWidth="1"/>
    <col min="7180" max="7182" width="13" style="4" customWidth="1"/>
    <col min="7183" max="7186" width="9.140625" style="4"/>
    <col min="7187" max="7187" width="8.7109375" style="4" customWidth="1"/>
    <col min="7188" max="7421" width="9.140625" style="4"/>
    <col min="7422" max="7422" width="2.7109375" style="4" customWidth="1"/>
    <col min="7423" max="7423" width="114.42578125" style="4" customWidth="1"/>
    <col min="7424" max="7424" width="0" style="4" hidden="1" customWidth="1"/>
    <col min="7425" max="7425" width="27.5703125" style="4" customWidth="1"/>
    <col min="7426" max="7426" width="20" style="4" customWidth="1"/>
    <col min="7427" max="7427" width="18.28515625" style="4" customWidth="1"/>
    <col min="7428" max="7428" width="20.140625" style="4" customWidth="1"/>
    <col min="7429" max="7429" width="10.7109375" style="4" customWidth="1"/>
    <col min="7430" max="7430" width="14.42578125" style="4" bestFit="1" customWidth="1"/>
    <col min="7431" max="7431" width="10.7109375" style="4" customWidth="1"/>
    <col min="7432" max="7432" width="12.7109375" style="4" bestFit="1" customWidth="1"/>
    <col min="7433" max="7435" width="8.42578125" style="4" customWidth="1"/>
    <col min="7436" max="7438" width="13" style="4" customWidth="1"/>
    <col min="7439" max="7442" width="9.140625" style="4"/>
    <col min="7443" max="7443" width="8.7109375" style="4" customWidth="1"/>
    <col min="7444" max="7677" width="9.140625" style="4"/>
    <col min="7678" max="7678" width="2.7109375" style="4" customWidth="1"/>
    <col min="7679" max="7679" width="114.42578125" style="4" customWidth="1"/>
    <col min="7680" max="7680" width="0" style="4" hidden="1" customWidth="1"/>
    <col min="7681" max="7681" width="27.5703125" style="4" customWidth="1"/>
    <col min="7682" max="7682" width="20" style="4" customWidth="1"/>
    <col min="7683" max="7683" width="18.28515625" style="4" customWidth="1"/>
    <col min="7684" max="7684" width="20.140625" style="4" customWidth="1"/>
    <col min="7685" max="7685" width="10.7109375" style="4" customWidth="1"/>
    <col min="7686" max="7686" width="14.42578125" style="4" bestFit="1" customWidth="1"/>
    <col min="7687" max="7687" width="10.7109375" style="4" customWidth="1"/>
    <col min="7688" max="7688" width="12.7109375" style="4" bestFit="1" customWidth="1"/>
    <col min="7689" max="7691" width="8.42578125" style="4" customWidth="1"/>
    <col min="7692" max="7694" width="13" style="4" customWidth="1"/>
    <col min="7695" max="7698" width="9.140625" style="4"/>
    <col min="7699" max="7699" width="8.7109375" style="4" customWidth="1"/>
    <col min="7700" max="7933" width="9.140625" style="4"/>
    <col min="7934" max="7934" width="2.7109375" style="4" customWidth="1"/>
    <col min="7935" max="7935" width="114.42578125" style="4" customWidth="1"/>
    <col min="7936" max="7936" width="0" style="4" hidden="1" customWidth="1"/>
    <col min="7937" max="7937" width="27.5703125" style="4" customWidth="1"/>
    <col min="7938" max="7938" width="20" style="4" customWidth="1"/>
    <col min="7939" max="7939" width="18.28515625" style="4" customWidth="1"/>
    <col min="7940" max="7940" width="20.140625" style="4" customWidth="1"/>
    <col min="7941" max="7941" width="10.7109375" style="4" customWidth="1"/>
    <col min="7942" max="7942" width="14.42578125" style="4" bestFit="1" customWidth="1"/>
    <col min="7943" max="7943" width="10.7109375" style="4" customWidth="1"/>
    <col min="7944" max="7944" width="12.7109375" style="4" bestFit="1" customWidth="1"/>
    <col min="7945" max="7947" width="8.42578125" style="4" customWidth="1"/>
    <col min="7948" max="7950" width="13" style="4" customWidth="1"/>
    <col min="7951" max="7954" width="9.140625" style="4"/>
    <col min="7955" max="7955" width="8.7109375" style="4" customWidth="1"/>
    <col min="7956" max="8189" width="9.140625" style="4"/>
    <col min="8190" max="8190" width="2.7109375" style="4" customWidth="1"/>
    <col min="8191" max="8191" width="114.42578125" style="4" customWidth="1"/>
    <col min="8192" max="8192" width="0" style="4" hidden="1" customWidth="1"/>
    <col min="8193" max="8193" width="27.5703125" style="4" customWidth="1"/>
    <col min="8194" max="8194" width="20" style="4" customWidth="1"/>
    <col min="8195" max="8195" width="18.28515625" style="4" customWidth="1"/>
    <col min="8196" max="8196" width="20.140625" style="4" customWidth="1"/>
    <col min="8197" max="8197" width="10.7109375" style="4" customWidth="1"/>
    <col min="8198" max="8198" width="14.42578125" style="4" bestFit="1" customWidth="1"/>
    <col min="8199" max="8199" width="10.7109375" style="4" customWidth="1"/>
    <col min="8200" max="8200" width="12.7109375" style="4" bestFit="1" customWidth="1"/>
    <col min="8201" max="8203" width="8.42578125" style="4" customWidth="1"/>
    <col min="8204" max="8206" width="13" style="4" customWidth="1"/>
    <col min="8207" max="8210" width="9.140625" style="4"/>
    <col min="8211" max="8211" width="8.7109375" style="4" customWidth="1"/>
    <col min="8212" max="8445" width="9.140625" style="4"/>
    <col min="8446" max="8446" width="2.7109375" style="4" customWidth="1"/>
    <col min="8447" max="8447" width="114.42578125" style="4" customWidth="1"/>
    <col min="8448" max="8448" width="0" style="4" hidden="1" customWidth="1"/>
    <col min="8449" max="8449" width="27.5703125" style="4" customWidth="1"/>
    <col min="8450" max="8450" width="20" style="4" customWidth="1"/>
    <col min="8451" max="8451" width="18.28515625" style="4" customWidth="1"/>
    <col min="8452" max="8452" width="20.140625" style="4" customWidth="1"/>
    <col min="8453" max="8453" width="10.7109375" style="4" customWidth="1"/>
    <col min="8454" max="8454" width="14.42578125" style="4" bestFit="1" customWidth="1"/>
    <col min="8455" max="8455" width="10.7109375" style="4" customWidth="1"/>
    <col min="8456" max="8456" width="12.7109375" style="4" bestFit="1" customWidth="1"/>
    <col min="8457" max="8459" width="8.42578125" style="4" customWidth="1"/>
    <col min="8460" max="8462" width="13" style="4" customWidth="1"/>
    <col min="8463" max="8466" width="9.140625" style="4"/>
    <col min="8467" max="8467" width="8.7109375" style="4" customWidth="1"/>
    <col min="8468" max="8701" width="9.140625" style="4"/>
    <col min="8702" max="8702" width="2.7109375" style="4" customWidth="1"/>
    <col min="8703" max="8703" width="114.42578125" style="4" customWidth="1"/>
    <col min="8704" max="8704" width="0" style="4" hidden="1" customWidth="1"/>
    <col min="8705" max="8705" width="27.5703125" style="4" customWidth="1"/>
    <col min="8706" max="8706" width="20" style="4" customWidth="1"/>
    <col min="8707" max="8707" width="18.28515625" style="4" customWidth="1"/>
    <col min="8708" max="8708" width="20.140625" style="4" customWidth="1"/>
    <col min="8709" max="8709" width="10.7109375" style="4" customWidth="1"/>
    <col min="8710" max="8710" width="14.42578125" style="4" bestFit="1" customWidth="1"/>
    <col min="8711" max="8711" width="10.7109375" style="4" customWidth="1"/>
    <col min="8712" max="8712" width="12.7109375" style="4" bestFit="1" customWidth="1"/>
    <col min="8713" max="8715" width="8.42578125" style="4" customWidth="1"/>
    <col min="8716" max="8718" width="13" style="4" customWidth="1"/>
    <col min="8719" max="8722" width="9.140625" style="4"/>
    <col min="8723" max="8723" width="8.7109375" style="4" customWidth="1"/>
    <col min="8724" max="8957" width="9.140625" style="4"/>
    <col min="8958" max="8958" width="2.7109375" style="4" customWidth="1"/>
    <col min="8959" max="8959" width="114.42578125" style="4" customWidth="1"/>
    <col min="8960" max="8960" width="0" style="4" hidden="1" customWidth="1"/>
    <col min="8961" max="8961" width="27.5703125" style="4" customWidth="1"/>
    <col min="8962" max="8962" width="20" style="4" customWidth="1"/>
    <col min="8963" max="8963" width="18.28515625" style="4" customWidth="1"/>
    <col min="8964" max="8964" width="20.140625" style="4" customWidth="1"/>
    <col min="8965" max="8965" width="10.7109375" style="4" customWidth="1"/>
    <col min="8966" max="8966" width="14.42578125" style="4" bestFit="1" customWidth="1"/>
    <col min="8967" max="8967" width="10.7109375" style="4" customWidth="1"/>
    <col min="8968" max="8968" width="12.7109375" style="4" bestFit="1" customWidth="1"/>
    <col min="8969" max="8971" width="8.42578125" style="4" customWidth="1"/>
    <col min="8972" max="8974" width="13" style="4" customWidth="1"/>
    <col min="8975" max="8978" width="9.140625" style="4"/>
    <col min="8979" max="8979" width="8.7109375" style="4" customWidth="1"/>
    <col min="8980" max="9213" width="9.140625" style="4"/>
    <col min="9214" max="9214" width="2.7109375" style="4" customWidth="1"/>
    <col min="9215" max="9215" width="114.42578125" style="4" customWidth="1"/>
    <col min="9216" max="9216" width="0" style="4" hidden="1" customWidth="1"/>
    <col min="9217" max="9217" width="27.5703125" style="4" customWidth="1"/>
    <col min="9218" max="9218" width="20" style="4" customWidth="1"/>
    <col min="9219" max="9219" width="18.28515625" style="4" customWidth="1"/>
    <col min="9220" max="9220" width="20.140625" style="4" customWidth="1"/>
    <col min="9221" max="9221" width="10.7109375" style="4" customWidth="1"/>
    <col min="9222" max="9222" width="14.42578125" style="4" bestFit="1" customWidth="1"/>
    <col min="9223" max="9223" width="10.7109375" style="4" customWidth="1"/>
    <col min="9224" max="9224" width="12.7109375" style="4" bestFit="1" customWidth="1"/>
    <col min="9225" max="9227" width="8.42578125" style="4" customWidth="1"/>
    <col min="9228" max="9230" width="13" style="4" customWidth="1"/>
    <col min="9231" max="9234" width="9.140625" style="4"/>
    <col min="9235" max="9235" width="8.7109375" style="4" customWidth="1"/>
    <col min="9236" max="9469" width="9.140625" style="4"/>
    <col min="9470" max="9470" width="2.7109375" style="4" customWidth="1"/>
    <col min="9471" max="9471" width="114.42578125" style="4" customWidth="1"/>
    <col min="9472" max="9472" width="0" style="4" hidden="1" customWidth="1"/>
    <col min="9473" max="9473" width="27.5703125" style="4" customWidth="1"/>
    <col min="9474" max="9474" width="20" style="4" customWidth="1"/>
    <col min="9475" max="9475" width="18.28515625" style="4" customWidth="1"/>
    <col min="9476" max="9476" width="20.140625" style="4" customWidth="1"/>
    <col min="9477" max="9477" width="10.7109375" style="4" customWidth="1"/>
    <col min="9478" max="9478" width="14.42578125" style="4" bestFit="1" customWidth="1"/>
    <col min="9479" max="9479" width="10.7109375" style="4" customWidth="1"/>
    <col min="9480" max="9480" width="12.7109375" style="4" bestFit="1" customWidth="1"/>
    <col min="9481" max="9483" width="8.42578125" style="4" customWidth="1"/>
    <col min="9484" max="9486" width="13" style="4" customWidth="1"/>
    <col min="9487" max="9490" width="9.140625" style="4"/>
    <col min="9491" max="9491" width="8.7109375" style="4" customWidth="1"/>
    <col min="9492" max="9725" width="9.140625" style="4"/>
    <col min="9726" max="9726" width="2.7109375" style="4" customWidth="1"/>
    <col min="9727" max="9727" width="114.42578125" style="4" customWidth="1"/>
    <col min="9728" max="9728" width="0" style="4" hidden="1" customWidth="1"/>
    <col min="9729" max="9729" width="27.5703125" style="4" customWidth="1"/>
    <col min="9730" max="9730" width="20" style="4" customWidth="1"/>
    <col min="9731" max="9731" width="18.28515625" style="4" customWidth="1"/>
    <col min="9732" max="9732" width="20.140625" style="4" customWidth="1"/>
    <col min="9733" max="9733" width="10.7109375" style="4" customWidth="1"/>
    <col min="9734" max="9734" width="14.42578125" style="4" bestFit="1" customWidth="1"/>
    <col min="9735" max="9735" width="10.7109375" style="4" customWidth="1"/>
    <col min="9736" max="9736" width="12.7109375" style="4" bestFit="1" customWidth="1"/>
    <col min="9737" max="9739" width="8.42578125" style="4" customWidth="1"/>
    <col min="9740" max="9742" width="13" style="4" customWidth="1"/>
    <col min="9743" max="9746" width="9.140625" style="4"/>
    <col min="9747" max="9747" width="8.7109375" style="4" customWidth="1"/>
    <col min="9748" max="9981" width="9.140625" style="4"/>
    <col min="9982" max="9982" width="2.7109375" style="4" customWidth="1"/>
    <col min="9983" max="9983" width="114.42578125" style="4" customWidth="1"/>
    <col min="9984" max="9984" width="0" style="4" hidden="1" customWidth="1"/>
    <col min="9985" max="9985" width="27.5703125" style="4" customWidth="1"/>
    <col min="9986" max="9986" width="20" style="4" customWidth="1"/>
    <col min="9987" max="9987" width="18.28515625" style="4" customWidth="1"/>
    <col min="9988" max="9988" width="20.140625" style="4" customWidth="1"/>
    <col min="9989" max="9989" width="10.7109375" style="4" customWidth="1"/>
    <col min="9990" max="9990" width="14.42578125" style="4" bestFit="1" customWidth="1"/>
    <col min="9991" max="9991" width="10.7109375" style="4" customWidth="1"/>
    <col min="9992" max="9992" width="12.7109375" style="4" bestFit="1" customWidth="1"/>
    <col min="9993" max="9995" width="8.42578125" style="4" customWidth="1"/>
    <col min="9996" max="9998" width="13" style="4" customWidth="1"/>
    <col min="9999" max="10002" width="9.140625" style="4"/>
    <col min="10003" max="10003" width="8.7109375" style="4" customWidth="1"/>
    <col min="10004" max="10237" width="9.140625" style="4"/>
    <col min="10238" max="10238" width="2.7109375" style="4" customWidth="1"/>
    <col min="10239" max="10239" width="114.42578125" style="4" customWidth="1"/>
    <col min="10240" max="10240" width="0" style="4" hidden="1" customWidth="1"/>
    <col min="10241" max="10241" width="27.5703125" style="4" customWidth="1"/>
    <col min="10242" max="10242" width="20" style="4" customWidth="1"/>
    <col min="10243" max="10243" width="18.28515625" style="4" customWidth="1"/>
    <col min="10244" max="10244" width="20.140625" style="4" customWidth="1"/>
    <col min="10245" max="10245" width="10.7109375" style="4" customWidth="1"/>
    <col min="10246" max="10246" width="14.42578125" style="4" bestFit="1" customWidth="1"/>
    <col min="10247" max="10247" width="10.7109375" style="4" customWidth="1"/>
    <col min="10248" max="10248" width="12.7109375" style="4" bestFit="1" customWidth="1"/>
    <col min="10249" max="10251" width="8.42578125" style="4" customWidth="1"/>
    <col min="10252" max="10254" width="13" style="4" customWidth="1"/>
    <col min="10255" max="10258" width="9.140625" style="4"/>
    <col min="10259" max="10259" width="8.7109375" style="4" customWidth="1"/>
    <col min="10260" max="10493" width="9.140625" style="4"/>
    <col min="10494" max="10494" width="2.7109375" style="4" customWidth="1"/>
    <col min="10495" max="10495" width="114.42578125" style="4" customWidth="1"/>
    <col min="10496" max="10496" width="0" style="4" hidden="1" customWidth="1"/>
    <col min="10497" max="10497" width="27.5703125" style="4" customWidth="1"/>
    <col min="10498" max="10498" width="20" style="4" customWidth="1"/>
    <col min="10499" max="10499" width="18.28515625" style="4" customWidth="1"/>
    <col min="10500" max="10500" width="20.140625" style="4" customWidth="1"/>
    <col min="10501" max="10501" width="10.7109375" style="4" customWidth="1"/>
    <col min="10502" max="10502" width="14.42578125" style="4" bestFit="1" customWidth="1"/>
    <col min="10503" max="10503" width="10.7109375" style="4" customWidth="1"/>
    <col min="10504" max="10504" width="12.7109375" style="4" bestFit="1" customWidth="1"/>
    <col min="10505" max="10507" width="8.42578125" style="4" customWidth="1"/>
    <col min="10508" max="10510" width="13" style="4" customWidth="1"/>
    <col min="10511" max="10514" width="9.140625" style="4"/>
    <col min="10515" max="10515" width="8.7109375" style="4" customWidth="1"/>
    <col min="10516" max="10749" width="9.140625" style="4"/>
    <col min="10750" max="10750" width="2.7109375" style="4" customWidth="1"/>
    <col min="10751" max="10751" width="114.42578125" style="4" customWidth="1"/>
    <col min="10752" max="10752" width="0" style="4" hidden="1" customWidth="1"/>
    <col min="10753" max="10753" width="27.5703125" style="4" customWidth="1"/>
    <col min="10754" max="10754" width="20" style="4" customWidth="1"/>
    <col min="10755" max="10755" width="18.28515625" style="4" customWidth="1"/>
    <col min="10756" max="10756" width="20.140625" style="4" customWidth="1"/>
    <col min="10757" max="10757" width="10.7109375" style="4" customWidth="1"/>
    <col min="10758" max="10758" width="14.42578125" style="4" bestFit="1" customWidth="1"/>
    <col min="10759" max="10759" width="10.7109375" style="4" customWidth="1"/>
    <col min="10760" max="10760" width="12.7109375" style="4" bestFit="1" customWidth="1"/>
    <col min="10761" max="10763" width="8.42578125" style="4" customWidth="1"/>
    <col min="10764" max="10766" width="13" style="4" customWidth="1"/>
    <col min="10767" max="10770" width="9.140625" style="4"/>
    <col min="10771" max="10771" width="8.7109375" style="4" customWidth="1"/>
    <col min="10772" max="11005" width="9.140625" style="4"/>
    <col min="11006" max="11006" width="2.7109375" style="4" customWidth="1"/>
    <col min="11007" max="11007" width="114.42578125" style="4" customWidth="1"/>
    <col min="11008" max="11008" width="0" style="4" hidden="1" customWidth="1"/>
    <col min="11009" max="11009" width="27.5703125" style="4" customWidth="1"/>
    <col min="11010" max="11010" width="20" style="4" customWidth="1"/>
    <col min="11011" max="11011" width="18.28515625" style="4" customWidth="1"/>
    <col min="11012" max="11012" width="20.140625" style="4" customWidth="1"/>
    <col min="11013" max="11013" width="10.7109375" style="4" customWidth="1"/>
    <col min="11014" max="11014" width="14.42578125" style="4" bestFit="1" customWidth="1"/>
    <col min="11015" max="11015" width="10.7109375" style="4" customWidth="1"/>
    <col min="11016" max="11016" width="12.7109375" style="4" bestFit="1" customWidth="1"/>
    <col min="11017" max="11019" width="8.42578125" style="4" customWidth="1"/>
    <col min="11020" max="11022" width="13" style="4" customWidth="1"/>
    <col min="11023" max="11026" width="9.140625" style="4"/>
    <col min="11027" max="11027" width="8.7109375" style="4" customWidth="1"/>
    <col min="11028" max="11261" width="9.140625" style="4"/>
    <col min="11262" max="11262" width="2.7109375" style="4" customWidth="1"/>
    <col min="11263" max="11263" width="114.42578125" style="4" customWidth="1"/>
    <col min="11264" max="11264" width="0" style="4" hidden="1" customWidth="1"/>
    <col min="11265" max="11265" width="27.5703125" style="4" customWidth="1"/>
    <col min="11266" max="11266" width="20" style="4" customWidth="1"/>
    <col min="11267" max="11267" width="18.28515625" style="4" customWidth="1"/>
    <col min="11268" max="11268" width="20.140625" style="4" customWidth="1"/>
    <col min="11269" max="11269" width="10.7109375" style="4" customWidth="1"/>
    <col min="11270" max="11270" width="14.42578125" style="4" bestFit="1" customWidth="1"/>
    <col min="11271" max="11271" width="10.7109375" style="4" customWidth="1"/>
    <col min="11272" max="11272" width="12.7109375" style="4" bestFit="1" customWidth="1"/>
    <col min="11273" max="11275" width="8.42578125" style="4" customWidth="1"/>
    <col min="11276" max="11278" width="13" style="4" customWidth="1"/>
    <col min="11279" max="11282" width="9.140625" style="4"/>
    <col min="11283" max="11283" width="8.7109375" style="4" customWidth="1"/>
    <col min="11284" max="11517" width="9.140625" style="4"/>
    <col min="11518" max="11518" width="2.7109375" style="4" customWidth="1"/>
    <col min="11519" max="11519" width="114.42578125" style="4" customWidth="1"/>
    <col min="11520" max="11520" width="0" style="4" hidden="1" customWidth="1"/>
    <col min="11521" max="11521" width="27.5703125" style="4" customWidth="1"/>
    <col min="11522" max="11522" width="20" style="4" customWidth="1"/>
    <col min="11523" max="11523" width="18.28515625" style="4" customWidth="1"/>
    <col min="11524" max="11524" width="20.140625" style="4" customWidth="1"/>
    <col min="11525" max="11525" width="10.7109375" style="4" customWidth="1"/>
    <col min="11526" max="11526" width="14.42578125" style="4" bestFit="1" customWidth="1"/>
    <col min="11527" max="11527" width="10.7109375" style="4" customWidth="1"/>
    <col min="11528" max="11528" width="12.7109375" style="4" bestFit="1" customWidth="1"/>
    <col min="11529" max="11531" width="8.42578125" style="4" customWidth="1"/>
    <col min="11532" max="11534" width="13" style="4" customWidth="1"/>
    <col min="11535" max="11538" width="9.140625" style="4"/>
    <col min="11539" max="11539" width="8.7109375" style="4" customWidth="1"/>
    <col min="11540" max="11773" width="9.140625" style="4"/>
    <col min="11774" max="11774" width="2.7109375" style="4" customWidth="1"/>
    <col min="11775" max="11775" width="114.42578125" style="4" customWidth="1"/>
    <col min="11776" max="11776" width="0" style="4" hidden="1" customWidth="1"/>
    <col min="11777" max="11777" width="27.5703125" style="4" customWidth="1"/>
    <col min="11778" max="11778" width="20" style="4" customWidth="1"/>
    <col min="11779" max="11779" width="18.28515625" style="4" customWidth="1"/>
    <col min="11780" max="11780" width="20.140625" style="4" customWidth="1"/>
    <col min="11781" max="11781" width="10.7109375" style="4" customWidth="1"/>
    <col min="11782" max="11782" width="14.42578125" style="4" bestFit="1" customWidth="1"/>
    <col min="11783" max="11783" width="10.7109375" style="4" customWidth="1"/>
    <col min="11784" max="11784" width="12.7109375" style="4" bestFit="1" customWidth="1"/>
    <col min="11785" max="11787" width="8.42578125" style="4" customWidth="1"/>
    <col min="11788" max="11790" width="13" style="4" customWidth="1"/>
    <col min="11791" max="11794" width="9.140625" style="4"/>
    <col min="11795" max="11795" width="8.7109375" style="4" customWidth="1"/>
    <col min="11796" max="12029" width="9.140625" style="4"/>
    <col min="12030" max="12030" width="2.7109375" style="4" customWidth="1"/>
    <col min="12031" max="12031" width="114.42578125" style="4" customWidth="1"/>
    <col min="12032" max="12032" width="0" style="4" hidden="1" customWidth="1"/>
    <col min="12033" max="12033" width="27.5703125" style="4" customWidth="1"/>
    <col min="12034" max="12034" width="20" style="4" customWidth="1"/>
    <col min="12035" max="12035" width="18.28515625" style="4" customWidth="1"/>
    <col min="12036" max="12036" width="20.140625" style="4" customWidth="1"/>
    <col min="12037" max="12037" width="10.7109375" style="4" customWidth="1"/>
    <col min="12038" max="12038" width="14.42578125" style="4" bestFit="1" customWidth="1"/>
    <col min="12039" max="12039" width="10.7109375" style="4" customWidth="1"/>
    <col min="12040" max="12040" width="12.7109375" style="4" bestFit="1" customWidth="1"/>
    <col min="12041" max="12043" width="8.42578125" style="4" customWidth="1"/>
    <col min="12044" max="12046" width="13" style="4" customWidth="1"/>
    <col min="12047" max="12050" width="9.140625" style="4"/>
    <col min="12051" max="12051" width="8.7109375" style="4" customWidth="1"/>
    <col min="12052" max="12285" width="9.140625" style="4"/>
    <col min="12286" max="12286" width="2.7109375" style="4" customWidth="1"/>
    <col min="12287" max="12287" width="114.42578125" style="4" customWidth="1"/>
    <col min="12288" max="12288" width="0" style="4" hidden="1" customWidth="1"/>
    <col min="12289" max="12289" width="27.5703125" style="4" customWidth="1"/>
    <col min="12290" max="12290" width="20" style="4" customWidth="1"/>
    <col min="12291" max="12291" width="18.28515625" style="4" customWidth="1"/>
    <col min="12292" max="12292" width="20.140625" style="4" customWidth="1"/>
    <col min="12293" max="12293" width="10.7109375" style="4" customWidth="1"/>
    <col min="12294" max="12294" width="14.42578125" style="4" bestFit="1" customWidth="1"/>
    <col min="12295" max="12295" width="10.7109375" style="4" customWidth="1"/>
    <col min="12296" max="12296" width="12.7109375" style="4" bestFit="1" customWidth="1"/>
    <col min="12297" max="12299" width="8.42578125" style="4" customWidth="1"/>
    <col min="12300" max="12302" width="13" style="4" customWidth="1"/>
    <col min="12303" max="12306" width="9.140625" style="4"/>
    <col min="12307" max="12307" width="8.7109375" style="4" customWidth="1"/>
    <col min="12308" max="12541" width="9.140625" style="4"/>
    <col min="12542" max="12542" width="2.7109375" style="4" customWidth="1"/>
    <col min="12543" max="12543" width="114.42578125" style="4" customWidth="1"/>
    <col min="12544" max="12544" width="0" style="4" hidden="1" customWidth="1"/>
    <col min="12545" max="12545" width="27.5703125" style="4" customWidth="1"/>
    <col min="12546" max="12546" width="20" style="4" customWidth="1"/>
    <col min="12547" max="12547" width="18.28515625" style="4" customWidth="1"/>
    <col min="12548" max="12548" width="20.140625" style="4" customWidth="1"/>
    <col min="12549" max="12549" width="10.7109375" style="4" customWidth="1"/>
    <col min="12550" max="12550" width="14.42578125" style="4" bestFit="1" customWidth="1"/>
    <col min="12551" max="12551" width="10.7109375" style="4" customWidth="1"/>
    <col min="12552" max="12552" width="12.7109375" style="4" bestFit="1" customWidth="1"/>
    <col min="12553" max="12555" width="8.42578125" style="4" customWidth="1"/>
    <col min="12556" max="12558" width="13" style="4" customWidth="1"/>
    <col min="12559" max="12562" width="9.140625" style="4"/>
    <col min="12563" max="12563" width="8.7109375" style="4" customWidth="1"/>
    <col min="12564" max="12797" width="9.140625" style="4"/>
    <col min="12798" max="12798" width="2.7109375" style="4" customWidth="1"/>
    <col min="12799" max="12799" width="114.42578125" style="4" customWidth="1"/>
    <col min="12800" max="12800" width="0" style="4" hidden="1" customWidth="1"/>
    <col min="12801" max="12801" width="27.5703125" style="4" customWidth="1"/>
    <col min="12802" max="12802" width="20" style="4" customWidth="1"/>
    <col min="12803" max="12803" width="18.28515625" style="4" customWidth="1"/>
    <col min="12804" max="12804" width="20.140625" style="4" customWidth="1"/>
    <col min="12805" max="12805" width="10.7109375" style="4" customWidth="1"/>
    <col min="12806" max="12806" width="14.42578125" style="4" bestFit="1" customWidth="1"/>
    <col min="12807" max="12807" width="10.7109375" style="4" customWidth="1"/>
    <col min="12808" max="12808" width="12.7109375" style="4" bestFit="1" customWidth="1"/>
    <col min="12809" max="12811" width="8.42578125" style="4" customWidth="1"/>
    <col min="12812" max="12814" width="13" style="4" customWidth="1"/>
    <col min="12815" max="12818" width="9.140625" style="4"/>
    <col min="12819" max="12819" width="8.7109375" style="4" customWidth="1"/>
    <col min="12820" max="13053" width="9.140625" style="4"/>
    <col min="13054" max="13054" width="2.7109375" style="4" customWidth="1"/>
    <col min="13055" max="13055" width="114.42578125" style="4" customWidth="1"/>
    <col min="13056" max="13056" width="0" style="4" hidden="1" customWidth="1"/>
    <col min="13057" max="13057" width="27.5703125" style="4" customWidth="1"/>
    <col min="13058" max="13058" width="20" style="4" customWidth="1"/>
    <col min="13059" max="13059" width="18.28515625" style="4" customWidth="1"/>
    <col min="13060" max="13060" width="20.140625" style="4" customWidth="1"/>
    <col min="13061" max="13061" width="10.7109375" style="4" customWidth="1"/>
    <col min="13062" max="13062" width="14.42578125" style="4" bestFit="1" customWidth="1"/>
    <col min="13063" max="13063" width="10.7109375" style="4" customWidth="1"/>
    <col min="13064" max="13064" width="12.7109375" style="4" bestFit="1" customWidth="1"/>
    <col min="13065" max="13067" width="8.42578125" style="4" customWidth="1"/>
    <col min="13068" max="13070" width="13" style="4" customWidth="1"/>
    <col min="13071" max="13074" width="9.140625" style="4"/>
    <col min="13075" max="13075" width="8.7109375" style="4" customWidth="1"/>
    <col min="13076" max="13309" width="9.140625" style="4"/>
    <col min="13310" max="13310" width="2.7109375" style="4" customWidth="1"/>
    <col min="13311" max="13311" width="114.42578125" style="4" customWidth="1"/>
    <col min="13312" max="13312" width="0" style="4" hidden="1" customWidth="1"/>
    <col min="13313" max="13313" width="27.5703125" style="4" customWidth="1"/>
    <col min="13314" max="13314" width="20" style="4" customWidth="1"/>
    <col min="13315" max="13315" width="18.28515625" style="4" customWidth="1"/>
    <col min="13316" max="13316" width="20.140625" style="4" customWidth="1"/>
    <col min="13317" max="13317" width="10.7109375" style="4" customWidth="1"/>
    <col min="13318" max="13318" width="14.42578125" style="4" bestFit="1" customWidth="1"/>
    <col min="13319" max="13319" width="10.7109375" style="4" customWidth="1"/>
    <col min="13320" max="13320" width="12.7109375" style="4" bestFit="1" customWidth="1"/>
    <col min="13321" max="13323" width="8.42578125" style="4" customWidth="1"/>
    <col min="13324" max="13326" width="13" style="4" customWidth="1"/>
    <col min="13327" max="13330" width="9.140625" style="4"/>
    <col min="13331" max="13331" width="8.7109375" style="4" customWidth="1"/>
    <col min="13332" max="13565" width="9.140625" style="4"/>
    <col min="13566" max="13566" width="2.7109375" style="4" customWidth="1"/>
    <col min="13567" max="13567" width="114.42578125" style="4" customWidth="1"/>
    <col min="13568" max="13568" width="0" style="4" hidden="1" customWidth="1"/>
    <col min="13569" max="13569" width="27.5703125" style="4" customWidth="1"/>
    <col min="13570" max="13570" width="20" style="4" customWidth="1"/>
    <col min="13571" max="13571" width="18.28515625" style="4" customWidth="1"/>
    <col min="13572" max="13572" width="20.140625" style="4" customWidth="1"/>
    <col min="13573" max="13573" width="10.7109375" style="4" customWidth="1"/>
    <col min="13574" max="13574" width="14.42578125" style="4" bestFit="1" customWidth="1"/>
    <col min="13575" max="13575" width="10.7109375" style="4" customWidth="1"/>
    <col min="13576" max="13576" width="12.7109375" style="4" bestFit="1" customWidth="1"/>
    <col min="13577" max="13579" width="8.42578125" style="4" customWidth="1"/>
    <col min="13580" max="13582" width="13" style="4" customWidth="1"/>
    <col min="13583" max="13586" width="9.140625" style="4"/>
    <col min="13587" max="13587" width="8.7109375" style="4" customWidth="1"/>
    <col min="13588" max="13821" width="9.140625" style="4"/>
    <col min="13822" max="13822" width="2.7109375" style="4" customWidth="1"/>
    <col min="13823" max="13823" width="114.42578125" style="4" customWidth="1"/>
    <col min="13824" max="13824" width="0" style="4" hidden="1" customWidth="1"/>
    <col min="13825" max="13825" width="27.5703125" style="4" customWidth="1"/>
    <col min="13826" max="13826" width="20" style="4" customWidth="1"/>
    <col min="13827" max="13827" width="18.28515625" style="4" customWidth="1"/>
    <col min="13828" max="13828" width="20.140625" style="4" customWidth="1"/>
    <col min="13829" max="13829" width="10.7109375" style="4" customWidth="1"/>
    <col min="13830" max="13830" width="14.42578125" style="4" bestFit="1" customWidth="1"/>
    <col min="13831" max="13831" width="10.7109375" style="4" customWidth="1"/>
    <col min="13832" max="13832" width="12.7109375" style="4" bestFit="1" customWidth="1"/>
    <col min="13833" max="13835" width="8.42578125" style="4" customWidth="1"/>
    <col min="13836" max="13838" width="13" style="4" customWidth="1"/>
    <col min="13839" max="13842" width="9.140625" style="4"/>
    <col min="13843" max="13843" width="8.7109375" style="4" customWidth="1"/>
    <col min="13844" max="14077" width="9.140625" style="4"/>
    <col min="14078" max="14078" width="2.7109375" style="4" customWidth="1"/>
    <col min="14079" max="14079" width="114.42578125" style="4" customWidth="1"/>
    <col min="14080" max="14080" width="0" style="4" hidden="1" customWidth="1"/>
    <col min="14081" max="14081" width="27.5703125" style="4" customWidth="1"/>
    <col min="14082" max="14082" width="20" style="4" customWidth="1"/>
    <col min="14083" max="14083" width="18.28515625" style="4" customWidth="1"/>
    <col min="14084" max="14084" width="20.140625" style="4" customWidth="1"/>
    <col min="14085" max="14085" width="10.7109375" style="4" customWidth="1"/>
    <col min="14086" max="14086" width="14.42578125" style="4" bestFit="1" customWidth="1"/>
    <col min="14087" max="14087" width="10.7109375" style="4" customWidth="1"/>
    <col min="14088" max="14088" width="12.7109375" style="4" bestFit="1" customWidth="1"/>
    <col min="14089" max="14091" width="8.42578125" style="4" customWidth="1"/>
    <col min="14092" max="14094" width="13" style="4" customWidth="1"/>
    <col min="14095" max="14098" width="9.140625" style="4"/>
    <col min="14099" max="14099" width="8.7109375" style="4" customWidth="1"/>
    <col min="14100" max="14333" width="9.140625" style="4"/>
    <col min="14334" max="14334" width="2.7109375" style="4" customWidth="1"/>
    <col min="14335" max="14335" width="114.42578125" style="4" customWidth="1"/>
    <col min="14336" max="14336" width="0" style="4" hidden="1" customWidth="1"/>
    <col min="14337" max="14337" width="27.5703125" style="4" customWidth="1"/>
    <col min="14338" max="14338" width="20" style="4" customWidth="1"/>
    <col min="14339" max="14339" width="18.28515625" style="4" customWidth="1"/>
    <col min="14340" max="14340" width="20.140625" style="4" customWidth="1"/>
    <col min="14341" max="14341" width="10.7109375" style="4" customWidth="1"/>
    <col min="14342" max="14342" width="14.42578125" style="4" bestFit="1" customWidth="1"/>
    <col min="14343" max="14343" width="10.7109375" style="4" customWidth="1"/>
    <col min="14344" max="14344" width="12.7109375" style="4" bestFit="1" customWidth="1"/>
    <col min="14345" max="14347" width="8.42578125" style="4" customWidth="1"/>
    <col min="14348" max="14350" width="13" style="4" customWidth="1"/>
    <col min="14351" max="14354" width="9.140625" style="4"/>
    <col min="14355" max="14355" width="8.7109375" style="4" customWidth="1"/>
    <col min="14356" max="14589" width="9.140625" style="4"/>
    <col min="14590" max="14590" width="2.7109375" style="4" customWidth="1"/>
    <col min="14591" max="14591" width="114.42578125" style="4" customWidth="1"/>
    <col min="14592" max="14592" width="0" style="4" hidden="1" customWidth="1"/>
    <col min="14593" max="14593" width="27.5703125" style="4" customWidth="1"/>
    <col min="14594" max="14594" width="20" style="4" customWidth="1"/>
    <col min="14595" max="14595" width="18.28515625" style="4" customWidth="1"/>
    <col min="14596" max="14596" width="20.140625" style="4" customWidth="1"/>
    <col min="14597" max="14597" width="10.7109375" style="4" customWidth="1"/>
    <col min="14598" max="14598" width="14.42578125" style="4" bestFit="1" customWidth="1"/>
    <col min="14599" max="14599" width="10.7109375" style="4" customWidth="1"/>
    <col min="14600" max="14600" width="12.7109375" style="4" bestFit="1" customWidth="1"/>
    <col min="14601" max="14603" width="8.42578125" style="4" customWidth="1"/>
    <col min="14604" max="14606" width="13" style="4" customWidth="1"/>
    <col min="14607" max="14610" width="9.140625" style="4"/>
    <col min="14611" max="14611" width="8.7109375" style="4" customWidth="1"/>
    <col min="14612" max="14845" width="9.140625" style="4"/>
    <col min="14846" max="14846" width="2.7109375" style="4" customWidth="1"/>
    <col min="14847" max="14847" width="114.42578125" style="4" customWidth="1"/>
    <col min="14848" max="14848" width="0" style="4" hidden="1" customWidth="1"/>
    <col min="14849" max="14849" width="27.5703125" style="4" customWidth="1"/>
    <col min="14850" max="14850" width="20" style="4" customWidth="1"/>
    <col min="14851" max="14851" width="18.28515625" style="4" customWidth="1"/>
    <col min="14852" max="14852" width="20.140625" style="4" customWidth="1"/>
    <col min="14853" max="14853" width="10.7109375" style="4" customWidth="1"/>
    <col min="14854" max="14854" width="14.42578125" style="4" bestFit="1" customWidth="1"/>
    <col min="14855" max="14855" width="10.7109375" style="4" customWidth="1"/>
    <col min="14856" max="14856" width="12.7109375" style="4" bestFit="1" customWidth="1"/>
    <col min="14857" max="14859" width="8.42578125" style="4" customWidth="1"/>
    <col min="14860" max="14862" width="13" style="4" customWidth="1"/>
    <col min="14863" max="14866" width="9.140625" style="4"/>
    <col min="14867" max="14867" width="8.7109375" style="4" customWidth="1"/>
    <col min="14868" max="15101" width="9.140625" style="4"/>
    <col min="15102" max="15102" width="2.7109375" style="4" customWidth="1"/>
    <col min="15103" max="15103" width="114.42578125" style="4" customWidth="1"/>
    <col min="15104" max="15104" width="0" style="4" hidden="1" customWidth="1"/>
    <col min="15105" max="15105" width="27.5703125" style="4" customWidth="1"/>
    <col min="15106" max="15106" width="20" style="4" customWidth="1"/>
    <col min="15107" max="15107" width="18.28515625" style="4" customWidth="1"/>
    <col min="15108" max="15108" width="20.140625" style="4" customWidth="1"/>
    <col min="15109" max="15109" width="10.7109375" style="4" customWidth="1"/>
    <col min="15110" max="15110" width="14.42578125" style="4" bestFit="1" customWidth="1"/>
    <col min="15111" max="15111" width="10.7109375" style="4" customWidth="1"/>
    <col min="15112" max="15112" width="12.7109375" style="4" bestFit="1" customWidth="1"/>
    <col min="15113" max="15115" width="8.42578125" style="4" customWidth="1"/>
    <col min="15116" max="15118" width="13" style="4" customWidth="1"/>
    <col min="15119" max="15122" width="9.140625" style="4"/>
    <col min="15123" max="15123" width="8.7109375" style="4" customWidth="1"/>
    <col min="15124" max="15357" width="9.140625" style="4"/>
    <col min="15358" max="15358" width="2.7109375" style="4" customWidth="1"/>
    <col min="15359" max="15359" width="114.42578125" style="4" customWidth="1"/>
    <col min="15360" max="15360" width="0" style="4" hidden="1" customWidth="1"/>
    <col min="15361" max="15361" width="27.5703125" style="4" customWidth="1"/>
    <col min="15362" max="15362" width="20" style="4" customWidth="1"/>
    <col min="15363" max="15363" width="18.28515625" style="4" customWidth="1"/>
    <col min="15364" max="15364" width="20.140625" style="4" customWidth="1"/>
    <col min="15365" max="15365" width="10.7109375" style="4" customWidth="1"/>
    <col min="15366" max="15366" width="14.42578125" style="4" bestFit="1" customWidth="1"/>
    <col min="15367" max="15367" width="10.7109375" style="4" customWidth="1"/>
    <col min="15368" max="15368" width="12.7109375" style="4" bestFit="1" customWidth="1"/>
    <col min="15369" max="15371" width="8.42578125" style="4" customWidth="1"/>
    <col min="15372" max="15374" width="13" style="4" customWidth="1"/>
    <col min="15375" max="15378" width="9.140625" style="4"/>
    <col min="15379" max="15379" width="8.7109375" style="4" customWidth="1"/>
    <col min="15380" max="15613" width="9.140625" style="4"/>
    <col min="15614" max="15614" width="2.7109375" style="4" customWidth="1"/>
    <col min="15615" max="15615" width="114.42578125" style="4" customWidth="1"/>
    <col min="15616" max="15616" width="0" style="4" hidden="1" customWidth="1"/>
    <col min="15617" max="15617" width="27.5703125" style="4" customWidth="1"/>
    <col min="15618" max="15618" width="20" style="4" customWidth="1"/>
    <col min="15619" max="15619" width="18.28515625" style="4" customWidth="1"/>
    <col min="15620" max="15620" width="20.140625" style="4" customWidth="1"/>
    <col min="15621" max="15621" width="10.7109375" style="4" customWidth="1"/>
    <col min="15622" max="15622" width="14.42578125" style="4" bestFit="1" customWidth="1"/>
    <col min="15623" max="15623" width="10.7109375" style="4" customWidth="1"/>
    <col min="15624" max="15624" width="12.7109375" style="4" bestFit="1" customWidth="1"/>
    <col min="15625" max="15627" width="8.42578125" style="4" customWidth="1"/>
    <col min="15628" max="15630" width="13" style="4" customWidth="1"/>
    <col min="15631" max="15634" width="9.140625" style="4"/>
    <col min="15635" max="15635" width="8.7109375" style="4" customWidth="1"/>
    <col min="15636" max="15869" width="9.140625" style="4"/>
    <col min="15870" max="15870" width="2.7109375" style="4" customWidth="1"/>
    <col min="15871" max="15871" width="114.42578125" style="4" customWidth="1"/>
    <col min="15872" max="15872" width="0" style="4" hidden="1" customWidth="1"/>
    <col min="15873" max="15873" width="27.5703125" style="4" customWidth="1"/>
    <col min="15874" max="15874" width="20" style="4" customWidth="1"/>
    <col min="15875" max="15875" width="18.28515625" style="4" customWidth="1"/>
    <col min="15876" max="15876" width="20.140625" style="4" customWidth="1"/>
    <col min="15877" max="15877" width="10.7109375" style="4" customWidth="1"/>
    <col min="15878" max="15878" width="14.42578125" style="4" bestFit="1" customWidth="1"/>
    <col min="15879" max="15879" width="10.7109375" style="4" customWidth="1"/>
    <col min="15880" max="15880" width="12.7109375" style="4" bestFit="1" customWidth="1"/>
    <col min="15881" max="15883" width="8.42578125" style="4" customWidth="1"/>
    <col min="15884" max="15886" width="13" style="4" customWidth="1"/>
    <col min="15887" max="15890" width="9.140625" style="4"/>
    <col min="15891" max="15891" width="8.7109375" style="4" customWidth="1"/>
    <col min="15892" max="16125" width="9.140625" style="4"/>
    <col min="16126" max="16126" width="2.7109375" style="4" customWidth="1"/>
    <col min="16127" max="16127" width="114.42578125" style="4" customWidth="1"/>
    <col min="16128" max="16128" width="0" style="4" hidden="1" customWidth="1"/>
    <col min="16129" max="16129" width="27.5703125" style="4" customWidth="1"/>
    <col min="16130" max="16130" width="20" style="4" customWidth="1"/>
    <col min="16131" max="16131" width="18.28515625" style="4" customWidth="1"/>
    <col min="16132" max="16132" width="20.140625" style="4" customWidth="1"/>
    <col min="16133" max="16133" width="10.7109375" style="4" customWidth="1"/>
    <col min="16134" max="16134" width="14.42578125" style="4" bestFit="1" customWidth="1"/>
    <col min="16135" max="16135" width="10.7109375" style="4" customWidth="1"/>
    <col min="16136" max="16136" width="12.7109375" style="4" bestFit="1" customWidth="1"/>
    <col min="16137" max="16139" width="8.42578125" style="4" customWidth="1"/>
    <col min="16140" max="16142" width="13" style="4" customWidth="1"/>
    <col min="16143" max="16146" width="9.140625" style="4"/>
    <col min="16147" max="16147" width="8.7109375" style="4" customWidth="1"/>
    <col min="16148" max="16384" width="9.140625" style="4"/>
  </cols>
  <sheetData>
    <row r="2" spans="1:30" ht="15">
      <c r="B2" s="483" t="str">
        <f>"Tariff Approval - "&amp;Input!$E$3</f>
        <v>Tariff Approval - United Energy</v>
      </c>
      <c r="C2" s="276" t="s">
        <v>187</v>
      </c>
      <c r="D2" s="7"/>
      <c r="E2" s="64"/>
      <c r="K2" s="35"/>
      <c r="L2" s="35"/>
      <c r="M2" s="35"/>
      <c r="N2" s="35"/>
      <c r="O2" s="35"/>
      <c r="P2" s="35"/>
    </row>
    <row r="3" spans="1:30" ht="15">
      <c r="B3" s="61"/>
      <c r="D3" s="7"/>
      <c r="K3" s="35"/>
      <c r="L3" s="35"/>
      <c r="M3" s="35"/>
      <c r="N3" s="35"/>
      <c r="O3" s="35"/>
      <c r="P3" s="35"/>
    </row>
    <row r="4" spans="1:30" ht="18.75">
      <c r="B4" s="481" t="s">
        <v>164</v>
      </c>
      <c r="C4" s="482"/>
      <c r="D4" s="7"/>
      <c r="K4" s="35"/>
      <c r="L4" s="35"/>
      <c r="M4" s="35"/>
      <c r="N4" s="35"/>
      <c r="O4" s="35"/>
      <c r="P4" s="35"/>
    </row>
    <row r="5" spans="1:30" ht="15">
      <c r="B5" s="8"/>
      <c r="D5" s="7"/>
      <c r="K5" s="35"/>
      <c r="L5" s="35"/>
      <c r="M5" s="35"/>
      <c r="N5" s="35"/>
      <c r="O5" s="35"/>
      <c r="P5" s="35"/>
    </row>
    <row r="6" spans="1:30" ht="15.75">
      <c r="B6" s="484" t="s">
        <v>54</v>
      </c>
      <c r="C6" s="485" t="str">
        <f>Input!E7</f>
        <v>2021/22</v>
      </c>
      <c r="D6" s="7"/>
      <c r="E6" s="88" t="s">
        <v>61</v>
      </c>
      <c r="F6" s="2"/>
      <c r="G6" s="2"/>
      <c r="H6" s="3"/>
      <c r="K6" s="35"/>
      <c r="L6" s="35"/>
      <c r="M6" s="35"/>
    </row>
    <row r="7" spans="1:30" ht="15">
      <c r="B7" s="6"/>
      <c r="C7" s="9"/>
      <c r="D7" s="7"/>
      <c r="E7" s="74"/>
      <c r="F7" s="78"/>
      <c r="G7" s="54" t="str">
        <f>IF(Input!E5&gt;2023, "", "Year t-3")</f>
        <v>Year t-3</v>
      </c>
      <c r="H7" s="54" t="s">
        <v>53</v>
      </c>
      <c r="I7" s="54" t="s">
        <v>82</v>
      </c>
      <c r="J7" s="54" t="s">
        <v>0</v>
      </c>
      <c r="K7" s="41"/>
      <c r="L7" s="41"/>
      <c r="M7" s="41"/>
      <c r="N7" s="1"/>
    </row>
    <row r="8" spans="1:30" ht="18" customHeight="1">
      <c r="A8" s="11"/>
      <c r="B8" s="6"/>
      <c r="C8" s="9"/>
      <c r="D8" s="14"/>
      <c r="E8" s="75"/>
      <c r="F8" s="79"/>
      <c r="G8" s="55" t="str">
        <f>IF(Input!E5&gt;2023, "", "(actual)")</f>
        <v>(actual)</v>
      </c>
      <c r="H8" s="55" t="str">
        <f>IF(H9=2020,"(estimate)","(actual)")</f>
        <v>(estimate)</v>
      </c>
      <c r="I8" s="55" t="s">
        <v>80</v>
      </c>
      <c r="J8" s="55" t="s">
        <v>1</v>
      </c>
      <c r="K8" s="35"/>
      <c r="L8" s="35"/>
      <c r="M8" s="35"/>
    </row>
    <row r="9" spans="1:30" ht="18" customHeight="1">
      <c r="A9" s="11"/>
      <c r="B9" s="6"/>
      <c r="C9" s="9"/>
      <c r="D9" s="270"/>
      <c r="E9" s="75"/>
      <c r="F9" s="79"/>
      <c r="G9" s="56">
        <f>IF(Input!E5&gt;2023, "", Input!E10)</f>
        <v>2019</v>
      </c>
      <c r="H9" s="56">
        <f>Input!E9</f>
        <v>2020</v>
      </c>
      <c r="I9" s="56" t="str">
        <f>Input!E8</f>
        <v>HY21</v>
      </c>
      <c r="J9" s="56" t="str">
        <f>Input!E7</f>
        <v>2021/22</v>
      </c>
      <c r="K9" s="35"/>
      <c r="L9" s="35"/>
      <c r="M9" s="35"/>
    </row>
    <row r="10" spans="1:30" ht="18" customHeight="1">
      <c r="A10" s="11"/>
      <c r="B10" s="12" t="s">
        <v>64</v>
      </c>
      <c r="C10" s="9"/>
      <c r="D10" s="277"/>
      <c r="E10" s="75"/>
      <c r="F10" s="79"/>
      <c r="G10" s="359" t="b">
        <f>G9=G12</f>
        <v>0</v>
      </c>
      <c r="H10" s="49"/>
      <c r="I10" s="49"/>
      <c r="J10" s="52"/>
      <c r="K10" s="35"/>
      <c r="L10" s="35"/>
      <c r="M10" s="35"/>
    </row>
    <row r="11" spans="1:30" ht="18" customHeight="1">
      <c r="A11" s="11"/>
      <c r="B11" s="18" t="s">
        <v>274</v>
      </c>
      <c r="C11" s="250">
        <f>'Prop TUOS'!AY67</f>
        <v>152779604.76719654</v>
      </c>
      <c r="D11" s="16"/>
      <c r="E11" s="517" t="s">
        <v>185</v>
      </c>
      <c r="F11" s="79"/>
      <c r="G11" s="414">
        <v>100831135.1066</v>
      </c>
      <c r="H11" s="756">
        <v>125629862.05224754</v>
      </c>
      <c r="I11" s="238">
        <f>'t-1 TUOS'!AY67+IF('Trial tariffs'!U48="",0,'Trial tariffs'!U48)</f>
        <v>64696205.983479694</v>
      </c>
      <c r="J11" s="48">
        <f>C13</f>
        <v>152779604.76719654</v>
      </c>
      <c r="K11" s="35"/>
      <c r="L11" s="533" t="s">
        <v>119</v>
      </c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</row>
    <row r="12" spans="1:30" ht="18" customHeight="1">
      <c r="A12" s="11"/>
      <c r="B12" s="18" t="s">
        <v>275</v>
      </c>
      <c r="C12" s="686">
        <f>'Trial tariffs'!U26</f>
        <v>0</v>
      </c>
      <c r="D12" s="16"/>
      <c r="E12" s="76"/>
      <c r="F12" s="79"/>
      <c r="G12" s="49"/>
      <c r="H12" s="49"/>
      <c r="I12" s="49"/>
      <c r="J12" s="51"/>
      <c r="K12" s="35"/>
      <c r="L12" s="534"/>
      <c r="M12" s="533"/>
      <c r="N12" s="533"/>
      <c r="O12" s="533"/>
      <c r="P12" s="533"/>
      <c r="Q12" s="533"/>
      <c r="R12" s="533"/>
      <c r="S12" s="533"/>
      <c r="T12" s="533"/>
      <c r="U12" s="533"/>
      <c r="V12" s="533"/>
      <c r="W12" s="533"/>
      <c r="X12" s="533"/>
      <c r="Y12" s="533"/>
      <c r="Z12" s="533"/>
      <c r="AA12" s="533"/>
      <c r="AB12" s="533"/>
      <c r="AC12" s="533"/>
      <c r="AD12" s="533"/>
    </row>
    <row r="13" spans="1:30" ht="18" customHeight="1">
      <c r="A13" s="11"/>
      <c r="B13" s="15" t="s">
        <v>178</v>
      </c>
      <c r="C13" s="657">
        <f>SUM(C11:C12)</f>
        <v>152779604.76719654</v>
      </c>
      <c r="D13" s="16"/>
      <c r="E13" s="76"/>
      <c r="F13" s="79"/>
      <c r="G13" s="49"/>
      <c r="H13" s="49"/>
      <c r="I13" s="49"/>
      <c r="J13" s="51"/>
      <c r="K13" s="35"/>
      <c r="L13" s="534" t="s">
        <v>197</v>
      </c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</row>
    <row r="14" spans="1:30" ht="18" customHeight="1">
      <c r="A14" s="11"/>
      <c r="B14" s="42" t="s">
        <v>25</v>
      </c>
      <c r="C14" s="43">
        <f>C20</f>
        <v>152782470.57605016</v>
      </c>
      <c r="D14" s="16"/>
      <c r="E14" s="77" t="s">
        <v>60</v>
      </c>
      <c r="F14" s="79"/>
      <c r="G14" s="48">
        <f>IF(Input!E5&gt;2023, "",G15+G16+G17-G18)</f>
        <v>115580315.34</v>
      </c>
      <c r="H14" s="48">
        <f>H15+H16+H17-H18</f>
        <v>129510661.53668411</v>
      </c>
      <c r="I14" s="48">
        <f>I15+I16+I17-I18</f>
        <v>65045020.024856217</v>
      </c>
      <c r="J14" s="48">
        <f>J15+J16+J17-J18</f>
        <v>135369798.7617625</v>
      </c>
      <c r="K14" s="35"/>
      <c r="L14" s="534" t="s">
        <v>198</v>
      </c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33"/>
      <c r="AC14" s="533"/>
      <c r="AD14" s="533"/>
    </row>
    <row r="15" spans="1:30" ht="18" customHeight="1">
      <c r="A15" s="11"/>
      <c r="B15" s="44"/>
      <c r="C15" s="45" t="str">
        <f>IF(C13="","",IF(C14&gt;=C13,"DPPC REVENUE CAP FORMULA COMPLIANT","DPPC REVENUE CAP FORMULA BREACHED"))</f>
        <v>DPPC REVENUE CAP FORMULA COMPLIANT</v>
      </c>
      <c r="D15" s="694" t="b">
        <f>C15="DPPC REVENUE CAP FORMULA COMPLIANT"</f>
        <v>1</v>
      </c>
      <c r="E15" s="511" t="str">
        <f>"+ "&amp;B23</f>
        <v>+ AEMO</v>
      </c>
      <c r="F15" s="79"/>
      <c r="G15" s="515">
        <v>103838855</v>
      </c>
      <c r="H15" s="757">
        <v>117862256.73668411</v>
      </c>
      <c r="I15" s="512">
        <v>59371787.712043718</v>
      </c>
      <c r="J15" s="157">
        <f>C23</f>
        <v>124221164.33</v>
      </c>
      <c r="K15" s="35"/>
      <c r="L15" s="533" t="s">
        <v>199</v>
      </c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</row>
    <row r="16" spans="1:30" ht="18" customHeight="1">
      <c r="A16" s="11"/>
      <c r="B16" s="16"/>
      <c r="C16" s="16"/>
      <c r="D16" s="16"/>
      <c r="E16" s="511" t="str">
        <f>"+ "&amp;B24</f>
        <v>+ Transmission connection</v>
      </c>
      <c r="F16" s="79"/>
      <c r="G16" s="415">
        <v>9972756</v>
      </c>
      <c r="H16" s="248">
        <v>9823379.4899999984</v>
      </c>
      <c r="I16" s="513">
        <v>4744570.0819999995</v>
      </c>
      <c r="J16" s="51">
        <f>C24</f>
        <v>9325804.8327500019</v>
      </c>
      <c r="K16" s="35"/>
      <c r="L16" s="5"/>
      <c r="M16" s="35"/>
      <c r="Q16" s="17"/>
      <c r="R16" s="17"/>
      <c r="S16" s="17"/>
    </row>
    <row r="17" spans="1:24" ht="18" customHeight="1">
      <c r="A17" s="11"/>
      <c r="B17" s="12" t="s">
        <v>58</v>
      </c>
      <c r="C17" s="16"/>
      <c r="D17" s="16"/>
      <c r="E17" s="511" t="str">
        <f>"+ "&amp;B25</f>
        <v>+ Embedded generators</v>
      </c>
      <c r="F17" s="79"/>
      <c r="G17" s="415">
        <v>96605</v>
      </c>
      <c r="H17" s="248">
        <v>125466.79000000001</v>
      </c>
      <c r="I17" s="513">
        <v>57638.489312499987</v>
      </c>
      <c r="J17" s="51">
        <f>C25</f>
        <v>128947.99351249999</v>
      </c>
      <c r="K17" s="35"/>
      <c r="L17" s="5"/>
      <c r="M17" s="35"/>
      <c r="Q17" s="17"/>
      <c r="R17" s="17"/>
      <c r="S17" s="17"/>
    </row>
    <row r="18" spans="1:24" ht="18" customHeight="1">
      <c r="A18" s="11"/>
      <c r="B18" s="18" t="s">
        <v>59</v>
      </c>
      <c r="C18" s="27">
        <f>C27</f>
        <v>135369798.7617625</v>
      </c>
      <c r="D18" s="16"/>
      <c r="E18" s="511" t="str">
        <f>"- "&amp;B26</f>
        <v>- Inter-network (deducted from other charges)</v>
      </c>
      <c r="F18" s="79"/>
      <c r="G18" s="518">
        <v>-1672099.34</v>
      </c>
      <c r="H18" s="758">
        <v>-1699558.52</v>
      </c>
      <c r="I18" s="514">
        <v>-871023.74149999989</v>
      </c>
      <c r="J18" s="60">
        <f>C26</f>
        <v>-1693881.6054999998</v>
      </c>
      <c r="K18" s="35"/>
      <c r="L18" s="35"/>
      <c r="M18" s="35"/>
      <c r="Q18" s="17"/>
      <c r="R18" s="17"/>
      <c r="S18" s="17"/>
    </row>
    <row r="19" spans="1:24" ht="18" customHeight="1">
      <c r="A19" s="11"/>
      <c r="B19" s="19" t="s">
        <v>304</v>
      </c>
      <c r="C19" s="695">
        <f>-J32*(1+J30)^0.5</f>
        <v>17412671.814287674</v>
      </c>
      <c r="D19" s="16"/>
      <c r="E19" s="62"/>
      <c r="F19" s="79"/>
      <c r="G19" s="63"/>
      <c r="H19" s="63"/>
      <c r="I19" s="63"/>
      <c r="J19" s="53"/>
      <c r="K19" s="35"/>
      <c r="L19" s="35"/>
      <c r="M19" s="35"/>
      <c r="Q19" s="17"/>
      <c r="R19" s="17"/>
      <c r="S19" s="17"/>
    </row>
    <row r="20" spans="1:24" ht="18" customHeight="1">
      <c r="A20" s="11"/>
      <c r="B20" s="15" t="s">
        <v>63</v>
      </c>
      <c r="C20" s="358">
        <f>C18+C19</f>
        <v>152782470.57605016</v>
      </c>
      <c r="D20" s="16"/>
      <c r="E20" s="77" t="s">
        <v>302</v>
      </c>
      <c r="F20" s="79"/>
      <c r="G20" s="691"/>
      <c r="H20" s="691"/>
      <c r="I20" s="691"/>
      <c r="J20" s="692"/>
      <c r="K20" s="35"/>
      <c r="L20" s="35"/>
      <c r="M20" s="35"/>
      <c r="Q20" s="17"/>
      <c r="R20" s="17"/>
      <c r="S20" s="17"/>
    </row>
    <row r="21" spans="1:24" ht="18" customHeight="1">
      <c r="A21" s="11"/>
      <c r="B21" s="20"/>
      <c r="C21" s="46"/>
      <c r="D21" s="16"/>
      <c r="E21" s="59" t="s">
        <v>303</v>
      </c>
      <c r="F21" s="82"/>
      <c r="G21" s="48">
        <f>IF(Input!E5&gt;2023, "", G11-G14+G20)</f>
        <v>-14749180.233400002</v>
      </c>
      <c r="H21" s="48">
        <f>H11-H14+H20</f>
        <v>-3880799.4844365716</v>
      </c>
      <c r="I21" s="48">
        <f>I11-I14+I20</f>
        <v>-348814.04137652367</v>
      </c>
      <c r="J21" s="48">
        <f>J11-J14+J20</f>
        <v>17409806.005434036</v>
      </c>
      <c r="K21" s="35"/>
      <c r="L21" s="35"/>
      <c r="M21" s="35"/>
      <c r="Q21" s="17"/>
      <c r="R21" s="17"/>
      <c r="S21" s="17"/>
    </row>
    <row r="22" spans="1:24" ht="18" customHeight="1">
      <c r="A22" s="11"/>
      <c r="B22" s="12" t="s">
        <v>57</v>
      </c>
      <c r="C22" s="47"/>
      <c r="D22" s="16"/>
      <c r="E22" s="89"/>
      <c r="F22" s="2"/>
      <c r="G22" s="4"/>
      <c r="H22" s="4"/>
      <c r="I22" s="3"/>
      <c r="K22" s="35"/>
      <c r="L22" s="35"/>
      <c r="M22" s="35"/>
      <c r="Q22" s="17"/>
      <c r="R22" s="17"/>
      <c r="S22" s="17"/>
    </row>
    <row r="23" spans="1:24" ht="18" customHeight="1">
      <c r="A23" s="11"/>
      <c r="B23" s="18" t="s">
        <v>168</v>
      </c>
      <c r="C23" s="510">
        <v>124221164.33</v>
      </c>
      <c r="D23" s="16"/>
      <c r="E23" s="89"/>
      <c r="F23" s="2"/>
      <c r="G23" s="4"/>
      <c r="H23" s="4"/>
      <c r="I23" s="3"/>
      <c r="K23" s="35"/>
      <c r="L23" s="35"/>
      <c r="M23" s="35"/>
      <c r="Q23" s="17"/>
      <c r="R23" s="17"/>
      <c r="S23" s="17"/>
    </row>
    <row r="24" spans="1:24" ht="18" customHeight="1">
      <c r="A24" s="11"/>
      <c r="B24" s="19" t="s">
        <v>169</v>
      </c>
      <c r="C24" s="510">
        <v>9325804.8327500019</v>
      </c>
      <c r="D24" s="16"/>
      <c r="E24" s="89"/>
      <c r="F24" s="2"/>
      <c r="G24" s="4"/>
      <c r="H24" s="4"/>
      <c r="I24" s="3"/>
      <c r="K24" s="35"/>
      <c r="L24" s="35"/>
      <c r="M24" s="35"/>
      <c r="Q24" s="17"/>
      <c r="R24" s="17"/>
      <c r="S24" s="17"/>
    </row>
    <row r="25" spans="1:24" ht="18" customHeight="1">
      <c r="A25" s="11"/>
      <c r="B25" s="19" t="s">
        <v>170</v>
      </c>
      <c r="C25" s="510">
        <v>128947.99351249999</v>
      </c>
      <c r="D25" s="16"/>
      <c r="E25" s="88" t="s">
        <v>62</v>
      </c>
      <c r="F25" s="2"/>
      <c r="G25" s="4"/>
      <c r="H25" s="4"/>
      <c r="I25" s="3"/>
      <c r="K25" s="35"/>
      <c r="L25" s="35"/>
      <c r="M25" s="35"/>
      <c r="Q25" s="17"/>
      <c r="R25" s="17"/>
      <c r="S25" s="17"/>
    </row>
    <row r="26" spans="1:24" ht="18" customHeight="1">
      <c r="A26" s="21"/>
      <c r="B26" s="19" t="s">
        <v>171</v>
      </c>
      <c r="C26" s="510">
        <v>-1693881.6054999998</v>
      </c>
      <c r="D26" s="16"/>
      <c r="E26" s="57"/>
      <c r="F26" s="78"/>
      <c r="G26" s="54" t="str">
        <f>IF(Input!E5&gt;2023, "", "Year t-3")</f>
        <v>Year t-3</v>
      </c>
      <c r="H26" s="54" t="s">
        <v>53</v>
      </c>
      <c r="I26" s="54" t="s">
        <v>82</v>
      </c>
      <c r="J26" s="54" t="s">
        <v>0</v>
      </c>
      <c r="K26" s="35"/>
      <c r="L26" s="35"/>
      <c r="M26" s="35"/>
      <c r="Q26" s="17"/>
      <c r="R26" s="17"/>
      <c r="S26" s="17"/>
    </row>
    <row r="27" spans="1:24" ht="18" customHeight="1">
      <c r="A27" s="11"/>
      <c r="B27" s="18" t="s">
        <v>167</v>
      </c>
      <c r="C27" s="358">
        <f>C23+C24+C25-C26</f>
        <v>135369798.7617625</v>
      </c>
      <c r="D27" s="16"/>
      <c r="E27" s="58"/>
      <c r="F27" s="79"/>
      <c r="G27" s="55" t="str">
        <f>IF(Input!E5&gt;2023, "", "(actual)")</f>
        <v>(actual)</v>
      </c>
      <c r="H27" s="55" t="str">
        <f>IF(H28=2020,"(estimate)","(actual)")</f>
        <v>(estimate)</v>
      </c>
      <c r="I27" s="55" t="s">
        <v>80</v>
      </c>
      <c r="J27" s="55" t="s">
        <v>1</v>
      </c>
      <c r="K27" s="35"/>
      <c r="L27" s="35"/>
      <c r="M27" s="35"/>
      <c r="Q27" s="17"/>
      <c r="R27" s="17"/>
      <c r="S27" s="17"/>
    </row>
    <row r="28" spans="1:24" ht="18" customHeight="1">
      <c r="A28" s="11"/>
      <c r="B28" s="21"/>
      <c r="C28" s="29"/>
      <c r="D28" s="16"/>
      <c r="E28" s="58" t="s">
        <v>55</v>
      </c>
      <c r="F28" s="79"/>
      <c r="G28" s="56">
        <f>IF(Input!E5&gt;2023, "", G9)</f>
        <v>2019</v>
      </c>
      <c r="H28" s="56">
        <f>H9</f>
        <v>2020</v>
      </c>
      <c r="I28" s="56" t="str">
        <f>I9</f>
        <v>HY21</v>
      </c>
      <c r="J28" s="56" t="str">
        <f>J9</f>
        <v>2021/22</v>
      </c>
      <c r="K28" s="33"/>
      <c r="L28" s="33"/>
      <c r="M28" s="35"/>
      <c r="Q28" s="17"/>
      <c r="V28" s="17"/>
      <c r="W28" s="17"/>
      <c r="X28" s="17"/>
    </row>
    <row r="29" spans="1:24" ht="18" customHeight="1">
      <c r="A29" s="11"/>
      <c r="D29" s="16"/>
      <c r="E29" s="80"/>
      <c r="F29" s="78"/>
      <c r="G29" s="50"/>
      <c r="H29" s="50"/>
      <c r="I29" s="50"/>
      <c r="J29" s="81"/>
      <c r="K29" s="33"/>
      <c r="L29" s="33"/>
      <c r="M29" s="35"/>
      <c r="V29" s="17"/>
      <c r="W29" s="17"/>
      <c r="X29" s="17"/>
    </row>
    <row r="30" spans="1:24" ht="18" customHeight="1">
      <c r="A30" s="11"/>
      <c r="D30" s="16"/>
      <c r="E30" s="58" t="s">
        <v>83</v>
      </c>
      <c r="F30" s="79"/>
      <c r="G30" s="239">
        <f>IF(Input!E5&gt;2023, "", (1+Input!$D$43)*(1+Input!$E$25)-1)</f>
        <v>5.90724924111663E-2</v>
      </c>
      <c r="H30" s="240">
        <f>(1+Input!$D$42)*(1+Input!$E$26)-1</f>
        <v>5.2504741392848775E-2</v>
      </c>
      <c r="I30" s="50">
        <f>(1+Input!$D$41)*(1+Input!$E$27)-1</f>
        <v>2.4082091464971755E-2</v>
      </c>
      <c r="J30" s="240">
        <f>(1+Input!$D$40)*(1+Input!$E$28)-1</f>
        <v>3.5904064244940637E-2</v>
      </c>
      <c r="K30" s="33"/>
      <c r="L30" s="33"/>
      <c r="M30" s="35"/>
      <c r="V30" s="17"/>
      <c r="W30" s="17"/>
      <c r="X30" s="17"/>
    </row>
    <row r="31" spans="1:24" ht="18" customHeight="1">
      <c r="A31" s="11"/>
      <c r="D31" s="16"/>
      <c r="E31" s="58"/>
      <c r="F31" s="79"/>
      <c r="G31" s="49"/>
      <c r="H31" s="49"/>
      <c r="I31" s="49"/>
      <c r="J31" s="52"/>
      <c r="K31" s="33"/>
      <c r="L31" s="35"/>
      <c r="M31" s="35"/>
      <c r="U31" s="17"/>
      <c r="V31" s="17"/>
      <c r="W31" s="17"/>
    </row>
    <row r="32" spans="1:24" ht="18" customHeight="1">
      <c r="A32" s="11"/>
      <c r="D32" s="25"/>
      <c r="E32" s="58" t="s">
        <v>3</v>
      </c>
      <c r="F32" s="79"/>
      <c r="G32" s="415">
        <v>3225716.9853299051</v>
      </c>
      <c r="H32" s="282">
        <f>G36</f>
        <v>-11762297.291253531</v>
      </c>
      <c r="I32" s="51">
        <f>H36</f>
        <v>-16361250.037532099</v>
      </c>
      <c r="J32" s="51">
        <f>I36</f>
        <v>-17108252.297876894</v>
      </c>
      <c r="K32" s="33"/>
      <c r="L32" s="35"/>
      <c r="M32" s="35"/>
      <c r="U32" s="17"/>
      <c r="V32" s="17"/>
      <c r="W32" s="17"/>
    </row>
    <row r="33" spans="1:13">
      <c r="A33" s="25"/>
      <c r="D33" s="25"/>
      <c r="E33" s="58" t="s">
        <v>84</v>
      </c>
      <c r="F33" s="79"/>
      <c r="G33" s="63">
        <f>IF(Input!E5&gt;2023, "", G32*G30)</f>
        <v>190551.14213647105</v>
      </c>
      <c r="H33" s="63">
        <f>H32*H30</f>
        <v>-617576.37746307231</v>
      </c>
      <c r="I33" s="63">
        <f>I32*I30</f>
        <v>-394013.11988512054</v>
      </c>
      <c r="J33" s="63">
        <f>J32*J30</f>
        <v>-614255.78962162533</v>
      </c>
      <c r="K33" s="34"/>
      <c r="L33" s="34"/>
      <c r="M33" s="35"/>
    </row>
    <row r="34" spans="1:13">
      <c r="A34" s="25"/>
      <c r="E34" s="58" t="s">
        <v>4</v>
      </c>
      <c r="F34" s="79"/>
      <c r="G34" s="51">
        <f>IF(Input!E5&gt;2023, "", G21)</f>
        <v>-14749180.233400002</v>
      </c>
      <c r="H34" s="51">
        <f>H21</f>
        <v>-3880799.4844365716</v>
      </c>
      <c r="I34" s="51">
        <f>I21</f>
        <v>-348814.04137652367</v>
      </c>
      <c r="J34" s="51">
        <f>J21</f>
        <v>17409806.005434036</v>
      </c>
      <c r="K34" s="34"/>
      <c r="L34" s="34"/>
      <c r="M34" s="35"/>
    </row>
    <row r="35" spans="1:13">
      <c r="A35" s="4"/>
      <c r="E35" s="58" t="s">
        <v>81</v>
      </c>
      <c r="F35" s="79"/>
      <c r="G35" s="63">
        <f>IF(Input!E5&gt;2023, "", G34*((1+G30)^0.5-1))</f>
        <v>-429385.18531990674</v>
      </c>
      <c r="H35" s="63">
        <f>H34*((1+H30)^0.5-1)</f>
        <v>-100576.88437892319</v>
      </c>
      <c r="I35" s="63">
        <f>I34*((1+I30)^0.5-1)</f>
        <v>-4175.0990831528843</v>
      </c>
      <c r="J35" s="63">
        <f>J34*((1+J30)^0.5-1)</f>
        <v>309785.27979958587</v>
      </c>
      <c r="K35" s="35"/>
      <c r="L35" s="35"/>
      <c r="M35" s="35"/>
    </row>
    <row r="36" spans="1:13" ht="15">
      <c r="A36" s="4"/>
      <c r="E36" s="59" t="s">
        <v>75</v>
      </c>
      <c r="F36" s="82"/>
      <c r="G36" s="48">
        <f>IF(Input!E5&gt;2023, "", SUM(G32:G35))</f>
        <v>-11762297.291253531</v>
      </c>
      <c r="H36" s="48">
        <f>SUM(H32:H35)</f>
        <v>-16361250.037532099</v>
      </c>
      <c r="I36" s="48">
        <f>SUM(I32:I35)</f>
        <v>-17108252.297876894</v>
      </c>
      <c r="J36" s="48">
        <f>SUM(J32:J35)</f>
        <v>-2916.8022648974438</v>
      </c>
      <c r="K36" s="35"/>
      <c r="L36" s="35"/>
      <c r="M36" s="35"/>
    </row>
    <row r="37" spans="1:13">
      <c r="E37" s="2"/>
      <c r="F37" s="3"/>
      <c r="G37" s="4"/>
      <c r="H37" s="4"/>
      <c r="K37" s="35"/>
      <c r="L37" s="35"/>
      <c r="M37" s="35"/>
    </row>
    <row r="38" spans="1:13" ht="14.25" customHeight="1">
      <c r="E38" s="795" t="s">
        <v>175</v>
      </c>
      <c r="F38" s="795"/>
      <c r="G38" s="795"/>
      <c r="H38" s="795"/>
      <c r="I38" s="795"/>
      <c r="J38" s="795"/>
    </row>
    <row r="39" spans="1:13" ht="14.25" customHeight="1">
      <c r="E39" s="795"/>
      <c r="F39" s="795"/>
      <c r="G39" s="795"/>
      <c r="H39" s="795"/>
      <c r="I39" s="795"/>
      <c r="J39" s="795"/>
    </row>
    <row r="41" spans="1:13" ht="14.25" customHeight="1"/>
    <row r="45" spans="1:13">
      <c r="G45" s="4"/>
      <c r="H45" s="4"/>
    </row>
    <row r="46" spans="1:13">
      <c r="G46" s="4"/>
      <c r="H46" s="4"/>
    </row>
    <row r="47" spans="1:13">
      <c r="G47" s="4"/>
      <c r="H47" s="4"/>
    </row>
    <row r="48" spans="1:13">
      <c r="A48" s="4"/>
      <c r="G48" s="4"/>
      <c r="H48" s="4"/>
    </row>
    <row r="49" spans="1:8">
      <c r="A49" s="4"/>
      <c r="G49" s="4"/>
      <c r="H49" s="4"/>
    </row>
    <row r="50" spans="1:8">
      <c r="A50" s="4"/>
      <c r="G50" s="4"/>
      <c r="H50" s="4"/>
    </row>
    <row r="51" spans="1:8">
      <c r="A51" s="4"/>
      <c r="G51" s="4"/>
      <c r="H51" s="4"/>
    </row>
    <row r="52" spans="1:8">
      <c r="A52" s="4"/>
      <c r="G52" s="4"/>
      <c r="H52" s="4"/>
    </row>
    <row r="53" spans="1:8">
      <c r="A53" s="4"/>
      <c r="G53" s="4"/>
      <c r="H53" s="4"/>
    </row>
    <row r="54" spans="1:8">
      <c r="A54" s="4"/>
      <c r="G54" s="4"/>
      <c r="H54" s="4"/>
    </row>
    <row r="55" spans="1:8">
      <c r="A55" s="4"/>
      <c r="G55" s="4"/>
      <c r="H55" s="4"/>
    </row>
    <row r="56" spans="1:8">
      <c r="A56" s="4"/>
      <c r="G56" s="4"/>
      <c r="H56" s="4"/>
    </row>
    <row r="57" spans="1:8">
      <c r="A57" s="4"/>
      <c r="G57" s="4"/>
      <c r="H57" s="4"/>
    </row>
    <row r="58" spans="1:8">
      <c r="A58" s="4"/>
      <c r="G58" s="4"/>
      <c r="H58" s="4"/>
    </row>
    <row r="59" spans="1:8">
      <c r="A59" s="4"/>
      <c r="G59" s="4"/>
      <c r="H59" s="4"/>
    </row>
    <row r="60" spans="1:8">
      <c r="A60" s="4"/>
      <c r="G60" s="4"/>
      <c r="H60" s="4"/>
    </row>
    <row r="61" spans="1:8">
      <c r="A61" s="4"/>
      <c r="G61" s="4"/>
      <c r="H61" s="4"/>
    </row>
    <row r="62" spans="1:8">
      <c r="A62" s="4"/>
      <c r="G62" s="4"/>
      <c r="H62" s="4"/>
    </row>
    <row r="63" spans="1:8">
      <c r="A63" s="4"/>
      <c r="G63" s="4"/>
      <c r="H63" s="4"/>
    </row>
    <row r="64" spans="1:8">
      <c r="A64" s="4"/>
      <c r="G64" s="4"/>
      <c r="H64" s="4"/>
    </row>
    <row r="65" spans="1:8">
      <c r="A65" s="4"/>
      <c r="G65" s="4"/>
      <c r="H65" s="4"/>
    </row>
    <row r="66" spans="1:8">
      <c r="A66" s="4"/>
      <c r="G66" s="4"/>
      <c r="H66" s="4"/>
    </row>
    <row r="67" spans="1:8">
      <c r="A67" s="4"/>
      <c r="G67" s="4"/>
      <c r="H67" s="4"/>
    </row>
    <row r="68" spans="1:8">
      <c r="A68" s="4"/>
      <c r="G68" s="4"/>
      <c r="H68" s="4"/>
    </row>
    <row r="69" spans="1:8">
      <c r="A69" s="4"/>
      <c r="G69" s="4"/>
      <c r="H69" s="4"/>
    </row>
    <row r="70" spans="1:8">
      <c r="A70" s="4"/>
      <c r="G70" s="4"/>
      <c r="H70" s="4"/>
    </row>
    <row r="71" spans="1:8" ht="15">
      <c r="A71" s="4"/>
      <c r="E71" s="252"/>
      <c r="G71" s="4"/>
      <c r="H71" s="4"/>
    </row>
    <row r="72" spans="1:8">
      <c r="A72" s="4"/>
    </row>
    <row r="73" spans="1:8">
      <c r="A73" s="4"/>
    </row>
    <row r="74" spans="1:8">
      <c r="A74" s="4"/>
    </row>
  </sheetData>
  <mergeCells count="1">
    <mergeCell ref="E38:J39"/>
  </mergeCells>
  <conditionalFormatting sqref="G11">
    <cfRule type="expression" dxfId="28" priority="9">
      <formula>$G$10</formula>
    </cfRule>
  </conditionalFormatting>
  <conditionalFormatting sqref="H11">
    <cfRule type="expression" dxfId="27" priority="8">
      <formula>$G$10</formula>
    </cfRule>
  </conditionalFormatting>
  <conditionalFormatting sqref="G32">
    <cfRule type="expression" dxfId="26" priority="7">
      <formula>$G$10</formula>
    </cfRule>
  </conditionalFormatting>
  <conditionalFormatting sqref="H32">
    <cfRule type="expression" dxfId="25" priority="6">
      <formula>$G$10</formula>
    </cfRule>
  </conditionalFormatting>
  <conditionalFormatting sqref="H15:H18">
    <cfRule type="expression" dxfId="24" priority="5">
      <formula>$G$10</formula>
    </cfRule>
  </conditionalFormatting>
  <conditionalFormatting sqref="G15:G18">
    <cfRule type="expression" dxfId="23" priority="4">
      <formula>$G$10</formula>
    </cfRule>
  </conditionalFormatting>
  <conditionalFormatting sqref="C15">
    <cfRule type="expression" dxfId="22" priority="2">
      <formula>"&lt;&gt;$D$15"</formula>
    </cfRule>
    <cfRule type="expression" dxfId="21" priority="3">
      <formula>$D$15</formula>
    </cfRule>
  </conditionalFormatting>
  <conditionalFormatting sqref="G20">
    <cfRule type="expression" dxfId="20" priority="1">
      <formula>$G$10</formula>
    </cfRule>
  </conditionalFormatting>
  <pageMargins left="0.7" right="0.7" top="0.75" bottom="0.75" header="0.3" footer="0.3"/>
  <pageSetup paperSize="9" orientation="portrait" r:id="rId1"/>
  <ignoredErrors>
    <ignoredError sqref="E18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0.39997558519241921"/>
    <pageSetUpPr autoPageBreaks="0"/>
  </sheetPr>
  <dimension ref="B1:BB106"/>
  <sheetViews>
    <sheetView zoomScale="80" zoomScaleNormal="80" workbookViewId="0">
      <pane xSplit="3" ySplit="6" topLeftCell="D7" activePane="bottomRight" state="frozen"/>
      <selection pane="topRight"/>
      <selection pane="bottomLeft"/>
      <selection pane="bottomRight" activeCell="N80" sqref="N80"/>
    </sheetView>
  </sheetViews>
  <sheetFormatPr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0.5703125" style="87" bestFit="1" customWidth="1"/>
    <col min="7" max="7" width="18" style="87" customWidth="1"/>
    <col min="8" max="9" width="10.5703125" style="87" bestFit="1" customWidth="1"/>
    <col min="10" max="11" width="9.5703125" style="87" bestFit="1" customWidth="1"/>
    <col min="12" max="12" width="9.5703125" style="87" customWidth="1"/>
    <col min="13" max="13" width="9.5703125" style="87" bestFit="1" customWidth="1"/>
    <col min="14" max="14" width="11.7109375" style="87" bestFit="1" customWidth="1"/>
    <col min="15" max="16" width="11.28515625" style="87" bestFit="1" customWidth="1"/>
    <col min="17" max="17" width="10.42578125" style="87" customWidth="1"/>
    <col min="18" max="18" width="10.140625" style="87" bestFit="1" customWidth="1"/>
    <col min="19" max="19" width="1.85546875" style="87" customWidth="1"/>
    <col min="20" max="20" width="16.7109375" style="87" bestFit="1" customWidth="1"/>
    <col min="21" max="21" width="19.28515625" style="87" customWidth="1"/>
    <col min="22" max="22" width="15.85546875" style="87" bestFit="1" customWidth="1"/>
    <col min="23" max="23" width="17.85546875" style="87" bestFit="1" customWidth="1"/>
    <col min="24" max="24" width="14.85546875" style="87" bestFit="1" customWidth="1"/>
    <col min="25" max="25" width="16.140625" style="87" customWidth="1"/>
    <col min="26" max="26" width="14.7109375" style="87" customWidth="1"/>
    <col min="27" max="27" width="14.85546875" style="87" bestFit="1" customWidth="1"/>
    <col min="28" max="28" width="14.85546875" style="87" customWidth="1"/>
    <col min="29" max="30" width="14.85546875" style="87" bestFit="1" customWidth="1"/>
    <col min="31" max="31" width="11.28515625" style="87" bestFit="1" customWidth="1"/>
    <col min="32" max="32" width="14.85546875" style="87" bestFit="1" customWidth="1"/>
    <col min="33" max="34" width="14.85546875" style="87" customWidth="1"/>
    <col min="35" max="35" width="1.85546875" style="87" customWidth="1"/>
    <col min="36" max="36" width="14.28515625" style="87" customWidth="1"/>
    <col min="37" max="37" width="16.42578125" style="87" customWidth="1"/>
    <col min="38" max="38" width="16.28515625" style="87" customWidth="1"/>
    <col min="39" max="39" width="14.7109375" style="87" customWidth="1"/>
    <col min="40" max="40" width="13.5703125" style="87" bestFit="1" customWidth="1"/>
    <col min="41" max="41" width="14.28515625" style="87" customWidth="1"/>
    <col min="42" max="42" width="12.42578125" style="87" bestFit="1" customWidth="1"/>
    <col min="43" max="44" width="10.5703125" style="87" customWidth="1"/>
    <col min="45" max="45" width="10.85546875" style="87" customWidth="1"/>
    <col min="46" max="46" width="15.42578125" style="87" customWidth="1"/>
    <col min="47" max="47" width="12.42578125" style="87" bestFit="1" customWidth="1"/>
    <col min="48" max="48" width="9.85546875" style="87" bestFit="1" customWidth="1"/>
    <col min="49" max="49" width="9.85546875" style="87" customWidth="1"/>
    <col min="50" max="50" width="9.85546875" style="87" bestFit="1" customWidth="1"/>
    <col min="51" max="51" width="12.42578125" style="87" bestFit="1" customWidth="1"/>
    <col min="52" max="53" width="9.140625" style="87"/>
    <col min="54" max="54" width="15.140625" style="87" bestFit="1" customWidth="1"/>
    <col min="55" max="88" width="9.140625" style="87"/>
    <col min="89" max="89" width="14" style="87" bestFit="1" customWidth="1"/>
    <col min="90" max="16384" width="9.140625" style="87"/>
  </cols>
  <sheetData>
    <row r="1" spans="2:54" ht="15">
      <c r="B1" s="69" t="str">
        <f>"Tariff Approval - "&amp;Input!E3</f>
        <v>Tariff Approval - United Energy</v>
      </c>
      <c r="C1" s="69"/>
      <c r="D1" s="276" t="s">
        <v>189</v>
      </c>
      <c r="F1" s="177"/>
    </row>
    <row r="2" spans="2:54">
      <c r="D2" s="177"/>
      <c r="F2" s="177"/>
    </row>
    <row r="3" spans="2:54">
      <c r="B3" s="99" t="str">
        <f>"PROPOSED "&amp;Input!$E$7&amp;" TRANSMISSION TARIFFS"</f>
        <v>PROPOSED 2021/22 TRANSMISSION TARIFFS</v>
      </c>
      <c r="C3" s="99"/>
    </row>
    <row r="4" spans="2:54">
      <c r="B4" s="99"/>
      <c r="C4" s="99"/>
    </row>
    <row r="5" spans="2:54" ht="13.5" thickBot="1">
      <c r="D5" s="391" t="str">
        <f>"Proposed Transmission Tariffs (Pt) for "&amp;Input!$E$7</f>
        <v>Proposed Transmission Tariffs (Pt) for 2021/22</v>
      </c>
      <c r="E5" s="392"/>
      <c r="F5" s="392"/>
      <c r="G5" s="392"/>
      <c r="H5" s="84"/>
      <c r="I5" s="84"/>
      <c r="T5" s="391" t="str">
        <f>"Forecast Quantities (Qt) for "&amp;Input!$E$7</f>
        <v>Forecast Quantities (Qt) for 2021/22</v>
      </c>
      <c r="U5" s="391"/>
      <c r="V5" s="392"/>
      <c r="W5" s="84"/>
      <c r="AJ5" s="391" t="str">
        <f>"Forecast Revenue (Pt "&amp;Input!$E$7&amp;")*(Qt " &amp;Input!$E$7&amp;")"</f>
        <v>Forecast Revenue (Pt 2021/22)*(Qt 2021/22)</v>
      </c>
      <c r="AK5" s="392"/>
      <c r="AL5" s="392"/>
      <c r="AM5" s="84"/>
    </row>
    <row r="6" spans="2:54">
      <c r="B6" s="100" t="s">
        <v>31</v>
      </c>
      <c r="C6" s="105"/>
      <c r="D6" s="101" t="str">
        <f>'Prop DUOS'!E6</f>
        <v>Fixed</v>
      </c>
      <c r="E6" s="102" t="str">
        <f>'Prop DUOS'!F6</f>
        <v>PkBlk1</v>
      </c>
      <c r="F6" s="102" t="str">
        <f>'Prop DUOS'!G6</f>
        <v>PkBlk2</v>
      </c>
      <c r="G6" s="102" t="str">
        <f>'Prop DUOS'!H6</f>
        <v>PkBlk3</v>
      </c>
      <c r="H6" s="102" t="str">
        <f>'Prop DUOS'!I6</f>
        <v>PkBlk4</v>
      </c>
      <c r="I6" s="102" t="str">
        <f>'Prop DUOS'!J6</f>
        <v>OPkBlk1</v>
      </c>
      <c r="J6" s="102" t="str">
        <f>'Prop DUOS'!K6</f>
        <v>OPkBlk2</v>
      </c>
      <c r="K6" s="102" t="str">
        <f>'Prop DUOS'!L6</f>
        <v>OPkBlk3</v>
      </c>
      <c r="L6" s="102" t="str">
        <f>'Prop DUOS'!M6</f>
        <v>OPkBlk4</v>
      </c>
      <c r="M6" s="102" t="str">
        <f>'Prop DUOS'!N6</f>
        <v>OPkBlk5</v>
      </c>
      <c r="N6" s="102" t="str">
        <f>'Prop DUOS'!O6</f>
        <v>DemBlk1</v>
      </c>
      <c r="O6" s="102" t="str">
        <f>'Prop DUOS'!P6</f>
        <v>DemBlk2</v>
      </c>
      <c r="P6" s="102" t="str">
        <f>'Prop DUOS'!Q6</f>
        <v>DemBlk3</v>
      </c>
      <c r="Q6" s="102" t="str">
        <f>'Prop DUOS'!R6</f>
        <v>DemBlk4</v>
      </c>
      <c r="R6" s="102" t="str">
        <f>'Prop DUOS'!S6</f>
        <v>DemBlk5</v>
      </c>
      <c r="T6" s="102" t="str">
        <f>'Prop DUOS'!U6</f>
        <v>Fixed</v>
      </c>
      <c r="U6" s="102" t="str">
        <f>'Prop DUOS'!V6</f>
        <v>PkBlk1</v>
      </c>
      <c r="V6" s="102" t="str">
        <f>'Prop DUOS'!W6</f>
        <v>PkBlk2</v>
      </c>
      <c r="W6" s="102" t="str">
        <f>'Prop DUOS'!X6</f>
        <v>PkBlk3</v>
      </c>
      <c r="X6" s="102" t="str">
        <f>'Prop DUOS'!Y6</f>
        <v>PkBlk4</v>
      </c>
      <c r="Y6" s="102" t="str">
        <f>'Prop DUOS'!Z6</f>
        <v>OPkBlk1</v>
      </c>
      <c r="Z6" s="102" t="str">
        <f>'Prop DUOS'!AA6</f>
        <v>OPkBlk2</v>
      </c>
      <c r="AA6" s="102" t="str">
        <f>'Prop DUOS'!AB6</f>
        <v>OPkBlk3</v>
      </c>
      <c r="AB6" s="102" t="str">
        <f>'Prop DUOS'!AC6</f>
        <v>OPkBlk4</v>
      </c>
      <c r="AC6" s="102" t="str">
        <f>'Prop DUOS'!AD6</f>
        <v>OPkBlk5</v>
      </c>
      <c r="AD6" s="102" t="str">
        <f>'Prop DUOS'!AE6</f>
        <v>DemBlk1</v>
      </c>
      <c r="AE6" s="102" t="str">
        <f>'Prop DUOS'!AF6</f>
        <v>DemBlk2</v>
      </c>
      <c r="AF6" s="102" t="str">
        <f>'Prop DUOS'!AG6</f>
        <v>DemBlk3</v>
      </c>
      <c r="AG6" s="102" t="str">
        <f>'Prop DUOS'!AH6</f>
        <v>DemBlk4</v>
      </c>
      <c r="AH6" s="102" t="str">
        <f>'Prop DUOS'!AI6</f>
        <v>DemBlk5</v>
      </c>
      <c r="AJ6" s="101" t="str">
        <f>'Prop DUOS'!E6</f>
        <v>Fixed</v>
      </c>
      <c r="AK6" s="102" t="str">
        <f>'Prop DUOS'!F6</f>
        <v>PkBlk1</v>
      </c>
      <c r="AL6" s="102" t="str">
        <f>'Prop DUOS'!G6</f>
        <v>PkBlk2</v>
      </c>
      <c r="AM6" s="102" t="str">
        <f>'Prop DUOS'!H6</f>
        <v>PkBlk3</v>
      </c>
      <c r="AN6" s="102" t="str">
        <f>'Prop DUOS'!I6</f>
        <v>PkBlk4</v>
      </c>
      <c r="AO6" s="102" t="str">
        <f>'Prop DUOS'!J6</f>
        <v>OPkBlk1</v>
      </c>
      <c r="AP6" s="102" t="str">
        <f>'Prop DUOS'!K6</f>
        <v>OPkBlk2</v>
      </c>
      <c r="AQ6" s="102" t="str">
        <f>'Prop DUOS'!L6</f>
        <v>OPkBlk3</v>
      </c>
      <c r="AR6" s="102" t="str">
        <f>'Prop DUOS'!M6</f>
        <v>OPkBlk4</v>
      </c>
      <c r="AS6" s="102" t="str">
        <f>'Prop DUOS'!N6</f>
        <v>OPkBlk5</v>
      </c>
      <c r="AT6" s="102" t="str">
        <f>'Prop DUOS'!O6</f>
        <v>DemBlk1</v>
      </c>
      <c r="AU6" s="102" t="str">
        <f>'Prop DUOS'!P6</f>
        <v>DemBlk2</v>
      </c>
      <c r="AV6" s="102" t="str">
        <f>'Prop DUOS'!Q6</f>
        <v>DemBlk3</v>
      </c>
      <c r="AW6" s="102" t="str">
        <f>'Prop DUOS'!R6</f>
        <v>DemBlk4</v>
      </c>
      <c r="AX6" s="102" t="str">
        <f>'Prop DUOS'!S6</f>
        <v>DemBlk5</v>
      </c>
      <c r="AY6" s="102" t="s">
        <v>28</v>
      </c>
    </row>
    <row r="7" spans="2:54" s="158" customFormat="1">
      <c r="B7" s="360" t="str">
        <f>IF('Prop DUOS'!B7="","",'Prop DUOS'!B7)</f>
        <v>Residential Single Rate</v>
      </c>
      <c r="C7" s="218"/>
      <c r="D7" s="759">
        <v>0</v>
      </c>
      <c r="E7" s="760">
        <v>1.77</v>
      </c>
      <c r="F7" s="760">
        <v>0</v>
      </c>
      <c r="G7" s="760">
        <v>0</v>
      </c>
      <c r="H7" s="423">
        <v>0</v>
      </c>
      <c r="I7" s="423">
        <v>0</v>
      </c>
      <c r="J7" s="423">
        <v>0</v>
      </c>
      <c r="K7" s="423">
        <v>0</v>
      </c>
      <c r="L7" s="423">
        <v>0</v>
      </c>
      <c r="M7" s="423">
        <v>0</v>
      </c>
      <c r="N7" s="278">
        <v>0</v>
      </c>
      <c r="O7" s="278">
        <v>0</v>
      </c>
      <c r="P7" s="760">
        <v>0</v>
      </c>
      <c r="Q7" s="761">
        <v>0</v>
      </c>
      <c r="R7" s="740">
        <v>0</v>
      </c>
      <c r="S7" s="228"/>
      <c r="T7" s="393">
        <f>'Prop DUOS'!U7</f>
        <v>580549</v>
      </c>
      <c r="U7" s="394">
        <f>'Prop DUOS'!V7</f>
        <v>2524288486.6366243</v>
      </c>
      <c r="V7" s="394">
        <f>'Prop DUOS'!W7</f>
        <v>0</v>
      </c>
      <c r="W7" s="394">
        <f>'Prop DUOS'!X7</f>
        <v>0</v>
      </c>
      <c r="X7" s="394">
        <f>'Prop DUOS'!Y7</f>
        <v>0</v>
      </c>
      <c r="Y7" s="394">
        <f>'Prop DUOS'!Z7</f>
        <v>0</v>
      </c>
      <c r="Z7" s="394">
        <f>'Prop DUOS'!AA7</f>
        <v>0</v>
      </c>
      <c r="AA7" s="394">
        <f>'Prop DUOS'!AB7</f>
        <v>0</v>
      </c>
      <c r="AB7" s="394">
        <f>'Prop DUOS'!AC7</f>
        <v>0</v>
      </c>
      <c r="AC7" s="394">
        <f>'Prop DUOS'!AD7</f>
        <v>0</v>
      </c>
      <c r="AD7" s="394">
        <f>'Prop DUOS'!AE7</f>
        <v>0</v>
      </c>
      <c r="AE7" s="394">
        <f>'Prop DUOS'!AF7</f>
        <v>0</v>
      </c>
      <c r="AF7" s="394">
        <f>'Prop DUOS'!AG7</f>
        <v>0</v>
      </c>
      <c r="AG7" s="630">
        <f>'Prop DUOS'!AH7</f>
        <v>0</v>
      </c>
      <c r="AH7" s="395">
        <f>'Prop DUOS'!AI7</f>
        <v>0</v>
      </c>
      <c r="AJ7" s="164">
        <f>IF('Prop DUOS'!$E$69="cents",D7/100,D7)*IF('Prop DUOS'!$E$71="day",T7*'Prop DUOS'!$D$74,T7)</f>
        <v>0</v>
      </c>
      <c r="AK7" s="165">
        <f>IF('Prop DUOS'!F$69="cents",E7/100,E7)*U7</f>
        <v>44679906.213468254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44679906.213468254</v>
      </c>
      <c r="BA7" s="87"/>
      <c r="BB7" s="87"/>
    </row>
    <row r="8" spans="2:54" s="158" customFormat="1">
      <c r="B8" s="360" t="str">
        <f>IF('Prop DUOS'!B8="","",'Prop DUOS'!B8)</f>
        <v>Residential ToU</v>
      </c>
      <c r="C8" s="220"/>
      <c r="D8" s="454">
        <v>0</v>
      </c>
      <c r="E8" s="278">
        <v>0</v>
      </c>
      <c r="F8" s="278">
        <v>3.46</v>
      </c>
      <c r="G8" s="278">
        <v>0.86</v>
      </c>
      <c r="H8" s="426">
        <v>0</v>
      </c>
      <c r="I8" s="426">
        <v>0</v>
      </c>
      <c r="J8" s="426">
        <v>0</v>
      </c>
      <c r="K8" s="426">
        <v>0</v>
      </c>
      <c r="L8" s="426">
        <v>0</v>
      </c>
      <c r="M8" s="426">
        <v>0</v>
      </c>
      <c r="N8" s="278">
        <v>0</v>
      </c>
      <c r="O8" s="278">
        <v>0</v>
      </c>
      <c r="P8" s="278">
        <v>0</v>
      </c>
      <c r="Q8" s="626">
        <v>0</v>
      </c>
      <c r="R8" s="455">
        <v>0</v>
      </c>
      <c r="S8" s="229"/>
      <c r="T8" s="396">
        <f>'Prop DUOS'!U8</f>
        <v>55272.112328767122</v>
      </c>
      <c r="U8" s="397">
        <f>'Prop DUOS'!V8</f>
        <v>0</v>
      </c>
      <c r="V8" s="397">
        <f>'Prop DUOS'!W8</f>
        <v>85971618.797040969</v>
      </c>
      <c r="W8" s="397">
        <f>'Prop DUOS'!X8</f>
        <v>165813121.49595508</v>
      </c>
      <c r="X8" s="397">
        <f>'Prop DUOS'!Y8</f>
        <v>0</v>
      </c>
      <c r="Y8" s="397">
        <f>'Prop DUOS'!Z8</f>
        <v>0</v>
      </c>
      <c r="Z8" s="397">
        <f>'Prop DUOS'!AA8</f>
        <v>0</v>
      </c>
      <c r="AA8" s="397">
        <f>'Prop DUOS'!AB8</f>
        <v>0</v>
      </c>
      <c r="AB8" s="397">
        <f>'Prop DUOS'!AC8</f>
        <v>0</v>
      </c>
      <c r="AC8" s="397">
        <f>'Prop DUOS'!AD8</f>
        <v>0</v>
      </c>
      <c r="AD8" s="397">
        <f>'Prop DUOS'!AE8</f>
        <v>0</v>
      </c>
      <c r="AE8" s="397">
        <f>'Prop DUOS'!AF8</f>
        <v>0</v>
      </c>
      <c r="AF8" s="397">
        <f>'Prop DUOS'!AG8</f>
        <v>0</v>
      </c>
      <c r="AG8" s="631">
        <f>'Prop DUOS'!AH8</f>
        <v>0</v>
      </c>
      <c r="AH8" s="398">
        <f>'Prop DUOS'!AI8</f>
        <v>0</v>
      </c>
      <c r="AJ8" s="210">
        <f>IF('Prop DUOS'!$E$69="cents",D8/100,D8)*IF('Prop DUOS'!$E$71="day",T8*'Prop DUOS'!$D$74,T8)</f>
        <v>0</v>
      </c>
      <c r="AK8" s="211">
        <f>IF('Prop DUOS'!F$69="cents",E8/100,E8)*U8</f>
        <v>0</v>
      </c>
      <c r="AL8" s="211">
        <f>IF('Prop DUOS'!G$69="cents",F8/100,F8)*V8</f>
        <v>2974618.0103776176</v>
      </c>
      <c r="AM8" s="211">
        <f>IF('Prop DUOS'!H$69="cents",G8/100,G8)*W8</f>
        <v>1425992.8448652136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4400610.8552428316</v>
      </c>
      <c r="BA8" s="87"/>
      <c r="BB8" s="87"/>
    </row>
    <row r="9" spans="2:54" s="158" customFormat="1">
      <c r="B9" s="360" t="str">
        <f>IF('Prop DUOS'!B9="","",'Prop DUOS'!B9)</f>
        <v>Residential Demand</v>
      </c>
      <c r="C9" s="220"/>
      <c r="D9" s="454">
        <v>0</v>
      </c>
      <c r="E9" s="278">
        <v>1.77</v>
      </c>
      <c r="F9" s="278">
        <v>0</v>
      </c>
      <c r="G9" s="278">
        <v>0</v>
      </c>
      <c r="H9" s="426">
        <v>0</v>
      </c>
      <c r="I9" s="426">
        <v>0</v>
      </c>
      <c r="J9" s="426">
        <v>0</v>
      </c>
      <c r="K9" s="426">
        <v>0</v>
      </c>
      <c r="L9" s="426">
        <v>0</v>
      </c>
      <c r="M9" s="426">
        <v>0</v>
      </c>
      <c r="N9" s="278">
        <v>0</v>
      </c>
      <c r="O9" s="278">
        <v>0</v>
      </c>
      <c r="P9" s="278">
        <v>9.43</v>
      </c>
      <c r="Q9" s="278">
        <v>2.04</v>
      </c>
      <c r="R9" s="455">
        <v>0</v>
      </c>
      <c r="S9" s="229"/>
      <c r="T9" s="396">
        <f>'Prop DUOS'!U9</f>
        <v>809</v>
      </c>
      <c r="U9" s="397">
        <f>'Prop DUOS'!V9</f>
        <v>4347911.9823071193</v>
      </c>
      <c r="V9" s="397">
        <f>'Prop DUOS'!W9</f>
        <v>0</v>
      </c>
      <c r="W9" s="397">
        <f>'Prop DUOS'!X9</f>
        <v>0</v>
      </c>
      <c r="X9" s="397">
        <f>'Prop DUOS'!Y9</f>
        <v>0</v>
      </c>
      <c r="Y9" s="397">
        <f>'Prop DUOS'!Z9</f>
        <v>0</v>
      </c>
      <c r="Z9" s="397">
        <f>'Prop DUOS'!AA9</f>
        <v>0</v>
      </c>
      <c r="AA9" s="397">
        <f>'Prop DUOS'!AB9</f>
        <v>0</v>
      </c>
      <c r="AB9" s="397">
        <f>'Prop DUOS'!AC9</f>
        <v>0</v>
      </c>
      <c r="AC9" s="397">
        <f>'Prop DUOS'!AD9</f>
        <v>0</v>
      </c>
      <c r="AD9" s="397">
        <f>'Prop DUOS'!AE9</f>
        <v>0</v>
      </c>
      <c r="AE9" s="397">
        <f>'Prop DUOS'!AF9</f>
        <v>0</v>
      </c>
      <c r="AF9" s="397">
        <f>'Prop DUOS'!AG9</f>
        <v>938.38779800727002</v>
      </c>
      <c r="AG9" s="631">
        <f>'Prop DUOS'!AH9</f>
        <v>1742.4161316469886</v>
      </c>
      <c r="AH9" s="398">
        <f>'Prop DUOS'!AI9</f>
        <v>0</v>
      </c>
      <c r="AJ9" s="210">
        <f>IF('Prop DUOS'!$E$69="cents",D9/100,D9)*IF('Prop DUOS'!$E$71="day",T9*'Prop DUOS'!$D$74,T9)</f>
        <v>0</v>
      </c>
      <c r="AK9" s="211">
        <f>IF('Prop DUOS'!F$69="cents",E9/100,E9)*U9</f>
        <v>76958.042086836009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32298.838813511229</v>
      </c>
      <c r="AW9" s="211">
        <f>IF('Prop DUOS'!R$69="cents",Q9/100,Q9)*IF('Prop DUOS'!R$71="day",AG9*'Prop DUOS'!$D$74,IF('Prop DUOS'!R$71="month",AG9*12,AG9))</f>
        <v>12974.030516243478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122230.91141659072</v>
      </c>
      <c r="BA9" s="87"/>
      <c r="BB9" s="87"/>
    </row>
    <row r="10" spans="2:54" s="158" customFormat="1">
      <c r="B10" s="360" t="str">
        <f>IF('Prop DUOS'!B10="","",'Prop DUOS'!B10)</f>
        <v>Dedicated circuit</v>
      </c>
      <c r="C10" s="220"/>
      <c r="D10" s="454">
        <v>0</v>
      </c>
      <c r="E10" s="278">
        <v>0</v>
      </c>
      <c r="F10" s="278">
        <v>0</v>
      </c>
      <c r="G10" s="278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278">
        <v>0</v>
      </c>
      <c r="O10" s="278">
        <v>0</v>
      </c>
      <c r="P10" s="278">
        <v>0</v>
      </c>
      <c r="Q10" s="626">
        <v>0</v>
      </c>
      <c r="R10" s="455">
        <v>0</v>
      </c>
      <c r="S10" s="229"/>
      <c r="T10" s="396">
        <f>'Prop DUOS'!U10</f>
        <v>54435.679452054792</v>
      </c>
      <c r="U10" s="397">
        <f>'Prop DUOS'!V10</f>
        <v>0</v>
      </c>
      <c r="V10" s="397">
        <f>'Prop DUOS'!W10</f>
        <v>0</v>
      </c>
      <c r="W10" s="397">
        <f>'Prop DUOS'!X10</f>
        <v>76921511.443784386</v>
      </c>
      <c r="X10" s="397">
        <f>'Prop DUOS'!Y10</f>
        <v>0</v>
      </c>
      <c r="Y10" s="397">
        <f>'Prop DUOS'!Z10</f>
        <v>0</v>
      </c>
      <c r="Z10" s="397">
        <f>'Prop DUOS'!AA10</f>
        <v>0</v>
      </c>
      <c r="AA10" s="397">
        <f>'Prop DUOS'!AB10</f>
        <v>0</v>
      </c>
      <c r="AB10" s="397">
        <f>'Prop DUOS'!AC10</f>
        <v>0</v>
      </c>
      <c r="AC10" s="397">
        <f>'Prop DUOS'!AD10</f>
        <v>0</v>
      </c>
      <c r="AD10" s="397">
        <f>'Prop DUOS'!AE10</f>
        <v>0</v>
      </c>
      <c r="AE10" s="397">
        <f>'Prop DUOS'!AF10</f>
        <v>0</v>
      </c>
      <c r="AF10" s="397">
        <f>'Prop DUOS'!AG10</f>
        <v>0</v>
      </c>
      <c r="AG10" s="631">
        <f>'Prop DUOS'!AH10</f>
        <v>0</v>
      </c>
      <c r="AH10" s="398">
        <f>'Prop DUOS'!AI10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0</v>
      </c>
      <c r="AO10" s="211">
        <f>IF('Prop DUOS'!J$69="cents",I10/100,I10)*Y10</f>
        <v>0</v>
      </c>
      <c r="AP10" s="211">
        <f>IF('Prop DUOS'!K$69="cents",J10/100,J10)*Z10</f>
        <v>0</v>
      </c>
      <c r="AQ10" s="211">
        <f>IF('Prop DUOS'!L$69="cents",K10/100,K10)*AA10</f>
        <v>0</v>
      </c>
      <c r="AR10" s="211">
        <f>IF('Prop DUOS'!M$69="cents",L10/100,L10)*AB10</f>
        <v>0</v>
      </c>
      <c r="AS10" s="211">
        <f>IF('Prop DUOS'!N$69="cents",M10/100,M10)*AC10</f>
        <v>0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0</v>
      </c>
      <c r="BA10" s="87"/>
      <c r="BB10" s="87"/>
    </row>
    <row r="11" spans="2:54" s="158" customFormat="1">
      <c r="B11" s="360" t="str">
        <f>IF('Prop DUOS'!B11="","",'Prop DUOS'!B11)</f>
        <v>Small Business Single Rate</v>
      </c>
      <c r="C11" s="220"/>
      <c r="D11" s="454">
        <v>0</v>
      </c>
      <c r="E11" s="278">
        <v>1.94</v>
      </c>
      <c r="F11" s="278">
        <v>0</v>
      </c>
      <c r="G11" s="278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278">
        <v>0</v>
      </c>
      <c r="O11" s="278">
        <v>0</v>
      </c>
      <c r="P11" s="278">
        <v>0</v>
      </c>
      <c r="Q11" s="626">
        <v>0</v>
      </c>
      <c r="R11" s="455">
        <v>0</v>
      </c>
      <c r="S11" s="229"/>
      <c r="T11" s="396">
        <f>'Prop DUOS'!U11</f>
        <v>36969</v>
      </c>
      <c r="U11" s="397">
        <f>'Prop DUOS'!V11</f>
        <v>403328071.08330297</v>
      </c>
      <c r="V11" s="397">
        <f>'Prop DUOS'!W11</f>
        <v>0</v>
      </c>
      <c r="W11" s="397">
        <f>'Prop DUOS'!X11</f>
        <v>0</v>
      </c>
      <c r="X11" s="397">
        <f>'Prop DUOS'!Y11</f>
        <v>0</v>
      </c>
      <c r="Y11" s="397">
        <f>'Prop DUOS'!Z11</f>
        <v>0</v>
      </c>
      <c r="Z11" s="397">
        <f>'Prop DUOS'!AA11</f>
        <v>0</v>
      </c>
      <c r="AA11" s="397">
        <f>'Prop DUOS'!AB11</f>
        <v>0</v>
      </c>
      <c r="AB11" s="397">
        <f>'Prop DUOS'!AC11</f>
        <v>0</v>
      </c>
      <c r="AC11" s="397">
        <f>'Prop DUOS'!AD11</f>
        <v>0</v>
      </c>
      <c r="AD11" s="397">
        <f>'Prop DUOS'!AE11</f>
        <v>0</v>
      </c>
      <c r="AE11" s="397">
        <f>'Prop DUOS'!AF11</f>
        <v>0</v>
      </c>
      <c r="AF11" s="397">
        <f>'Prop DUOS'!AG11</f>
        <v>0</v>
      </c>
      <c r="AG11" s="631">
        <f>'Prop DUOS'!AH11</f>
        <v>0</v>
      </c>
      <c r="AH11" s="398">
        <f>'Prop DUOS'!AI11</f>
        <v>0</v>
      </c>
      <c r="AJ11" s="210">
        <f>IF('Prop DUOS'!$E$69="cents",D11/100,D11)*IF('Prop DUOS'!$E$71="day",T11*'Prop DUOS'!$D$74,T11)</f>
        <v>0</v>
      </c>
      <c r="AK11" s="211">
        <f>IF('Prop DUOS'!F$69="cents",E11/100,E11)*U11</f>
        <v>7824564.5790160783</v>
      </c>
      <c r="AL11" s="211">
        <f>IF('Prop DUOS'!G$69="cents",F11/100,F11)*V11</f>
        <v>0</v>
      </c>
      <c r="AM11" s="211">
        <f>IF('Prop DUOS'!H$69="cents",G11/100,G11)*W11</f>
        <v>0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7824564.5790160783</v>
      </c>
      <c r="BA11" s="87"/>
      <c r="BB11" s="87"/>
    </row>
    <row r="12" spans="2:54" s="158" customFormat="1">
      <c r="B12" s="360" t="str">
        <f>IF('Prop DUOS'!B12="","",'Prop DUOS'!B12)</f>
        <v>Small Business ToU</v>
      </c>
      <c r="C12" s="220"/>
      <c r="D12" s="454">
        <v>0</v>
      </c>
      <c r="E12" s="278">
        <v>0</v>
      </c>
      <c r="F12" s="278">
        <v>2.7699999999999996</v>
      </c>
      <c r="G12" s="278">
        <v>0.62</v>
      </c>
      <c r="H12" s="426">
        <v>0</v>
      </c>
      <c r="I12" s="426">
        <v>0</v>
      </c>
      <c r="J12" s="426">
        <v>0</v>
      </c>
      <c r="K12" s="426">
        <v>0</v>
      </c>
      <c r="L12" s="426">
        <v>0</v>
      </c>
      <c r="M12" s="426">
        <v>0</v>
      </c>
      <c r="N12" s="278">
        <v>0</v>
      </c>
      <c r="O12" s="278">
        <v>0</v>
      </c>
      <c r="P12" s="278">
        <v>0</v>
      </c>
      <c r="Q12" s="626">
        <v>0</v>
      </c>
      <c r="R12" s="455">
        <v>0</v>
      </c>
      <c r="S12" s="229"/>
      <c r="T12" s="396">
        <f>'Prop DUOS'!U12</f>
        <v>14398.068493150686</v>
      </c>
      <c r="U12" s="397">
        <f>'Prop DUOS'!V12</f>
        <v>0</v>
      </c>
      <c r="V12" s="397">
        <f>'Prop DUOS'!W12</f>
        <v>123667368.07564241</v>
      </c>
      <c r="W12" s="397">
        <f>'Prop DUOS'!X12</f>
        <v>113278792.18936664</v>
      </c>
      <c r="X12" s="397">
        <f>'Prop DUOS'!Y12</f>
        <v>0</v>
      </c>
      <c r="Y12" s="397">
        <f>'Prop DUOS'!Z12</f>
        <v>0</v>
      </c>
      <c r="Z12" s="397">
        <f>'Prop DUOS'!AA12</f>
        <v>0</v>
      </c>
      <c r="AA12" s="397">
        <f>'Prop DUOS'!AB12</f>
        <v>0</v>
      </c>
      <c r="AB12" s="397">
        <f>'Prop DUOS'!AC12</f>
        <v>0</v>
      </c>
      <c r="AC12" s="397">
        <f>'Prop DUOS'!AD12</f>
        <v>0</v>
      </c>
      <c r="AD12" s="397">
        <f>'Prop DUOS'!AE12</f>
        <v>0</v>
      </c>
      <c r="AE12" s="397">
        <f>'Prop DUOS'!AF12</f>
        <v>0</v>
      </c>
      <c r="AF12" s="397">
        <f>'Prop DUOS'!AG12</f>
        <v>0</v>
      </c>
      <c r="AG12" s="631">
        <f>'Prop DUOS'!AH12</f>
        <v>0</v>
      </c>
      <c r="AH12" s="398">
        <f>'Prop DUOS'!AI12</f>
        <v>0</v>
      </c>
      <c r="AJ12" s="210">
        <f>IF('Prop DUOS'!$E$69="cents",D12/100,D12)*IF('Prop DUOS'!$E$71="day",T12*'Prop DUOS'!$D$74,T12)</f>
        <v>0</v>
      </c>
      <c r="AK12" s="211">
        <f>IF('Prop DUOS'!F$69="cents",E12/100,E12)*U12</f>
        <v>0</v>
      </c>
      <c r="AL12" s="211">
        <f>IF('Prop DUOS'!G$69="cents",F12/100,F12)*V12</f>
        <v>3425586.095695294</v>
      </c>
      <c r="AM12" s="211">
        <f>IF('Prop DUOS'!H$69="cents",G12/100,G12)*W12</f>
        <v>702328.51157407311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4127914.6072693672</v>
      </c>
      <c r="BA12" s="87"/>
      <c r="BB12" s="87"/>
    </row>
    <row r="13" spans="2:54" s="158" customFormat="1">
      <c r="B13" s="360" t="str">
        <f>IF('Prop DUOS'!B13="","",'Prop DUOS'!B13)</f>
        <v>Small Business Demand</v>
      </c>
      <c r="C13" s="220"/>
      <c r="D13" s="454">
        <v>0</v>
      </c>
      <c r="E13" s="278">
        <v>1.94</v>
      </c>
      <c r="F13" s="278">
        <v>0</v>
      </c>
      <c r="G13" s="278">
        <v>0</v>
      </c>
      <c r="H13" s="426">
        <v>0</v>
      </c>
      <c r="I13" s="426">
        <v>0</v>
      </c>
      <c r="J13" s="426">
        <v>0</v>
      </c>
      <c r="K13" s="426">
        <v>0</v>
      </c>
      <c r="L13" s="426">
        <v>0</v>
      </c>
      <c r="M13" s="426">
        <v>0</v>
      </c>
      <c r="N13" s="278">
        <v>0</v>
      </c>
      <c r="O13" s="278">
        <v>0</v>
      </c>
      <c r="P13" s="278">
        <v>23.71</v>
      </c>
      <c r="Q13" s="278">
        <v>6.31</v>
      </c>
      <c r="R13" s="455">
        <v>0</v>
      </c>
      <c r="S13" s="229"/>
      <c r="T13" s="396">
        <f>'Prop DUOS'!U13</f>
        <v>8216.139726027397</v>
      </c>
      <c r="U13" s="397">
        <f>'Prop DUOS'!V13</f>
        <v>625883199.74601364</v>
      </c>
      <c r="V13" s="397">
        <f>'Prop DUOS'!W13</f>
        <v>0</v>
      </c>
      <c r="W13" s="397">
        <f>'Prop DUOS'!X13</f>
        <v>0</v>
      </c>
      <c r="X13" s="397">
        <f>'Prop DUOS'!Y13</f>
        <v>0</v>
      </c>
      <c r="Y13" s="397">
        <f>'Prop DUOS'!Z13</f>
        <v>0</v>
      </c>
      <c r="Z13" s="397">
        <f>'Prop DUOS'!AA13</f>
        <v>0</v>
      </c>
      <c r="AA13" s="397">
        <f>'Prop DUOS'!AB13</f>
        <v>0</v>
      </c>
      <c r="AB13" s="397">
        <f>'Prop DUOS'!AC13</f>
        <v>0</v>
      </c>
      <c r="AC13" s="397">
        <f>'Prop DUOS'!AD13</f>
        <v>0</v>
      </c>
      <c r="AD13" s="397">
        <f>'Prop DUOS'!AE13</f>
        <v>0</v>
      </c>
      <c r="AE13" s="397">
        <f>'Prop DUOS'!AF13</f>
        <v>0</v>
      </c>
      <c r="AF13" s="397">
        <f>'Prop DUOS'!AG13</f>
        <v>75415.659202010967</v>
      </c>
      <c r="AG13" s="631">
        <f>'Prop DUOS'!AH13</f>
        <v>126023.54741072851</v>
      </c>
      <c r="AH13" s="398">
        <f>'Prop DUOS'!AI13</f>
        <v>0</v>
      </c>
      <c r="AJ13" s="210">
        <f>IF('Prop DUOS'!$E$69="cents",D13/100,D13)*IF('Prop DUOS'!$E$71="day",T13*'Prop DUOS'!$D$74,T13)</f>
        <v>0</v>
      </c>
      <c r="AK13" s="211">
        <f>IF('Prop DUOS'!F$69="cents",E13/100,E13)*U13</f>
        <v>12142134.075072665</v>
      </c>
      <c r="AL13" s="211">
        <f>IF('Prop DUOS'!G$69="cents",F13/100,F13)*V13</f>
        <v>0</v>
      </c>
      <c r="AM13" s="211">
        <f>IF('Prop DUOS'!H$69="cents",G13/100,G13)*W13</f>
        <v>0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6526584.2708308324</v>
      </c>
      <c r="AW13" s="211">
        <f>IF('Prop DUOS'!R$69="cents",Q13/100,Q13)*IF('Prop DUOS'!R$71="day",AG13*'Prop DUOS'!$D$74,IF('Prop DUOS'!R$71="month",AG13*12,AG13))</f>
        <v>2902511.3321901932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21571229.67809369</v>
      </c>
      <c r="BA13" s="87"/>
      <c r="BB13" s="87"/>
    </row>
    <row r="14" spans="2:54" s="158" customFormat="1">
      <c r="B14" s="360" t="str">
        <f>IF('Prop DUOS'!B14="","",'Prop DUOS'!B14)</f>
        <v>Unmetered supplies</v>
      </c>
      <c r="C14" s="220"/>
      <c r="D14" s="454">
        <v>0</v>
      </c>
      <c r="E14" s="278">
        <v>0</v>
      </c>
      <c r="F14" s="278">
        <v>3.91</v>
      </c>
      <c r="G14" s="278">
        <v>0</v>
      </c>
      <c r="H14" s="426">
        <v>0</v>
      </c>
      <c r="I14" s="426">
        <v>0</v>
      </c>
      <c r="J14" s="426">
        <v>0</v>
      </c>
      <c r="K14" s="426">
        <v>0</v>
      </c>
      <c r="L14" s="426">
        <v>0</v>
      </c>
      <c r="M14" s="426">
        <v>0</v>
      </c>
      <c r="N14" s="278">
        <v>0</v>
      </c>
      <c r="O14" s="278">
        <v>0</v>
      </c>
      <c r="P14" s="278">
        <v>0</v>
      </c>
      <c r="Q14" s="626">
        <v>0</v>
      </c>
      <c r="R14" s="455">
        <v>0</v>
      </c>
      <c r="S14" s="229"/>
      <c r="T14" s="396">
        <f>'Prop DUOS'!U14</f>
        <v>9501.465753424658</v>
      </c>
      <c r="U14" s="397">
        <f>'Prop DUOS'!V14</f>
        <v>0</v>
      </c>
      <c r="V14" s="397">
        <f>'Prop DUOS'!W14</f>
        <v>32050724.468822587</v>
      </c>
      <c r="W14" s="397">
        <f>'Prop DUOS'!X14</f>
        <v>59106621.536154352</v>
      </c>
      <c r="X14" s="397">
        <f>'Prop DUOS'!Y14</f>
        <v>0</v>
      </c>
      <c r="Y14" s="397">
        <f>'Prop DUOS'!Z14</f>
        <v>0</v>
      </c>
      <c r="Z14" s="397">
        <f>'Prop DUOS'!AA14</f>
        <v>0</v>
      </c>
      <c r="AA14" s="397">
        <f>'Prop DUOS'!AB14</f>
        <v>0</v>
      </c>
      <c r="AB14" s="397">
        <f>'Prop DUOS'!AC14</f>
        <v>0</v>
      </c>
      <c r="AC14" s="397">
        <f>'Prop DUOS'!AD14</f>
        <v>0</v>
      </c>
      <c r="AD14" s="397">
        <f>'Prop DUOS'!AE14</f>
        <v>0</v>
      </c>
      <c r="AE14" s="397">
        <f>'Prop DUOS'!AF14</f>
        <v>0</v>
      </c>
      <c r="AF14" s="397">
        <f>'Prop DUOS'!AG14</f>
        <v>0</v>
      </c>
      <c r="AG14" s="631">
        <f>'Prop DUOS'!AH14</f>
        <v>0</v>
      </c>
      <c r="AH14" s="398">
        <f>'Prop DUOS'!AI14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0</v>
      </c>
      <c r="AL14" s="211">
        <f>IF('Prop DUOS'!G$69="cents",F14/100,F14)*V14</f>
        <v>1253183.3267309633</v>
      </c>
      <c r="AM14" s="211">
        <f>IF('Prop DUOS'!H$69="cents",G14/100,G14)*W14</f>
        <v>0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1253183.3267309633</v>
      </c>
      <c r="BA14" s="87"/>
      <c r="BB14" s="87"/>
    </row>
    <row r="15" spans="2:54" s="158" customFormat="1">
      <c r="B15" s="360" t="str">
        <f>IF('Prop DUOS'!B15="","",'Prop DUOS'!B15)</f>
        <v>Large low Voltage</v>
      </c>
      <c r="C15" s="220"/>
      <c r="D15" s="454">
        <v>0</v>
      </c>
      <c r="E15" s="278">
        <v>0</v>
      </c>
      <c r="F15" s="278">
        <v>1.48</v>
      </c>
      <c r="G15" s="278">
        <v>0.75</v>
      </c>
      <c r="H15" s="426">
        <v>0</v>
      </c>
      <c r="I15" s="426">
        <v>0</v>
      </c>
      <c r="J15" s="426">
        <v>0</v>
      </c>
      <c r="K15" s="426">
        <v>0</v>
      </c>
      <c r="L15" s="426">
        <v>0</v>
      </c>
      <c r="M15" s="426">
        <v>0</v>
      </c>
      <c r="N15" s="278">
        <v>2.06</v>
      </c>
      <c r="O15" s="278">
        <v>28.32</v>
      </c>
      <c r="P15" s="278">
        <v>0</v>
      </c>
      <c r="Q15" s="626">
        <v>0</v>
      </c>
      <c r="R15" s="455">
        <v>0</v>
      </c>
      <c r="S15" s="229"/>
      <c r="T15" s="396">
        <f>'Prop DUOS'!U15</f>
        <v>2989.5698630136985</v>
      </c>
      <c r="U15" s="397">
        <f>'Prop DUOS'!V15</f>
        <v>0</v>
      </c>
      <c r="V15" s="397">
        <f>'Prop DUOS'!W15</f>
        <v>981694296.1242367</v>
      </c>
      <c r="W15" s="397">
        <f>'Prop DUOS'!X15</f>
        <v>1184370376.5132132</v>
      </c>
      <c r="X15" s="397">
        <f>'Prop DUOS'!Y15</f>
        <v>0</v>
      </c>
      <c r="Y15" s="397">
        <f>'Prop DUOS'!Z15</f>
        <v>0</v>
      </c>
      <c r="Z15" s="397">
        <f>'Prop DUOS'!AA15</f>
        <v>0</v>
      </c>
      <c r="AA15" s="397">
        <f>'Prop DUOS'!AB15</f>
        <v>0</v>
      </c>
      <c r="AB15" s="397">
        <f>'Prop DUOS'!AC15</f>
        <v>0</v>
      </c>
      <c r="AC15" s="397">
        <f>'Prop DUOS'!AD15</f>
        <v>0</v>
      </c>
      <c r="AD15" s="397">
        <f>'Prop DUOS'!AE15</f>
        <v>823719.26000000047</v>
      </c>
      <c r="AE15" s="397">
        <f>'Prop DUOS'!AF15</f>
        <v>185858.51673972595</v>
      </c>
      <c r="AF15" s="397">
        <f>'Prop DUOS'!AG15</f>
        <v>0</v>
      </c>
      <c r="AG15" s="631">
        <f>'Prop DUOS'!AH15</f>
        <v>0</v>
      </c>
      <c r="AH15" s="398">
        <f>'Prop DUOS'!AI15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14529075.582638703</v>
      </c>
      <c r="AM15" s="211">
        <f>IF('Prop DUOS'!H$69="cents",G15/100,G15)*W15</f>
        <v>8882777.8238490988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6193545.1159400037</v>
      </c>
      <c r="AU15" s="211">
        <f>IF('Prop DUOS'!P$69="cents",O15/100,O15)*IF('Prop DUOS'!P$71="day",AE15*'Prop DUOS'!$D$74,IF('Prop DUOS'!P$71="month",AE15*12,AE15))</f>
        <v>19211823.158351991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48817221.6807798</v>
      </c>
      <c r="BA15" s="87"/>
      <c r="BB15" s="87"/>
    </row>
    <row r="16" spans="2:54" s="158" customFormat="1">
      <c r="B16" s="360" t="str">
        <f>IF('Prop DUOS'!B16="","",'Prop DUOS'!B16)</f>
        <v>High voltage</v>
      </c>
      <c r="C16" s="220"/>
      <c r="D16" s="454">
        <v>0</v>
      </c>
      <c r="E16" s="278">
        <v>0</v>
      </c>
      <c r="F16" s="278">
        <v>1.48</v>
      </c>
      <c r="G16" s="278">
        <v>0.75</v>
      </c>
      <c r="H16" s="426">
        <v>0</v>
      </c>
      <c r="I16" s="426">
        <v>0</v>
      </c>
      <c r="J16" s="426">
        <v>0</v>
      </c>
      <c r="K16" s="426">
        <v>0</v>
      </c>
      <c r="L16" s="426">
        <v>0</v>
      </c>
      <c r="M16" s="426">
        <v>0</v>
      </c>
      <c r="N16" s="278">
        <v>4.42</v>
      </c>
      <c r="O16" s="278">
        <v>17.89</v>
      </c>
      <c r="P16" s="278">
        <v>0</v>
      </c>
      <c r="Q16" s="626">
        <v>0</v>
      </c>
      <c r="R16" s="455">
        <v>0</v>
      </c>
      <c r="S16" s="229"/>
      <c r="T16" s="396">
        <f>'Prop DUOS'!U16</f>
        <v>95</v>
      </c>
      <c r="U16" s="397">
        <f>'Prop DUOS'!V16</f>
        <v>0</v>
      </c>
      <c r="V16" s="397">
        <f>'Prop DUOS'!W16</f>
        <v>399717208.64517057</v>
      </c>
      <c r="W16" s="397">
        <f>'Prop DUOS'!X16</f>
        <v>623012247.97659087</v>
      </c>
      <c r="X16" s="397">
        <f>'Prop DUOS'!Y16</f>
        <v>0</v>
      </c>
      <c r="Y16" s="397">
        <f>'Prop DUOS'!Z16</f>
        <v>0</v>
      </c>
      <c r="Z16" s="397">
        <f>'Prop DUOS'!AA16</f>
        <v>0</v>
      </c>
      <c r="AA16" s="397">
        <f>'Prop DUOS'!AB16</f>
        <v>0</v>
      </c>
      <c r="AB16" s="397">
        <f>'Prop DUOS'!AC16</f>
        <v>0</v>
      </c>
      <c r="AC16" s="397">
        <f>'Prop DUOS'!AD16</f>
        <v>0</v>
      </c>
      <c r="AD16" s="397">
        <f>'Prop DUOS'!AE16</f>
        <v>274773.69</v>
      </c>
      <c r="AE16" s="397">
        <f>'Prop DUOS'!AF16</f>
        <v>69117.120904109615</v>
      </c>
      <c r="AF16" s="397">
        <f>'Prop DUOS'!AG16</f>
        <v>0</v>
      </c>
      <c r="AG16" s="631">
        <f>'Prop DUOS'!AH16</f>
        <v>0</v>
      </c>
      <c r="AH16" s="398">
        <f>'Prop DUOS'!AI16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5915814.687948525</v>
      </c>
      <c r="AM16" s="211">
        <f>IF('Prop DUOS'!H$69="cents",G16/100,G16)*W16</f>
        <v>4672591.8598244311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4432923.9407699993</v>
      </c>
      <c r="AU16" s="211">
        <f>IF('Prop DUOS'!P$69="cents",O16/100,O16)*IF('Prop DUOS'!P$71="day",AE16*'Prop DUOS'!$D$74,IF('Prop DUOS'!P$71="month",AE16*12,AE16))</f>
        <v>4513244.3193570022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19534574.807899959</v>
      </c>
      <c r="BA16" s="87"/>
      <c r="BB16" s="87"/>
    </row>
    <row r="17" spans="2:54" s="158" customFormat="1">
      <c r="B17" s="360" t="str">
        <f>IF('Prop DUOS'!B17="","",'Prop DUOS'!B17)</f>
        <v>Subtransmission</v>
      </c>
      <c r="C17" s="220"/>
      <c r="D17" s="454">
        <v>0</v>
      </c>
      <c r="E17" s="278">
        <v>0</v>
      </c>
      <c r="F17" s="278">
        <v>1.48</v>
      </c>
      <c r="G17" s="278">
        <v>0.75</v>
      </c>
      <c r="H17" s="426">
        <v>0</v>
      </c>
      <c r="I17" s="426">
        <v>0</v>
      </c>
      <c r="J17" s="426">
        <v>0</v>
      </c>
      <c r="K17" s="426">
        <v>0</v>
      </c>
      <c r="L17" s="426">
        <v>0</v>
      </c>
      <c r="M17" s="426">
        <v>0</v>
      </c>
      <c r="N17" s="278">
        <v>1.53</v>
      </c>
      <c r="O17" s="278">
        <v>10.79</v>
      </c>
      <c r="P17" s="278">
        <v>0</v>
      </c>
      <c r="Q17" s="626">
        <v>0</v>
      </c>
      <c r="R17" s="455">
        <v>0</v>
      </c>
      <c r="S17" s="229"/>
      <c r="T17" s="396">
        <f>'Prop DUOS'!U17</f>
        <v>1</v>
      </c>
      <c r="U17" s="397">
        <f>'Prop DUOS'!V17</f>
        <v>0</v>
      </c>
      <c r="V17" s="397">
        <f>'Prop DUOS'!W17</f>
        <v>13659712.5</v>
      </c>
      <c r="W17" s="397">
        <f>'Prop DUOS'!X17</f>
        <v>10782361.5</v>
      </c>
      <c r="X17" s="397">
        <f>'Prop DUOS'!Y17</f>
        <v>0</v>
      </c>
      <c r="Y17" s="397">
        <f>'Prop DUOS'!Z17</f>
        <v>0</v>
      </c>
      <c r="Z17" s="397">
        <f>'Prop DUOS'!AA17</f>
        <v>0</v>
      </c>
      <c r="AA17" s="397">
        <f>'Prop DUOS'!AB17</f>
        <v>0</v>
      </c>
      <c r="AB17" s="397">
        <f>'Prop DUOS'!AC17</f>
        <v>0</v>
      </c>
      <c r="AC17" s="397">
        <f>'Prop DUOS'!AD17</f>
        <v>0</v>
      </c>
      <c r="AD17" s="397">
        <f>'Prop DUOS'!AE17</f>
        <v>9906.8700000000026</v>
      </c>
      <c r="AE17" s="397">
        <f>'Prop DUOS'!AF17</f>
        <v>2788.267561643836</v>
      </c>
      <c r="AF17" s="397">
        <f>'Prop DUOS'!AG17</f>
        <v>0</v>
      </c>
      <c r="AG17" s="631">
        <f>'Prop DUOS'!AH17</f>
        <v>0</v>
      </c>
      <c r="AH17" s="398">
        <f>'Prop DUOS'!AI17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202163.745</v>
      </c>
      <c r="AM17" s="211">
        <f>IF('Prop DUOS'!H$69="cents",G17/100,G17)*W17</f>
        <v>80867.711249999993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55324.915515000015</v>
      </c>
      <c r="AU17" s="211">
        <f>IF('Prop DUOS'!P$69="cents",O17/100,O17)*IF('Prop DUOS'!P$71="day",AE17*'Prop DUOS'!$D$74,IF('Prop DUOS'!P$71="month",AE17*12,AE17))</f>
        <v>109811.73551400001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448168.10727899999</v>
      </c>
      <c r="BA17" s="87"/>
      <c r="BB17" s="87"/>
    </row>
    <row r="18" spans="2:54" s="158" customFormat="1">
      <c r="B18" s="360" t="str">
        <f>IF('Prop DUOS'!B18="","",'Prop DUOS'!B18)</f>
        <v/>
      </c>
      <c r="C18" s="220"/>
      <c r="D18" s="454"/>
      <c r="E18" s="278"/>
      <c r="F18" s="278"/>
      <c r="G18" s="278"/>
      <c r="H18" s="278"/>
      <c r="I18" s="278"/>
      <c r="J18" s="278"/>
      <c r="K18" s="278"/>
      <c r="L18" s="278"/>
      <c r="M18" s="278"/>
      <c r="N18" s="278"/>
      <c r="O18" s="278"/>
      <c r="P18" s="278"/>
      <c r="Q18" s="626"/>
      <c r="R18" s="455"/>
      <c r="S18" s="229"/>
      <c r="T18" s="396">
        <f>'Prop DUOS'!U18</f>
        <v>0</v>
      </c>
      <c r="U18" s="397">
        <f>'Prop DUOS'!V18</f>
        <v>0</v>
      </c>
      <c r="V18" s="397">
        <f>'Prop DUOS'!W18</f>
        <v>0</v>
      </c>
      <c r="W18" s="397">
        <f>'Prop DUOS'!X18</f>
        <v>0</v>
      </c>
      <c r="X18" s="397">
        <f>'Prop DUOS'!Y18</f>
        <v>0</v>
      </c>
      <c r="Y18" s="397">
        <f>'Prop DUOS'!Z18</f>
        <v>0</v>
      </c>
      <c r="Z18" s="397">
        <f>'Prop DUOS'!AA18</f>
        <v>0</v>
      </c>
      <c r="AA18" s="397">
        <f>'Prop DUOS'!AB18</f>
        <v>0</v>
      </c>
      <c r="AB18" s="397">
        <f>'Prop DUOS'!AC18</f>
        <v>0</v>
      </c>
      <c r="AC18" s="397">
        <f>'Prop DUOS'!AD18</f>
        <v>0</v>
      </c>
      <c r="AD18" s="397">
        <f>'Prop DUOS'!AE18</f>
        <v>0</v>
      </c>
      <c r="AE18" s="397">
        <f>'Prop DUOS'!AF18</f>
        <v>0</v>
      </c>
      <c r="AF18" s="397">
        <f>'Prop DUOS'!AG18</f>
        <v>0</v>
      </c>
      <c r="AG18" s="631">
        <f>'Prop DUOS'!AH18</f>
        <v>0</v>
      </c>
      <c r="AH18" s="398">
        <f>'Prop DUOS'!AI18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0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0</v>
      </c>
      <c r="BA18" s="87"/>
      <c r="BB18" s="87"/>
    </row>
    <row r="19" spans="2:54" s="158" customFormat="1">
      <c r="B19" s="360" t="str">
        <f>IF('Prop DUOS'!B19="","",'Prop DUOS'!B19)</f>
        <v/>
      </c>
      <c r="C19" s="220"/>
      <c r="D19" s="454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626"/>
      <c r="R19" s="455"/>
      <c r="S19" s="229"/>
      <c r="T19" s="396">
        <f>'Prop DUOS'!U19</f>
        <v>0</v>
      </c>
      <c r="U19" s="397">
        <f>'Prop DUOS'!V19</f>
        <v>0</v>
      </c>
      <c r="V19" s="397">
        <f>'Prop DUOS'!W19</f>
        <v>0</v>
      </c>
      <c r="W19" s="397">
        <f>'Prop DUOS'!X19</f>
        <v>0</v>
      </c>
      <c r="X19" s="397">
        <f>'Prop DUOS'!Y19</f>
        <v>0</v>
      </c>
      <c r="Y19" s="397">
        <f>'Prop DUOS'!Z19</f>
        <v>0</v>
      </c>
      <c r="Z19" s="397">
        <f>'Prop DUOS'!AA19</f>
        <v>0</v>
      </c>
      <c r="AA19" s="397">
        <f>'Prop DUOS'!AB19</f>
        <v>0</v>
      </c>
      <c r="AB19" s="397">
        <f>'Prop DUOS'!AC19</f>
        <v>0</v>
      </c>
      <c r="AC19" s="397">
        <f>'Prop DUOS'!AD19</f>
        <v>0</v>
      </c>
      <c r="AD19" s="397">
        <f>'Prop DUOS'!AE19</f>
        <v>0</v>
      </c>
      <c r="AE19" s="397">
        <f>'Prop DUOS'!AF19</f>
        <v>0</v>
      </c>
      <c r="AF19" s="397">
        <f>'Prop DUOS'!AG19</f>
        <v>0</v>
      </c>
      <c r="AG19" s="631">
        <f>'Prop DUOS'!AH19</f>
        <v>0</v>
      </c>
      <c r="AH19" s="398">
        <f>'Prop DUOS'!AI19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0</v>
      </c>
      <c r="AM19" s="211">
        <f>IF('Prop DUOS'!H$69="cents",G19/100,G19)*W19</f>
        <v>0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0</v>
      </c>
      <c r="BA19" s="87"/>
      <c r="BB19" s="87"/>
    </row>
    <row r="20" spans="2:54" s="158" customFormat="1">
      <c r="B20" s="360" t="str">
        <f>IF('Prop DUOS'!B20="","",'Prop DUOS'!B20)</f>
        <v/>
      </c>
      <c r="C20" s="220"/>
      <c r="D20" s="454"/>
      <c r="E20" s="278"/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626"/>
      <c r="R20" s="455"/>
      <c r="S20" s="229"/>
      <c r="T20" s="396">
        <f>'Prop DUOS'!U20</f>
        <v>0</v>
      </c>
      <c r="U20" s="397">
        <f>'Prop DUOS'!V20</f>
        <v>0</v>
      </c>
      <c r="V20" s="397">
        <f>'Prop DUOS'!W20</f>
        <v>0</v>
      </c>
      <c r="W20" s="397">
        <f>'Prop DUOS'!X20</f>
        <v>0</v>
      </c>
      <c r="X20" s="397">
        <f>'Prop DUOS'!Y20</f>
        <v>0</v>
      </c>
      <c r="Y20" s="397">
        <f>'Prop DUOS'!Z20</f>
        <v>0</v>
      </c>
      <c r="Z20" s="397">
        <f>'Prop DUOS'!AA20</f>
        <v>0</v>
      </c>
      <c r="AA20" s="397">
        <f>'Prop DUOS'!AB20</f>
        <v>0</v>
      </c>
      <c r="AB20" s="397">
        <f>'Prop DUOS'!AC20</f>
        <v>0</v>
      </c>
      <c r="AC20" s="397">
        <f>'Prop DUOS'!AD20</f>
        <v>0</v>
      </c>
      <c r="AD20" s="397">
        <f>'Prop DUOS'!AE20</f>
        <v>0</v>
      </c>
      <c r="AE20" s="397">
        <f>'Prop DUOS'!AF20</f>
        <v>0</v>
      </c>
      <c r="AF20" s="397">
        <f>'Prop DUOS'!AG20</f>
        <v>0</v>
      </c>
      <c r="AG20" s="631">
        <f>'Prop DUOS'!AH20</f>
        <v>0</v>
      </c>
      <c r="AH20" s="398">
        <f>'Prop DUOS'!AI20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0</v>
      </c>
    </row>
    <row r="21" spans="2:54" s="158" customFormat="1">
      <c r="B21" s="360" t="str">
        <f>IF('Prop DUOS'!B21="","",'Prop DUOS'!B21)</f>
        <v/>
      </c>
      <c r="C21" s="220"/>
      <c r="D21" s="454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626"/>
      <c r="R21" s="455"/>
      <c r="S21" s="229"/>
      <c r="T21" s="396">
        <f>'Prop DUOS'!U21</f>
        <v>0</v>
      </c>
      <c r="U21" s="397">
        <f>'Prop DUOS'!V21</f>
        <v>0</v>
      </c>
      <c r="V21" s="397">
        <f>'Prop DUOS'!W21</f>
        <v>0</v>
      </c>
      <c r="W21" s="397">
        <f>'Prop DUOS'!X21</f>
        <v>0</v>
      </c>
      <c r="X21" s="397">
        <f>'Prop DUOS'!Y21</f>
        <v>0</v>
      </c>
      <c r="Y21" s="397">
        <f>'Prop DUOS'!Z21</f>
        <v>0</v>
      </c>
      <c r="Z21" s="397">
        <f>'Prop DUOS'!AA21</f>
        <v>0</v>
      </c>
      <c r="AA21" s="397">
        <f>'Prop DUOS'!AB21</f>
        <v>0</v>
      </c>
      <c r="AB21" s="397">
        <f>'Prop DUOS'!AC21</f>
        <v>0</v>
      </c>
      <c r="AC21" s="397">
        <f>'Prop DUOS'!AD21</f>
        <v>0</v>
      </c>
      <c r="AD21" s="397">
        <f>'Prop DUOS'!AE21</f>
        <v>0</v>
      </c>
      <c r="AE21" s="397">
        <f>'Prop DUOS'!AF21</f>
        <v>0</v>
      </c>
      <c r="AF21" s="397">
        <f>'Prop DUOS'!AG21</f>
        <v>0</v>
      </c>
      <c r="AG21" s="631">
        <f>'Prop DUOS'!AH21</f>
        <v>0</v>
      </c>
      <c r="AH21" s="398">
        <f>'Prop DUOS'!AI21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0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0</v>
      </c>
    </row>
    <row r="22" spans="2:54" s="158" customFormat="1">
      <c r="B22" s="360" t="str">
        <f>IF('Prop DUOS'!B22="","",'Prop DUOS'!B22)</f>
        <v/>
      </c>
      <c r="C22" s="220"/>
      <c r="D22" s="454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626"/>
      <c r="R22" s="455"/>
      <c r="S22" s="229"/>
      <c r="T22" s="396">
        <f>'Prop DUOS'!U22</f>
        <v>0</v>
      </c>
      <c r="U22" s="397">
        <f>'Prop DUOS'!V22</f>
        <v>0</v>
      </c>
      <c r="V22" s="397">
        <f>'Prop DUOS'!W22</f>
        <v>0</v>
      </c>
      <c r="W22" s="397">
        <f>'Prop DUOS'!X22</f>
        <v>0</v>
      </c>
      <c r="X22" s="397">
        <f>'Prop DUOS'!Y22</f>
        <v>0</v>
      </c>
      <c r="Y22" s="397">
        <f>'Prop DUOS'!Z22</f>
        <v>0</v>
      </c>
      <c r="Z22" s="397">
        <f>'Prop DUOS'!AA22</f>
        <v>0</v>
      </c>
      <c r="AA22" s="397">
        <f>'Prop DUOS'!AB22</f>
        <v>0</v>
      </c>
      <c r="AB22" s="397">
        <f>'Prop DUOS'!AC22</f>
        <v>0</v>
      </c>
      <c r="AC22" s="397">
        <f>'Prop DUOS'!AD22</f>
        <v>0</v>
      </c>
      <c r="AD22" s="397">
        <f>'Prop DUOS'!AE22</f>
        <v>0</v>
      </c>
      <c r="AE22" s="397">
        <f>'Prop DUOS'!AF22</f>
        <v>0</v>
      </c>
      <c r="AF22" s="397">
        <f>'Prop DUOS'!AG22</f>
        <v>0</v>
      </c>
      <c r="AG22" s="631">
        <f>'Prop DUOS'!AH22</f>
        <v>0</v>
      </c>
      <c r="AH22" s="398">
        <f>'Prop DUOS'!AI22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0</v>
      </c>
    </row>
    <row r="23" spans="2:54" s="158" customFormat="1">
      <c r="B23" s="361" t="str">
        <f>IF('Prop DUOS'!B23="","",'Prop DUOS'!B23)</f>
        <v/>
      </c>
      <c r="C23" s="220"/>
      <c r="D23" s="454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626"/>
      <c r="R23" s="455"/>
      <c r="S23" s="229"/>
      <c r="T23" s="396">
        <f>'Prop DUOS'!U23</f>
        <v>0</v>
      </c>
      <c r="U23" s="397">
        <f>'Prop DUOS'!V23</f>
        <v>0</v>
      </c>
      <c r="V23" s="397">
        <f>'Prop DUOS'!W23</f>
        <v>0</v>
      </c>
      <c r="W23" s="397">
        <f>'Prop DUOS'!X23</f>
        <v>0</v>
      </c>
      <c r="X23" s="397">
        <f>'Prop DUOS'!Y23</f>
        <v>0</v>
      </c>
      <c r="Y23" s="397">
        <f>'Prop DUOS'!Z23</f>
        <v>0</v>
      </c>
      <c r="Z23" s="397">
        <f>'Prop DUOS'!AA23</f>
        <v>0</v>
      </c>
      <c r="AA23" s="397">
        <f>'Prop DUOS'!AB23</f>
        <v>0</v>
      </c>
      <c r="AB23" s="397">
        <f>'Prop DUOS'!AC23</f>
        <v>0</v>
      </c>
      <c r="AC23" s="397">
        <f>'Prop DUOS'!AD23</f>
        <v>0</v>
      </c>
      <c r="AD23" s="397">
        <f>'Prop DUOS'!AE23</f>
        <v>0</v>
      </c>
      <c r="AE23" s="397">
        <f>'Prop DUOS'!AF23</f>
        <v>0</v>
      </c>
      <c r="AF23" s="397">
        <f>'Prop DUOS'!AG23</f>
        <v>0</v>
      </c>
      <c r="AG23" s="631">
        <f>'Prop DUOS'!AH23</f>
        <v>0</v>
      </c>
      <c r="AH23" s="398">
        <f>'Prop DUOS'!AI23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0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0</v>
      </c>
    </row>
    <row r="24" spans="2:54" s="158" customFormat="1">
      <c r="B24" s="360" t="str">
        <f>IF('Prop DUOS'!B24="","",'Prop DUOS'!B24)</f>
        <v/>
      </c>
      <c r="C24" s="220"/>
      <c r="D24" s="454"/>
      <c r="E24" s="278"/>
      <c r="F24" s="278"/>
      <c r="G24" s="278"/>
      <c r="H24" s="278"/>
      <c r="I24" s="278"/>
      <c r="J24" s="278"/>
      <c r="K24" s="278"/>
      <c r="L24" s="278"/>
      <c r="M24" s="278"/>
      <c r="N24" s="278"/>
      <c r="O24" s="278"/>
      <c r="P24" s="278"/>
      <c r="Q24" s="626"/>
      <c r="R24" s="455"/>
      <c r="S24" s="229"/>
      <c r="T24" s="396">
        <f>'Prop DUOS'!U24</f>
        <v>0</v>
      </c>
      <c r="U24" s="397">
        <f>'Prop DUOS'!V24</f>
        <v>0</v>
      </c>
      <c r="V24" s="397">
        <f>'Prop DUOS'!W24</f>
        <v>0</v>
      </c>
      <c r="W24" s="397">
        <f>'Prop DUOS'!X24</f>
        <v>0</v>
      </c>
      <c r="X24" s="397">
        <f>'Prop DUOS'!Y24</f>
        <v>0</v>
      </c>
      <c r="Y24" s="397">
        <f>'Prop DUOS'!Z24</f>
        <v>0</v>
      </c>
      <c r="Z24" s="397">
        <f>'Prop DUOS'!AA24</f>
        <v>0</v>
      </c>
      <c r="AA24" s="397">
        <f>'Prop DUOS'!AB24</f>
        <v>0</v>
      </c>
      <c r="AB24" s="397">
        <f>'Prop DUOS'!AC24</f>
        <v>0</v>
      </c>
      <c r="AC24" s="397">
        <f>'Prop DUOS'!AD24</f>
        <v>0</v>
      </c>
      <c r="AD24" s="397">
        <f>'Prop DUOS'!AE24</f>
        <v>0</v>
      </c>
      <c r="AE24" s="397">
        <f>'Prop DUOS'!AF24</f>
        <v>0</v>
      </c>
      <c r="AF24" s="397">
        <f>'Prop DUOS'!AG24</f>
        <v>0</v>
      </c>
      <c r="AG24" s="631">
        <f>'Prop DUOS'!AH24</f>
        <v>0</v>
      </c>
      <c r="AH24" s="398">
        <f>'Prop DUOS'!AI24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0</v>
      </c>
    </row>
    <row r="25" spans="2:54" s="158" customFormat="1">
      <c r="B25" s="360" t="str">
        <f>IF('Prop DUOS'!B25="","",'Prop DUOS'!B25)</f>
        <v/>
      </c>
      <c r="C25" s="220"/>
      <c r="D25" s="454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626"/>
      <c r="R25" s="455"/>
      <c r="S25" s="229"/>
      <c r="T25" s="396">
        <f>'Prop DUOS'!U25</f>
        <v>0</v>
      </c>
      <c r="U25" s="397">
        <f>'Prop DUOS'!V25</f>
        <v>0</v>
      </c>
      <c r="V25" s="397">
        <f>'Prop DUOS'!W25</f>
        <v>0</v>
      </c>
      <c r="W25" s="397">
        <f>'Prop DUOS'!X25</f>
        <v>0</v>
      </c>
      <c r="X25" s="397">
        <f>'Prop DUOS'!Y25</f>
        <v>0</v>
      </c>
      <c r="Y25" s="397">
        <f>'Prop DUOS'!Z25</f>
        <v>0</v>
      </c>
      <c r="Z25" s="397">
        <f>'Prop DUOS'!AA25</f>
        <v>0</v>
      </c>
      <c r="AA25" s="397">
        <f>'Prop DUOS'!AB25</f>
        <v>0</v>
      </c>
      <c r="AB25" s="397">
        <f>'Prop DUOS'!AC25</f>
        <v>0</v>
      </c>
      <c r="AC25" s="397">
        <f>'Prop DUOS'!AD25</f>
        <v>0</v>
      </c>
      <c r="AD25" s="397">
        <f>'Prop DUOS'!AE25</f>
        <v>0</v>
      </c>
      <c r="AE25" s="397">
        <f>'Prop DUOS'!AF25</f>
        <v>0</v>
      </c>
      <c r="AF25" s="397">
        <f>'Prop DUOS'!AG25</f>
        <v>0</v>
      </c>
      <c r="AG25" s="631">
        <f>'Prop DUOS'!AH25</f>
        <v>0</v>
      </c>
      <c r="AH25" s="398">
        <f>'Prop DUOS'!AI25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0</v>
      </c>
      <c r="AM25" s="211">
        <f>IF('Prop DUOS'!H$69="cents",G25/100,G25)*W25</f>
        <v>0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0</v>
      </c>
    </row>
    <row r="26" spans="2:54" s="158" customFormat="1">
      <c r="B26" s="360" t="str">
        <f>IF('Prop DUOS'!B26="","",'Prop DUOS'!B26)</f>
        <v/>
      </c>
      <c r="C26" s="220"/>
      <c r="D26" s="454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278"/>
      <c r="P26" s="278"/>
      <c r="Q26" s="626"/>
      <c r="R26" s="455"/>
      <c r="S26" s="229"/>
      <c r="T26" s="396">
        <f>'Prop DUOS'!U26</f>
        <v>0</v>
      </c>
      <c r="U26" s="397">
        <f>'Prop DUOS'!V26</f>
        <v>0</v>
      </c>
      <c r="V26" s="397">
        <f>'Prop DUOS'!W26</f>
        <v>0</v>
      </c>
      <c r="W26" s="397">
        <f>'Prop DUOS'!X26</f>
        <v>0</v>
      </c>
      <c r="X26" s="397">
        <f>'Prop DUOS'!Y26</f>
        <v>0</v>
      </c>
      <c r="Y26" s="397">
        <f>'Prop DUOS'!Z26</f>
        <v>0</v>
      </c>
      <c r="Z26" s="397">
        <f>'Prop DUOS'!AA26</f>
        <v>0</v>
      </c>
      <c r="AA26" s="397">
        <f>'Prop DUOS'!AB26</f>
        <v>0</v>
      </c>
      <c r="AB26" s="397">
        <f>'Prop DUOS'!AC26</f>
        <v>0</v>
      </c>
      <c r="AC26" s="397">
        <f>'Prop DUOS'!AD26</f>
        <v>0</v>
      </c>
      <c r="AD26" s="397">
        <f>'Prop DUOS'!AE26</f>
        <v>0</v>
      </c>
      <c r="AE26" s="397">
        <f>'Prop DUOS'!AF26</f>
        <v>0</v>
      </c>
      <c r="AF26" s="397">
        <f>'Prop DUOS'!AG26</f>
        <v>0</v>
      </c>
      <c r="AG26" s="631">
        <f>'Prop DUOS'!AH26</f>
        <v>0</v>
      </c>
      <c r="AH26" s="398">
        <f>'Prop DUOS'!AI26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0</v>
      </c>
      <c r="AM26" s="211">
        <f>IF('Prop DUOS'!H$69="cents",G26/100,G26)*W26</f>
        <v>0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0</v>
      </c>
    </row>
    <row r="27" spans="2:54" s="158" customFormat="1">
      <c r="B27" s="360" t="str">
        <f>IF('Prop DUOS'!B27="","",'Prop DUOS'!B27)</f>
        <v/>
      </c>
      <c r="C27" s="220"/>
      <c r="D27" s="454"/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 s="278"/>
      <c r="Q27" s="626"/>
      <c r="R27" s="455"/>
      <c r="S27" s="229"/>
      <c r="T27" s="396">
        <f>'Prop DUOS'!U27</f>
        <v>0</v>
      </c>
      <c r="U27" s="397">
        <f>'Prop DUOS'!V27</f>
        <v>0</v>
      </c>
      <c r="V27" s="397">
        <f>'Prop DUOS'!W27</f>
        <v>0</v>
      </c>
      <c r="W27" s="397">
        <f>'Prop DUOS'!X27</f>
        <v>0</v>
      </c>
      <c r="X27" s="397">
        <f>'Prop DUOS'!Y27</f>
        <v>0</v>
      </c>
      <c r="Y27" s="397">
        <f>'Prop DUOS'!Z27</f>
        <v>0</v>
      </c>
      <c r="Z27" s="397">
        <f>'Prop DUOS'!AA27</f>
        <v>0</v>
      </c>
      <c r="AA27" s="397">
        <f>'Prop DUOS'!AB27</f>
        <v>0</v>
      </c>
      <c r="AB27" s="397">
        <f>'Prop DUOS'!AC27</f>
        <v>0</v>
      </c>
      <c r="AC27" s="397">
        <f>'Prop DUOS'!AD27</f>
        <v>0</v>
      </c>
      <c r="AD27" s="397">
        <f>'Prop DUOS'!AE27</f>
        <v>0</v>
      </c>
      <c r="AE27" s="397">
        <f>'Prop DUOS'!AF27</f>
        <v>0</v>
      </c>
      <c r="AF27" s="397">
        <f>'Prop DUOS'!AG27</f>
        <v>0</v>
      </c>
      <c r="AG27" s="631">
        <f>'Prop DUOS'!AH27</f>
        <v>0</v>
      </c>
      <c r="AH27" s="398">
        <f>'Prop DUOS'!AI27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0</v>
      </c>
    </row>
    <row r="28" spans="2:54" s="158" customFormat="1">
      <c r="B28" s="361" t="str">
        <f>IF('Prop DUOS'!B28="","",'Prop DUOS'!B28)</f>
        <v/>
      </c>
      <c r="C28" s="220"/>
      <c r="D28" s="454"/>
      <c r="E28" s="278"/>
      <c r="F28" s="278"/>
      <c r="G28" s="278"/>
      <c r="H28" s="278"/>
      <c r="I28" s="278"/>
      <c r="J28" s="278"/>
      <c r="K28" s="278"/>
      <c r="L28" s="278"/>
      <c r="M28" s="278"/>
      <c r="N28" s="278"/>
      <c r="O28" s="278"/>
      <c r="P28" s="278"/>
      <c r="Q28" s="626"/>
      <c r="R28" s="455"/>
      <c r="S28" s="229"/>
      <c r="T28" s="396">
        <f>'Prop DUOS'!U28</f>
        <v>0</v>
      </c>
      <c r="U28" s="397">
        <f>'Prop DUOS'!V28</f>
        <v>0</v>
      </c>
      <c r="V28" s="397">
        <f>'Prop DUOS'!W28</f>
        <v>0</v>
      </c>
      <c r="W28" s="397">
        <f>'Prop DUOS'!X28</f>
        <v>0</v>
      </c>
      <c r="X28" s="397">
        <f>'Prop DUOS'!Y28</f>
        <v>0</v>
      </c>
      <c r="Y28" s="397">
        <f>'Prop DUOS'!Z28</f>
        <v>0</v>
      </c>
      <c r="Z28" s="397">
        <f>'Prop DUOS'!AA28</f>
        <v>0</v>
      </c>
      <c r="AA28" s="397">
        <f>'Prop DUOS'!AB28</f>
        <v>0</v>
      </c>
      <c r="AB28" s="397">
        <f>'Prop DUOS'!AC28</f>
        <v>0</v>
      </c>
      <c r="AC28" s="397">
        <f>'Prop DUOS'!AD28</f>
        <v>0</v>
      </c>
      <c r="AD28" s="397">
        <f>'Prop DUOS'!AE28</f>
        <v>0</v>
      </c>
      <c r="AE28" s="397">
        <f>'Prop DUOS'!AF28</f>
        <v>0</v>
      </c>
      <c r="AF28" s="397">
        <f>'Prop DUOS'!AG28</f>
        <v>0</v>
      </c>
      <c r="AG28" s="631">
        <f>'Prop DUOS'!AH28</f>
        <v>0</v>
      </c>
      <c r="AH28" s="398">
        <f>'Prop DUOS'!AI28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0</v>
      </c>
    </row>
    <row r="29" spans="2:54" s="158" customFormat="1">
      <c r="B29" s="360" t="str">
        <f>IF('Prop DUOS'!B29="","",'Prop DUOS'!B29)</f>
        <v/>
      </c>
      <c r="C29" s="220"/>
      <c r="D29" s="454"/>
      <c r="E29" s="278"/>
      <c r="F29" s="278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626"/>
      <c r="R29" s="455"/>
      <c r="S29" s="229"/>
      <c r="T29" s="396">
        <f>'Prop DUOS'!U29</f>
        <v>0</v>
      </c>
      <c r="U29" s="397">
        <f>'Prop DUOS'!V29</f>
        <v>0</v>
      </c>
      <c r="V29" s="397">
        <f>'Prop DUOS'!W29</f>
        <v>0</v>
      </c>
      <c r="W29" s="397">
        <f>'Prop DUOS'!X29</f>
        <v>0</v>
      </c>
      <c r="X29" s="397">
        <f>'Prop DUOS'!Y29</f>
        <v>0</v>
      </c>
      <c r="Y29" s="397">
        <f>'Prop DUOS'!Z29</f>
        <v>0</v>
      </c>
      <c r="Z29" s="397">
        <f>'Prop DUOS'!AA29</f>
        <v>0</v>
      </c>
      <c r="AA29" s="397">
        <f>'Prop DUOS'!AB29</f>
        <v>0</v>
      </c>
      <c r="AB29" s="397">
        <f>'Prop DUOS'!AC29</f>
        <v>0</v>
      </c>
      <c r="AC29" s="397">
        <f>'Prop DUOS'!AD29</f>
        <v>0</v>
      </c>
      <c r="AD29" s="397">
        <f>'Prop DUOS'!AE29</f>
        <v>0</v>
      </c>
      <c r="AE29" s="397">
        <f>'Prop DUOS'!AF29</f>
        <v>0</v>
      </c>
      <c r="AF29" s="397">
        <f>'Prop DUOS'!AG29</f>
        <v>0</v>
      </c>
      <c r="AG29" s="631">
        <f>'Prop DUOS'!AH29</f>
        <v>0</v>
      </c>
      <c r="AH29" s="398">
        <f>'Prop DUOS'!AI29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0</v>
      </c>
      <c r="AM29" s="211">
        <f>IF('Prop DUOS'!H$69="cents",G29/100,G29)*W29</f>
        <v>0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0</v>
      </c>
    </row>
    <row r="30" spans="2:54" s="158" customFormat="1">
      <c r="B30" s="360" t="str">
        <f>IF('Prop DUOS'!B30="","",'Prop DUOS'!B30)</f>
        <v/>
      </c>
      <c r="C30" s="220"/>
      <c r="D30" s="454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626"/>
      <c r="R30" s="455"/>
      <c r="S30" s="229"/>
      <c r="T30" s="396">
        <f>'Prop DUOS'!U30</f>
        <v>0</v>
      </c>
      <c r="U30" s="397">
        <f>'Prop DUOS'!V30</f>
        <v>0</v>
      </c>
      <c r="V30" s="397">
        <f>'Prop DUOS'!W30</f>
        <v>0</v>
      </c>
      <c r="W30" s="397">
        <f>'Prop DUOS'!X30</f>
        <v>0</v>
      </c>
      <c r="X30" s="397">
        <f>'Prop DUOS'!Y30</f>
        <v>0</v>
      </c>
      <c r="Y30" s="397">
        <f>'Prop DUOS'!Z30</f>
        <v>0</v>
      </c>
      <c r="Z30" s="397">
        <f>'Prop DUOS'!AA30</f>
        <v>0</v>
      </c>
      <c r="AA30" s="397">
        <f>'Prop DUOS'!AB30</f>
        <v>0</v>
      </c>
      <c r="AB30" s="397">
        <f>'Prop DUOS'!AC30</f>
        <v>0</v>
      </c>
      <c r="AC30" s="397">
        <f>'Prop DUOS'!AD30</f>
        <v>0</v>
      </c>
      <c r="AD30" s="397">
        <f>'Prop DUOS'!AE30</f>
        <v>0</v>
      </c>
      <c r="AE30" s="397">
        <f>'Prop DUOS'!AF30</f>
        <v>0</v>
      </c>
      <c r="AF30" s="397">
        <f>'Prop DUOS'!AG30</f>
        <v>0</v>
      </c>
      <c r="AG30" s="631">
        <f>'Prop DUOS'!AH30</f>
        <v>0</v>
      </c>
      <c r="AH30" s="398">
        <f>'Prop DUOS'!AI30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</row>
    <row r="31" spans="2:54" s="158" customFormat="1">
      <c r="B31" s="360" t="str">
        <f>IF('Prop DUOS'!B31="","",'Prop DUOS'!B31)</f>
        <v/>
      </c>
      <c r="C31" s="220"/>
      <c r="D31" s="454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626"/>
      <c r="R31" s="455"/>
      <c r="S31" s="229"/>
      <c r="T31" s="396">
        <f>'Prop DUOS'!U31</f>
        <v>0</v>
      </c>
      <c r="U31" s="397">
        <f>'Prop DUOS'!V31</f>
        <v>0</v>
      </c>
      <c r="V31" s="397">
        <f>'Prop DUOS'!W31</f>
        <v>0</v>
      </c>
      <c r="W31" s="397">
        <f>'Prop DUOS'!X31</f>
        <v>0</v>
      </c>
      <c r="X31" s="397">
        <f>'Prop DUOS'!Y31</f>
        <v>0</v>
      </c>
      <c r="Y31" s="397">
        <f>'Prop DUOS'!Z31</f>
        <v>0</v>
      </c>
      <c r="Z31" s="397">
        <f>'Prop DUOS'!AA31</f>
        <v>0</v>
      </c>
      <c r="AA31" s="397">
        <f>'Prop DUOS'!AB31</f>
        <v>0</v>
      </c>
      <c r="AB31" s="397">
        <f>'Prop DUOS'!AC31</f>
        <v>0</v>
      </c>
      <c r="AC31" s="397">
        <f>'Prop DUOS'!AD31</f>
        <v>0</v>
      </c>
      <c r="AD31" s="397">
        <f>'Prop DUOS'!AE31</f>
        <v>0</v>
      </c>
      <c r="AE31" s="397">
        <f>'Prop DUOS'!AF31</f>
        <v>0</v>
      </c>
      <c r="AF31" s="397">
        <f>'Prop DUOS'!AG31</f>
        <v>0</v>
      </c>
      <c r="AG31" s="631">
        <f>'Prop DUOS'!AH31</f>
        <v>0</v>
      </c>
      <c r="AH31" s="398">
        <f>'Prop DUOS'!AI31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4" s="158" customFormat="1">
      <c r="B32" s="360" t="str">
        <f>IF('Prop DUOS'!B32="","",'Prop DUOS'!B32)</f>
        <v/>
      </c>
      <c r="C32" s="220"/>
      <c r="D32" s="454"/>
      <c r="E32" s="278"/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626"/>
      <c r="R32" s="455"/>
      <c r="S32" s="229"/>
      <c r="T32" s="396">
        <f>'Prop DUOS'!U32</f>
        <v>0</v>
      </c>
      <c r="U32" s="397">
        <f>'Prop DUOS'!V32</f>
        <v>0</v>
      </c>
      <c r="V32" s="397">
        <f>'Prop DUOS'!W32</f>
        <v>0</v>
      </c>
      <c r="W32" s="397">
        <f>'Prop DUOS'!X32</f>
        <v>0</v>
      </c>
      <c r="X32" s="397">
        <f>'Prop DUOS'!Y32</f>
        <v>0</v>
      </c>
      <c r="Y32" s="397">
        <f>'Prop DUOS'!Z32</f>
        <v>0</v>
      </c>
      <c r="Z32" s="397">
        <f>'Prop DUOS'!AA32</f>
        <v>0</v>
      </c>
      <c r="AA32" s="397">
        <f>'Prop DUOS'!AB32</f>
        <v>0</v>
      </c>
      <c r="AB32" s="397">
        <f>'Prop DUOS'!AC32</f>
        <v>0</v>
      </c>
      <c r="AC32" s="397">
        <f>'Prop DUOS'!AD32</f>
        <v>0</v>
      </c>
      <c r="AD32" s="397">
        <f>'Prop DUOS'!AE32</f>
        <v>0</v>
      </c>
      <c r="AE32" s="397">
        <f>'Prop DUOS'!AF32</f>
        <v>0</v>
      </c>
      <c r="AF32" s="397">
        <f>'Prop DUOS'!AG32</f>
        <v>0</v>
      </c>
      <c r="AG32" s="631">
        <f>'Prop DUOS'!AH32</f>
        <v>0</v>
      </c>
      <c r="AH32" s="398">
        <f>'Prop DUOS'!AI32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360" t="str">
        <f>IF('Prop DUOS'!B33="","",'Prop DUOS'!B33)</f>
        <v/>
      </c>
      <c r="C33" s="220"/>
      <c r="D33" s="454"/>
      <c r="E33" s="278"/>
      <c r="F33" s="278"/>
      <c r="G33" s="278"/>
      <c r="H33" s="278"/>
      <c r="I33" s="278"/>
      <c r="J33" s="278"/>
      <c r="K33" s="278"/>
      <c r="L33" s="278"/>
      <c r="M33" s="278"/>
      <c r="N33" s="278"/>
      <c r="O33" s="278"/>
      <c r="P33" s="278"/>
      <c r="Q33" s="626"/>
      <c r="R33" s="455"/>
      <c r="S33" s="229"/>
      <c r="T33" s="396">
        <f>'Prop DUOS'!U33</f>
        <v>0</v>
      </c>
      <c r="U33" s="397">
        <f>'Prop DUOS'!V33</f>
        <v>0</v>
      </c>
      <c r="V33" s="397">
        <f>'Prop DUOS'!W33</f>
        <v>0</v>
      </c>
      <c r="W33" s="397">
        <f>'Prop DUOS'!X33</f>
        <v>0</v>
      </c>
      <c r="X33" s="397">
        <f>'Prop DUOS'!Y33</f>
        <v>0</v>
      </c>
      <c r="Y33" s="397">
        <f>'Prop DUOS'!Z33</f>
        <v>0</v>
      </c>
      <c r="Z33" s="397">
        <f>'Prop DUOS'!AA33</f>
        <v>0</v>
      </c>
      <c r="AA33" s="397">
        <f>'Prop DUOS'!AB33</f>
        <v>0</v>
      </c>
      <c r="AB33" s="397">
        <f>'Prop DUOS'!AC33</f>
        <v>0</v>
      </c>
      <c r="AC33" s="397">
        <f>'Prop DUOS'!AD33</f>
        <v>0</v>
      </c>
      <c r="AD33" s="397">
        <f>'Prop DUOS'!AE33</f>
        <v>0</v>
      </c>
      <c r="AE33" s="397">
        <f>'Prop DUOS'!AF33</f>
        <v>0</v>
      </c>
      <c r="AF33" s="397">
        <f>'Prop DUOS'!AG33</f>
        <v>0</v>
      </c>
      <c r="AG33" s="631">
        <f>'Prop DUOS'!AH33</f>
        <v>0</v>
      </c>
      <c r="AH33" s="398">
        <f>'Prop DUOS'!AI33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60" t="str">
        <f>IF('Prop DUOS'!B34="","",'Prop DUOS'!B34)</f>
        <v/>
      </c>
      <c r="C34" s="220"/>
      <c r="D34" s="454"/>
      <c r="E34" s="278"/>
      <c r="F34" s="278"/>
      <c r="G34" s="278"/>
      <c r="H34" s="278"/>
      <c r="I34" s="278"/>
      <c r="J34" s="278"/>
      <c r="K34" s="278"/>
      <c r="L34" s="278"/>
      <c r="M34" s="278"/>
      <c r="N34" s="278"/>
      <c r="O34" s="278"/>
      <c r="P34" s="278"/>
      <c r="Q34" s="626"/>
      <c r="R34" s="455"/>
      <c r="S34" s="229"/>
      <c r="T34" s="396">
        <f>'Prop DUOS'!U34</f>
        <v>0</v>
      </c>
      <c r="U34" s="397">
        <f>'Prop DUOS'!V34</f>
        <v>0</v>
      </c>
      <c r="V34" s="397">
        <f>'Prop DUOS'!W34</f>
        <v>0</v>
      </c>
      <c r="W34" s="397">
        <f>'Prop DUOS'!X34</f>
        <v>0</v>
      </c>
      <c r="X34" s="397">
        <f>'Prop DUOS'!Y34</f>
        <v>0</v>
      </c>
      <c r="Y34" s="397">
        <f>'Prop DUOS'!Z34</f>
        <v>0</v>
      </c>
      <c r="Z34" s="397">
        <f>'Prop DUOS'!AA34</f>
        <v>0</v>
      </c>
      <c r="AA34" s="397">
        <f>'Prop DUOS'!AB34</f>
        <v>0</v>
      </c>
      <c r="AB34" s="397">
        <f>'Prop DUOS'!AC34</f>
        <v>0</v>
      </c>
      <c r="AC34" s="397">
        <f>'Prop DUOS'!AD34</f>
        <v>0</v>
      </c>
      <c r="AD34" s="397">
        <f>'Prop DUOS'!AE34</f>
        <v>0</v>
      </c>
      <c r="AE34" s="397">
        <f>'Prop DUOS'!AF34</f>
        <v>0</v>
      </c>
      <c r="AF34" s="397">
        <f>'Prop DUOS'!AG34</f>
        <v>0</v>
      </c>
      <c r="AG34" s="631">
        <f>'Prop DUOS'!AH34</f>
        <v>0</v>
      </c>
      <c r="AH34" s="398">
        <f>'Prop DUOS'!AI34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 t="shared" si="0"/>
        <v>0</v>
      </c>
    </row>
    <row r="35" spans="2:51" s="158" customFormat="1">
      <c r="B35" s="360" t="str">
        <f>IF('Prop DUOS'!B35="","",'Prop DUOS'!B35)</f>
        <v/>
      </c>
      <c r="C35" s="220"/>
      <c r="D35" s="454"/>
      <c r="E35" s="278"/>
      <c r="F35" s="278"/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Q35" s="626"/>
      <c r="R35" s="455"/>
      <c r="S35" s="229"/>
      <c r="T35" s="396">
        <f>'Prop DUOS'!U35</f>
        <v>0</v>
      </c>
      <c r="U35" s="397">
        <f>'Prop DUOS'!V35</f>
        <v>0</v>
      </c>
      <c r="V35" s="397">
        <f>'Prop DUOS'!W35</f>
        <v>0</v>
      </c>
      <c r="W35" s="397">
        <f>'Prop DUOS'!X35</f>
        <v>0</v>
      </c>
      <c r="X35" s="397">
        <f>'Prop DUOS'!Y35</f>
        <v>0</v>
      </c>
      <c r="Y35" s="397">
        <f>'Prop DUOS'!Z35</f>
        <v>0</v>
      </c>
      <c r="Z35" s="397">
        <f>'Prop DUOS'!AA35</f>
        <v>0</v>
      </c>
      <c r="AA35" s="397">
        <f>'Prop DUOS'!AB35</f>
        <v>0</v>
      </c>
      <c r="AB35" s="397">
        <f>'Prop DUOS'!AC35</f>
        <v>0</v>
      </c>
      <c r="AC35" s="397">
        <f>'Prop DUOS'!AD35</f>
        <v>0</v>
      </c>
      <c r="AD35" s="397">
        <f>'Prop DUOS'!AE35</f>
        <v>0</v>
      </c>
      <c r="AE35" s="397">
        <f>'Prop DUOS'!AF35</f>
        <v>0</v>
      </c>
      <c r="AF35" s="397">
        <f>'Prop DUOS'!AG35</f>
        <v>0</v>
      </c>
      <c r="AG35" s="631">
        <f>'Prop DUOS'!AH35</f>
        <v>0</v>
      </c>
      <c r="AH35" s="398">
        <f>'Prop DUOS'!AI35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 t="shared" si="0"/>
        <v>0</v>
      </c>
    </row>
    <row r="36" spans="2:51" s="158" customFormat="1">
      <c r="B36" s="360" t="str">
        <f>IF('Prop DUOS'!B36="","",'Prop DUOS'!B36)</f>
        <v/>
      </c>
      <c r="C36" s="220"/>
      <c r="D36" s="454"/>
      <c r="E36" s="278"/>
      <c r="F36" s="278"/>
      <c r="G36" s="278"/>
      <c r="H36" s="278"/>
      <c r="I36" s="278"/>
      <c r="J36" s="278"/>
      <c r="K36" s="278"/>
      <c r="L36" s="278"/>
      <c r="M36" s="278"/>
      <c r="N36" s="278"/>
      <c r="O36" s="278"/>
      <c r="P36" s="278"/>
      <c r="Q36" s="626"/>
      <c r="R36" s="455"/>
      <c r="S36" s="229"/>
      <c r="T36" s="396">
        <f>'Prop DUOS'!U36</f>
        <v>0</v>
      </c>
      <c r="U36" s="397">
        <f>'Prop DUOS'!V36</f>
        <v>0</v>
      </c>
      <c r="V36" s="397">
        <f>'Prop DUOS'!W36</f>
        <v>0</v>
      </c>
      <c r="W36" s="397">
        <f>'Prop DUOS'!X36</f>
        <v>0</v>
      </c>
      <c r="X36" s="397">
        <f>'Prop DUOS'!Y36</f>
        <v>0</v>
      </c>
      <c r="Y36" s="397">
        <f>'Prop DUOS'!Z36</f>
        <v>0</v>
      </c>
      <c r="Z36" s="397">
        <f>'Prop DUOS'!AA36</f>
        <v>0</v>
      </c>
      <c r="AA36" s="397">
        <f>'Prop DUOS'!AB36</f>
        <v>0</v>
      </c>
      <c r="AB36" s="397">
        <f>'Prop DUOS'!AC36</f>
        <v>0</v>
      </c>
      <c r="AC36" s="397">
        <f>'Prop DUOS'!AD36</f>
        <v>0</v>
      </c>
      <c r="AD36" s="397">
        <f>'Prop DUOS'!AE36</f>
        <v>0</v>
      </c>
      <c r="AE36" s="397">
        <f>'Prop DUOS'!AF36</f>
        <v>0</v>
      </c>
      <c r="AF36" s="397">
        <f>'Prop DUOS'!AG36</f>
        <v>0</v>
      </c>
      <c r="AG36" s="631">
        <f>'Prop DUOS'!AH36</f>
        <v>0</v>
      </c>
      <c r="AH36" s="398">
        <f>'Prop DUOS'!AI36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 t="shared" ref="AY36:AY55" si="1">SUM(AJ36:AX36)</f>
        <v>0</v>
      </c>
    </row>
    <row r="37" spans="2:51" s="158" customFormat="1">
      <c r="B37" s="360" t="str">
        <f>IF('Prop DUOS'!B37="","",'Prop DUOS'!B37)</f>
        <v/>
      </c>
      <c r="C37" s="220"/>
      <c r="D37" s="454"/>
      <c r="E37" s="278"/>
      <c r="F37" s="278"/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626"/>
      <c r="R37" s="455"/>
      <c r="S37" s="229"/>
      <c r="T37" s="396">
        <f>'Prop DUOS'!U37</f>
        <v>0</v>
      </c>
      <c r="U37" s="397">
        <f>'Prop DUOS'!V37</f>
        <v>0</v>
      </c>
      <c r="V37" s="397">
        <f>'Prop DUOS'!W37</f>
        <v>0</v>
      </c>
      <c r="W37" s="397">
        <f>'Prop DUOS'!X37</f>
        <v>0</v>
      </c>
      <c r="X37" s="397">
        <f>'Prop DUOS'!Y37</f>
        <v>0</v>
      </c>
      <c r="Y37" s="397">
        <f>'Prop DUOS'!Z37</f>
        <v>0</v>
      </c>
      <c r="Z37" s="397">
        <f>'Prop DUOS'!AA37</f>
        <v>0</v>
      </c>
      <c r="AA37" s="397">
        <f>'Prop DUOS'!AB37</f>
        <v>0</v>
      </c>
      <c r="AB37" s="397">
        <f>'Prop DUOS'!AC37</f>
        <v>0</v>
      </c>
      <c r="AC37" s="397">
        <f>'Prop DUOS'!AD37</f>
        <v>0</v>
      </c>
      <c r="AD37" s="397">
        <f>'Prop DUOS'!AE37</f>
        <v>0</v>
      </c>
      <c r="AE37" s="397">
        <f>'Prop DUOS'!AF37</f>
        <v>0</v>
      </c>
      <c r="AF37" s="397">
        <f>'Prop DUOS'!AG37</f>
        <v>0</v>
      </c>
      <c r="AG37" s="631">
        <f>'Prop DUOS'!AH37</f>
        <v>0</v>
      </c>
      <c r="AH37" s="398">
        <f>'Prop DUOS'!AI37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1"/>
        <v>0</v>
      </c>
    </row>
    <row r="38" spans="2:51" s="158" customFormat="1">
      <c r="B38" s="360" t="str">
        <f>IF('Prop DUOS'!B38="","",'Prop DUOS'!B38)</f>
        <v/>
      </c>
      <c r="C38" s="220"/>
      <c r="D38" s="454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626"/>
      <c r="R38" s="455"/>
      <c r="S38" s="229"/>
      <c r="T38" s="396">
        <f>'Prop DUOS'!U38</f>
        <v>0</v>
      </c>
      <c r="U38" s="397">
        <f>'Prop DUOS'!V38</f>
        <v>0</v>
      </c>
      <c r="V38" s="397">
        <f>'Prop DUOS'!W38</f>
        <v>0</v>
      </c>
      <c r="W38" s="397">
        <f>'Prop DUOS'!X38</f>
        <v>0</v>
      </c>
      <c r="X38" s="397">
        <f>'Prop DUOS'!Y38</f>
        <v>0</v>
      </c>
      <c r="Y38" s="397">
        <f>'Prop DUOS'!Z38</f>
        <v>0</v>
      </c>
      <c r="Z38" s="397">
        <f>'Prop DUOS'!AA38</f>
        <v>0</v>
      </c>
      <c r="AA38" s="397">
        <f>'Prop DUOS'!AB38</f>
        <v>0</v>
      </c>
      <c r="AB38" s="397">
        <f>'Prop DUOS'!AC38</f>
        <v>0</v>
      </c>
      <c r="AC38" s="397">
        <f>'Prop DUOS'!AD38</f>
        <v>0</v>
      </c>
      <c r="AD38" s="397">
        <f>'Prop DUOS'!AE38</f>
        <v>0</v>
      </c>
      <c r="AE38" s="397">
        <f>'Prop DUOS'!AF38</f>
        <v>0</v>
      </c>
      <c r="AF38" s="397">
        <f>'Prop DUOS'!AG38</f>
        <v>0</v>
      </c>
      <c r="AG38" s="631">
        <f>'Prop DUOS'!AH38</f>
        <v>0</v>
      </c>
      <c r="AH38" s="398">
        <f>'Prop DUOS'!AI38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1"/>
        <v>0</v>
      </c>
    </row>
    <row r="39" spans="2:51" s="158" customFormat="1">
      <c r="B39" s="360" t="str">
        <f>IF('Prop DUOS'!B39="","",'Prop DUOS'!B39)</f>
        <v/>
      </c>
      <c r="C39" s="220"/>
      <c r="D39" s="454"/>
      <c r="E39" s="278"/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P39" s="278"/>
      <c r="Q39" s="626"/>
      <c r="R39" s="455"/>
      <c r="S39" s="229"/>
      <c r="T39" s="396">
        <f>'Prop DUOS'!U39</f>
        <v>0</v>
      </c>
      <c r="U39" s="397">
        <f>'Prop DUOS'!V39</f>
        <v>0</v>
      </c>
      <c r="V39" s="397">
        <f>'Prop DUOS'!W39</f>
        <v>0</v>
      </c>
      <c r="W39" s="397">
        <f>'Prop DUOS'!X39</f>
        <v>0</v>
      </c>
      <c r="X39" s="397">
        <f>'Prop DUOS'!Y39</f>
        <v>0</v>
      </c>
      <c r="Y39" s="397">
        <f>'Prop DUOS'!Z39</f>
        <v>0</v>
      </c>
      <c r="Z39" s="397">
        <f>'Prop DUOS'!AA39</f>
        <v>0</v>
      </c>
      <c r="AA39" s="397">
        <f>'Prop DUOS'!AB39</f>
        <v>0</v>
      </c>
      <c r="AB39" s="397">
        <f>'Prop DUOS'!AC39</f>
        <v>0</v>
      </c>
      <c r="AC39" s="397">
        <f>'Prop DUOS'!AD39</f>
        <v>0</v>
      </c>
      <c r="AD39" s="397">
        <f>'Prop DUOS'!AE39</f>
        <v>0</v>
      </c>
      <c r="AE39" s="397">
        <f>'Prop DUOS'!AF39</f>
        <v>0</v>
      </c>
      <c r="AF39" s="397">
        <f>'Prop DUOS'!AG39</f>
        <v>0</v>
      </c>
      <c r="AG39" s="631">
        <f>'Prop DUOS'!AH39</f>
        <v>0</v>
      </c>
      <c r="AH39" s="398">
        <f>'Prop DUOS'!AI39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1"/>
        <v>0</v>
      </c>
    </row>
    <row r="40" spans="2:51" s="158" customFormat="1">
      <c r="B40" s="360" t="str">
        <f>IF('Prop DUOS'!B40="","",'Prop DUOS'!B40)</f>
        <v/>
      </c>
      <c r="C40" s="220"/>
      <c r="D40" s="454"/>
      <c r="E40" s="278"/>
      <c r="F40" s="278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626"/>
      <c r="R40" s="455"/>
      <c r="S40" s="229"/>
      <c r="T40" s="396">
        <f>'Prop DUOS'!U40</f>
        <v>0</v>
      </c>
      <c r="U40" s="397">
        <f>'Prop DUOS'!V40</f>
        <v>0</v>
      </c>
      <c r="V40" s="397">
        <f>'Prop DUOS'!W40</f>
        <v>0</v>
      </c>
      <c r="W40" s="397">
        <f>'Prop DUOS'!X40</f>
        <v>0</v>
      </c>
      <c r="X40" s="397">
        <f>'Prop DUOS'!Y40</f>
        <v>0</v>
      </c>
      <c r="Y40" s="397">
        <f>'Prop DUOS'!Z40</f>
        <v>0</v>
      </c>
      <c r="Z40" s="397">
        <f>'Prop DUOS'!AA40</f>
        <v>0</v>
      </c>
      <c r="AA40" s="397">
        <f>'Prop DUOS'!AB40</f>
        <v>0</v>
      </c>
      <c r="AB40" s="397">
        <f>'Prop DUOS'!AC40</f>
        <v>0</v>
      </c>
      <c r="AC40" s="397">
        <f>'Prop DUOS'!AD40</f>
        <v>0</v>
      </c>
      <c r="AD40" s="397">
        <f>'Prop DUOS'!AE40</f>
        <v>0</v>
      </c>
      <c r="AE40" s="397">
        <f>'Prop DUOS'!AF40</f>
        <v>0</v>
      </c>
      <c r="AF40" s="397">
        <f>'Prop DUOS'!AG40</f>
        <v>0</v>
      </c>
      <c r="AG40" s="631">
        <f>'Prop DUOS'!AH40</f>
        <v>0</v>
      </c>
      <c r="AH40" s="398">
        <f>'Prop DUOS'!AI40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1"/>
        <v>0</v>
      </c>
    </row>
    <row r="41" spans="2:51" s="158" customFormat="1">
      <c r="B41" s="360" t="str">
        <f>IF('Prop DUOS'!B41="","",'Prop DUOS'!B41)</f>
        <v/>
      </c>
      <c r="C41" s="220"/>
      <c r="D41" s="454"/>
      <c r="E41" s="278"/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 s="278"/>
      <c r="Q41" s="626"/>
      <c r="R41" s="455"/>
      <c r="S41" s="229"/>
      <c r="T41" s="396">
        <f>'Prop DUOS'!U41</f>
        <v>0</v>
      </c>
      <c r="U41" s="397">
        <f>'Prop DUOS'!V41</f>
        <v>0</v>
      </c>
      <c r="V41" s="397">
        <f>'Prop DUOS'!W41</f>
        <v>0</v>
      </c>
      <c r="W41" s="397">
        <f>'Prop DUOS'!X41</f>
        <v>0</v>
      </c>
      <c r="X41" s="397">
        <f>'Prop DUOS'!Y41</f>
        <v>0</v>
      </c>
      <c r="Y41" s="397">
        <f>'Prop DUOS'!Z41</f>
        <v>0</v>
      </c>
      <c r="Z41" s="397">
        <f>'Prop DUOS'!AA41</f>
        <v>0</v>
      </c>
      <c r="AA41" s="397">
        <f>'Prop DUOS'!AB41</f>
        <v>0</v>
      </c>
      <c r="AB41" s="397">
        <f>'Prop DUOS'!AC41</f>
        <v>0</v>
      </c>
      <c r="AC41" s="397">
        <f>'Prop DUOS'!AD41</f>
        <v>0</v>
      </c>
      <c r="AD41" s="397">
        <f>'Prop DUOS'!AE41</f>
        <v>0</v>
      </c>
      <c r="AE41" s="397">
        <f>'Prop DUOS'!AF41</f>
        <v>0</v>
      </c>
      <c r="AF41" s="397">
        <f>'Prop DUOS'!AG41</f>
        <v>0</v>
      </c>
      <c r="AG41" s="631">
        <f>'Prop DUOS'!AH41</f>
        <v>0</v>
      </c>
      <c r="AH41" s="398">
        <f>'Prop DUOS'!AI41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1"/>
        <v>0</v>
      </c>
    </row>
    <row r="42" spans="2:51" s="158" customFormat="1">
      <c r="B42" s="360" t="str">
        <f>IF('Prop DUOS'!B42="","",'Prop DUOS'!B42)</f>
        <v/>
      </c>
      <c r="C42" s="220"/>
      <c r="D42" s="454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626"/>
      <c r="R42" s="455"/>
      <c r="S42" s="229"/>
      <c r="T42" s="396">
        <f>'Prop DUOS'!U42</f>
        <v>0</v>
      </c>
      <c r="U42" s="397">
        <f>'Prop DUOS'!V42</f>
        <v>0</v>
      </c>
      <c r="V42" s="397">
        <f>'Prop DUOS'!W42</f>
        <v>0</v>
      </c>
      <c r="W42" s="397">
        <f>'Prop DUOS'!X42</f>
        <v>0</v>
      </c>
      <c r="X42" s="397">
        <f>'Prop DUOS'!Y42</f>
        <v>0</v>
      </c>
      <c r="Y42" s="397">
        <f>'Prop DUOS'!Z42</f>
        <v>0</v>
      </c>
      <c r="Z42" s="397">
        <f>'Prop DUOS'!AA42</f>
        <v>0</v>
      </c>
      <c r="AA42" s="397">
        <f>'Prop DUOS'!AB42</f>
        <v>0</v>
      </c>
      <c r="AB42" s="397">
        <f>'Prop DUOS'!AC42</f>
        <v>0</v>
      </c>
      <c r="AC42" s="397">
        <f>'Prop DUOS'!AD42</f>
        <v>0</v>
      </c>
      <c r="AD42" s="397">
        <f>'Prop DUOS'!AE42</f>
        <v>0</v>
      </c>
      <c r="AE42" s="397">
        <f>'Prop DUOS'!AF42</f>
        <v>0</v>
      </c>
      <c r="AF42" s="397">
        <f>'Prop DUOS'!AG42</f>
        <v>0</v>
      </c>
      <c r="AG42" s="631">
        <f>'Prop DUOS'!AH42</f>
        <v>0</v>
      </c>
      <c r="AH42" s="398">
        <f>'Prop DUOS'!AI42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1"/>
        <v>0</v>
      </c>
    </row>
    <row r="43" spans="2:51" s="158" customFormat="1">
      <c r="B43" s="360" t="str">
        <f>IF('Prop DUOS'!B43="","",'Prop DUOS'!B43)</f>
        <v/>
      </c>
      <c r="C43" s="220"/>
      <c r="D43" s="454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626"/>
      <c r="R43" s="455"/>
      <c r="S43" s="229"/>
      <c r="T43" s="396">
        <f>'Prop DUOS'!U43</f>
        <v>0</v>
      </c>
      <c r="U43" s="397">
        <f>'Prop DUOS'!V43</f>
        <v>0</v>
      </c>
      <c r="V43" s="397">
        <f>'Prop DUOS'!W43</f>
        <v>0</v>
      </c>
      <c r="W43" s="397">
        <f>'Prop DUOS'!X43</f>
        <v>0</v>
      </c>
      <c r="X43" s="397">
        <f>'Prop DUOS'!Y43</f>
        <v>0</v>
      </c>
      <c r="Y43" s="397">
        <f>'Prop DUOS'!Z43</f>
        <v>0</v>
      </c>
      <c r="Z43" s="397">
        <f>'Prop DUOS'!AA43</f>
        <v>0</v>
      </c>
      <c r="AA43" s="397">
        <f>'Prop DUOS'!AB43</f>
        <v>0</v>
      </c>
      <c r="AB43" s="397">
        <f>'Prop DUOS'!AC43</f>
        <v>0</v>
      </c>
      <c r="AC43" s="397">
        <f>'Prop DUOS'!AD43</f>
        <v>0</v>
      </c>
      <c r="AD43" s="397">
        <f>'Prop DUOS'!AE43</f>
        <v>0</v>
      </c>
      <c r="AE43" s="397">
        <f>'Prop DUOS'!AF43</f>
        <v>0</v>
      </c>
      <c r="AF43" s="397">
        <f>'Prop DUOS'!AG43</f>
        <v>0</v>
      </c>
      <c r="AG43" s="631">
        <f>'Prop DUOS'!AH43</f>
        <v>0</v>
      </c>
      <c r="AH43" s="398">
        <f>'Prop DUOS'!AI43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1"/>
        <v>0</v>
      </c>
    </row>
    <row r="44" spans="2:51" s="158" customFormat="1">
      <c r="B44" s="360" t="str">
        <f>IF('Prop DUOS'!B44="","",'Prop DUOS'!B44)</f>
        <v/>
      </c>
      <c r="C44" s="220"/>
      <c r="D44" s="454"/>
      <c r="E44" s="278"/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626"/>
      <c r="R44" s="455"/>
      <c r="S44" s="229"/>
      <c r="T44" s="396">
        <f>'Prop DUOS'!U44</f>
        <v>0</v>
      </c>
      <c r="U44" s="397">
        <f>'Prop DUOS'!V44</f>
        <v>0</v>
      </c>
      <c r="V44" s="397">
        <f>'Prop DUOS'!W44</f>
        <v>0</v>
      </c>
      <c r="W44" s="397">
        <f>'Prop DUOS'!X44</f>
        <v>0</v>
      </c>
      <c r="X44" s="397">
        <f>'Prop DUOS'!Y44</f>
        <v>0</v>
      </c>
      <c r="Y44" s="397">
        <f>'Prop DUOS'!Z44</f>
        <v>0</v>
      </c>
      <c r="Z44" s="397">
        <f>'Prop DUOS'!AA44</f>
        <v>0</v>
      </c>
      <c r="AA44" s="397">
        <f>'Prop DUOS'!AB44</f>
        <v>0</v>
      </c>
      <c r="AB44" s="397">
        <f>'Prop DUOS'!AC44</f>
        <v>0</v>
      </c>
      <c r="AC44" s="397">
        <f>'Prop DUOS'!AD44</f>
        <v>0</v>
      </c>
      <c r="AD44" s="397">
        <f>'Prop DUOS'!AE44</f>
        <v>0</v>
      </c>
      <c r="AE44" s="397">
        <f>'Prop DUOS'!AF44</f>
        <v>0</v>
      </c>
      <c r="AF44" s="397">
        <f>'Prop DUOS'!AG44</f>
        <v>0</v>
      </c>
      <c r="AG44" s="631">
        <f>'Prop DUOS'!AH44</f>
        <v>0</v>
      </c>
      <c r="AH44" s="398">
        <f>'Prop DUOS'!AI44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1"/>
        <v>0</v>
      </c>
    </row>
    <row r="45" spans="2:51" s="158" customFormat="1">
      <c r="B45" s="360" t="str">
        <f>IF('Prop DUOS'!B45="","",'Prop DUOS'!B45)</f>
        <v/>
      </c>
      <c r="C45" s="220"/>
      <c r="D45" s="454"/>
      <c r="E45" s="278"/>
      <c r="F45" s="278"/>
      <c r="G45" s="278"/>
      <c r="H45" s="278"/>
      <c r="I45" s="278"/>
      <c r="J45" s="278"/>
      <c r="K45" s="278"/>
      <c r="L45" s="278"/>
      <c r="M45" s="278"/>
      <c r="N45" s="278"/>
      <c r="O45" s="278"/>
      <c r="P45" s="278"/>
      <c r="Q45" s="626"/>
      <c r="R45" s="455"/>
      <c r="S45" s="229"/>
      <c r="T45" s="396">
        <f>'Prop DUOS'!U45</f>
        <v>0</v>
      </c>
      <c r="U45" s="397">
        <f>'Prop DUOS'!V45</f>
        <v>0</v>
      </c>
      <c r="V45" s="397">
        <f>'Prop DUOS'!W45</f>
        <v>0</v>
      </c>
      <c r="W45" s="397">
        <f>'Prop DUOS'!X45</f>
        <v>0</v>
      </c>
      <c r="X45" s="397">
        <f>'Prop DUOS'!Y45</f>
        <v>0</v>
      </c>
      <c r="Y45" s="397">
        <f>'Prop DUOS'!Z45</f>
        <v>0</v>
      </c>
      <c r="Z45" s="397">
        <f>'Prop DUOS'!AA45</f>
        <v>0</v>
      </c>
      <c r="AA45" s="397">
        <f>'Prop DUOS'!AB45</f>
        <v>0</v>
      </c>
      <c r="AB45" s="397">
        <f>'Prop DUOS'!AC45</f>
        <v>0</v>
      </c>
      <c r="AC45" s="397">
        <f>'Prop DUOS'!AD45</f>
        <v>0</v>
      </c>
      <c r="AD45" s="397">
        <f>'Prop DUOS'!AE45</f>
        <v>0</v>
      </c>
      <c r="AE45" s="397">
        <f>'Prop DUOS'!AF45</f>
        <v>0</v>
      </c>
      <c r="AF45" s="397">
        <f>'Prop DUOS'!AG45</f>
        <v>0</v>
      </c>
      <c r="AG45" s="631">
        <f>'Prop DUOS'!AH45</f>
        <v>0</v>
      </c>
      <c r="AH45" s="398">
        <f>'Prop DUOS'!AI45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1"/>
        <v>0</v>
      </c>
    </row>
    <row r="46" spans="2:51" s="158" customFormat="1">
      <c r="B46" s="360" t="str">
        <f>IF('Prop DUOS'!B46="","",'Prop DUOS'!B46)</f>
        <v/>
      </c>
      <c r="C46" s="220"/>
      <c r="D46" s="454"/>
      <c r="E46" s="278"/>
      <c r="F46" s="278"/>
      <c r="G46" s="278"/>
      <c r="H46" s="278"/>
      <c r="I46" s="278"/>
      <c r="J46" s="278"/>
      <c r="K46" s="278"/>
      <c r="L46" s="278"/>
      <c r="M46" s="278"/>
      <c r="N46" s="278"/>
      <c r="O46" s="278"/>
      <c r="P46" s="278"/>
      <c r="Q46" s="626"/>
      <c r="R46" s="455"/>
      <c r="S46" s="229"/>
      <c r="T46" s="396">
        <f>'Prop DUOS'!U46</f>
        <v>0</v>
      </c>
      <c r="U46" s="397">
        <f>'Prop DUOS'!V46</f>
        <v>0</v>
      </c>
      <c r="V46" s="397">
        <f>'Prop DUOS'!W46</f>
        <v>0</v>
      </c>
      <c r="W46" s="397">
        <f>'Prop DUOS'!X46</f>
        <v>0</v>
      </c>
      <c r="X46" s="397">
        <f>'Prop DUOS'!Y46</f>
        <v>0</v>
      </c>
      <c r="Y46" s="397">
        <f>'Prop DUOS'!Z46</f>
        <v>0</v>
      </c>
      <c r="Z46" s="397">
        <f>'Prop DUOS'!AA46</f>
        <v>0</v>
      </c>
      <c r="AA46" s="397">
        <f>'Prop DUOS'!AB46</f>
        <v>0</v>
      </c>
      <c r="AB46" s="397">
        <f>'Prop DUOS'!AC46</f>
        <v>0</v>
      </c>
      <c r="AC46" s="397">
        <f>'Prop DUOS'!AD46</f>
        <v>0</v>
      </c>
      <c r="AD46" s="397">
        <f>'Prop DUOS'!AE46</f>
        <v>0</v>
      </c>
      <c r="AE46" s="397">
        <f>'Prop DUOS'!AF46</f>
        <v>0</v>
      </c>
      <c r="AF46" s="397">
        <f>'Prop DUOS'!AG46</f>
        <v>0</v>
      </c>
      <c r="AG46" s="631">
        <f>'Prop DUOS'!AH46</f>
        <v>0</v>
      </c>
      <c r="AH46" s="398">
        <f>'Prop DUOS'!AI46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1"/>
        <v>0</v>
      </c>
    </row>
    <row r="47" spans="2:51" s="158" customFormat="1">
      <c r="B47" s="360" t="str">
        <f>IF('Prop DUOS'!B47="","",'Prop DUOS'!B47)</f>
        <v/>
      </c>
      <c r="C47" s="220"/>
      <c r="D47" s="454"/>
      <c r="E47" s="278"/>
      <c r="F47" s="278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626"/>
      <c r="R47" s="455"/>
      <c r="S47" s="229"/>
      <c r="T47" s="396">
        <f>'Prop DUOS'!U47</f>
        <v>0</v>
      </c>
      <c r="U47" s="397">
        <f>'Prop DUOS'!V47</f>
        <v>0</v>
      </c>
      <c r="V47" s="397">
        <f>'Prop DUOS'!W47</f>
        <v>0</v>
      </c>
      <c r="W47" s="397">
        <f>'Prop DUOS'!X47</f>
        <v>0</v>
      </c>
      <c r="X47" s="397">
        <f>'Prop DUOS'!Y47</f>
        <v>0</v>
      </c>
      <c r="Y47" s="397">
        <f>'Prop DUOS'!Z47</f>
        <v>0</v>
      </c>
      <c r="Z47" s="397">
        <f>'Prop DUOS'!AA47</f>
        <v>0</v>
      </c>
      <c r="AA47" s="397">
        <f>'Prop DUOS'!AB47</f>
        <v>0</v>
      </c>
      <c r="AB47" s="397">
        <f>'Prop DUOS'!AC47</f>
        <v>0</v>
      </c>
      <c r="AC47" s="397">
        <f>'Prop DUOS'!AD47</f>
        <v>0</v>
      </c>
      <c r="AD47" s="397">
        <f>'Prop DUOS'!AE47</f>
        <v>0</v>
      </c>
      <c r="AE47" s="397">
        <f>'Prop DUOS'!AF47</f>
        <v>0</v>
      </c>
      <c r="AF47" s="397">
        <f>'Prop DUOS'!AG47</f>
        <v>0</v>
      </c>
      <c r="AG47" s="631">
        <f>'Prop DUOS'!AH47</f>
        <v>0</v>
      </c>
      <c r="AH47" s="398">
        <f>'Prop DUOS'!AI47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1"/>
        <v>0</v>
      </c>
    </row>
    <row r="48" spans="2:51" s="158" customFormat="1">
      <c r="B48" s="360" t="str">
        <f>IF('Prop DUOS'!B48="","",'Prop DUOS'!B48)</f>
        <v/>
      </c>
      <c r="C48" s="220"/>
      <c r="D48" s="454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626"/>
      <c r="R48" s="455"/>
      <c r="S48" s="229"/>
      <c r="T48" s="396">
        <f>'Prop DUOS'!U48</f>
        <v>0</v>
      </c>
      <c r="U48" s="397">
        <f>'Prop DUOS'!V48</f>
        <v>0</v>
      </c>
      <c r="V48" s="397">
        <f>'Prop DUOS'!W48</f>
        <v>0</v>
      </c>
      <c r="W48" s="397">
        <f>'Prop DUOS'!X48</f>
        <v>0</v>
      </c>
      <c r="X48" s="397">
        <f>'Prop DUOS'!Y48</f>
        <v>0</v>
      </c>
      <c r="Y48" s="397">
        <f>'Prop DUOS'!Z48</f>
        <v>0</v>
      </c>
      <c r="Z48" s="397">
        <f>'Prop DUOS'!AA48</f>
        <v>0</v>
      </c>
      <c r="AA48" s="397">
        <f>'Prop DUOS'!AB48</f>
        <v>0</v>
      </c>
      <c r="AB48" s="397">
        <f>'Prop DUOS'!AC48</f>
        <v>0</v>
      </c>
      <c r="AC48" s="397">
        <f>'Prop DUOS'!AD48</f>
        <v>0</v>
      </c>
      <c r="AD48" s="397">
        <f>'Prop DUOS'!AE48</f>
        <v>0</v>
      </c>
      <c r="AE48" s="397">
        <f>'Prop DUOS'!AF48</f>
        <v>0</v>
      </c>
      <c r="AF48" s="397">
        <f>'Prop DUOS'!AG48</f>
        <v>0</v>
      </c>
      <c r="AG48" s="631">
        <f>'Prop DUOS'!AH48</f>
        <v>0</v>
      </c>
      <c r="AH48" s="398">
        <f>'Prop DUOS'!AI48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1"/>
        <v>0</v>
      </c>
    </row>
    <row r="49" spans="2:51" s="158" customFormat="1">
      <c r="B49" s="360" t="str">
        <f>IF('Prop DUOS'!B49="","",'Prop DUOS'!B49)</f>
        <v/>
      </c>
      <c r="C49" s="220"/>
      <c r="D49" s="454"/>
      <c r="E49" s="278"/>
      <c r="F49" s="278"/>
      <c r="G49" s="278"/>
      <c r="H49" s="278"/>
      <c r="I49" s="278"/>
      <c r="J49" s="278"/>
      <c r="K49" s="278"/>
      <c r="L49" s="278"/>
      <c r="M49" s="278"/>
      <c r="N49" s="278"/>
      <c r="O49" s="278"/>
      <c r="P49" s="278"/>
      <c r="Q49" s="626"/>
      <c r="R49" s="455"/>
      <c r="S49" s="229"/>
      <c r="T49" s="396">
        <f>'Prop DUOS'!U49</f>
        <v>0</v>
      </c>
      <c r="U49" s="397">
        <f>'Prop DUOS'!V49</f>
        <v>0</v>
      </c>
      <c r="V49" s="397">
        <f>'Prop DUOS'!W49</f>
        <v>0</v>
      </c>
      <c r="W49" s="397">
        <f>'Prop DUOS'!X49</f>
        <v>0</v>
      </c>
      <c r="X49" s="397">
        <f>'Prop DUOS'!Y49</f>
        <v>0</v>
      </c>
      <c r="Y49" s="397">
        <f>'Prop DUOS'!Z49</f>
        <v>0</v>
      </c>
      <c r="Z49" s="397">
        <f>'Prop DUOS'!AA49</f>
        <v>0</v>
      </c>
      <c r="AA49" s="397">
        <f>'Prop DUOS'!AB49</f>
        <v>0</v>
      </c>
      <c r="AB49" s="397">
        <f>'Prop DUOS'!AC49</f>
        <v>0</v>
      </c>
      <c r="AC49" s="397">
        <f>'Prop DUOS'!AD49</f>
        <v>0</v>
      </c>
      <c r="AD49" s="397">
        <f>'Prop DUOS'!AE49</f>
        <v>0</v>
      </c>
      <c r="AE49" s="397">
        <f>'Prop DUOS'!AF49</f>
        <v>0</v>
      </c>
      <c r="AF49" s="397">
        <f>'Prop DUOS'!AG49</f>
        <v>0</v>
      </c>
      <c r="AG49" s="631">
        <f>'Prop DUOS'!AH49</f>
        <v>0</v>
      </c>
      <c r="AH49" s="398">
        <f>'Prop DUOS'!AI49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1"/>
        <v>0</v>
      </c>
    </row>
    <row r="50" spans="2:51" s="158" customFormat="1">
      <c r="B50" s="360" t="str">
        <f>IF('Prop DUOS'!B50="","",'Prop DUOS'!B50)</f>
        <v/>
      </c>
      <c r="C50" s="220"/>
      <c r="D50" s="454"/>
      <c r="E50" s="278"/>
      <c r="F50" s="278"/>
      <c r="G50" s="278"/>
      <c r="H50" s="278"/>
      <c r="I50" s="278"/>
      <c r="J50" s="278"/>
      <c r="K50" s="278"/>
      <c r="L50" s="278"/>
      <c r="M50" s="278"/>
      <c r="N50" s="278"/>
      <c r="O50" s="278"/>
      <c r="P50" s="278"/>
      <c r="Q50" s="626"/>
      <c r="R50" s="455"/>
      <c r="S50" s="229"/>
      <c r="T50" s="396">
        <f>'Prop DUOS'!U50</f>
        <v>0</v>
      </c>
      <c r="U50" s="397">
        <f>'Prop DUOS'!V50</f>
        <v>0</v>
      </c>
      <c r="V50" s="397">
        <f>'Prop DUOS'!W50</f>
        <v>0</v>
      </c>
      <c r="W50" s="397">
        <f>'Prop DUOS'!X50</f>
        <v>0</v>
      </c>
      <c r="X50" s="397">
        <f>'Prop DUOS'!Y50</f>
        <v>0</v>
      </c>
      <c r="Y50" s="397">
        <f>'Prop DUOS'!Z50</f>
        <v>0</v>
      </c>
      <c r="Z50" s="397">
        <f>'Prop DUOS'!AA50</f>
        <v>0</v>
      </c>
      <c r="AA50" s="397">
        <f>'Prop DUOS'!AB50</f>
        <v>0</v>
      </c>
      <c r="AB50" s="397">
        <f>'Prop DUOS'!AC50</f>
        <v>0</v>
      </c>
      <c r="AC50" s="397">
        <f>'Prop DUOS'!AD50</f>
        <v>0</v>
      </c>
      <c r="AD50" s="397">
        <f>'Prop DUOS'!AE50</f>
        <v>0</v>
      </c>
      <c r="AE50" s="397">
        <f>'Prop DUOS'!AF50</f>
        <v>0</v>
      </c>
      <c r="AF50" s="397">
        <f>'Prop DUOS'!AG50</f>
        <v>0</v>
      </c>
      <c r="AG50" s="631">
        <f>'Prop DUOS'!AH50</f>
        <v>0</v>
      </c>
      <c r="AH50" s="398">
        <f>'Prop DUOS'!AI50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1"/>
        <v>0</v>
      </c>
    </row>
    <row r="51" spans="2:51" s="158" customFormat="1">
      <c r="B51" s="360" t="str">
        <f>IF('Prop DUOS'!B51="","",'Prop DUOS'!B51)</f>
        <v/>
      </c>
      <c r="C51" s="220"/>
      <c r="D51" s="454"/>
      <c r="E51" s="278"/>
      <c r="F51" s="278"/>
      <c r="G51" s="278"/>
      <c r="H51" s="278"/>
      <c r="I51" s="278"/>
      <c r="J51" s="278"/>
      <c r="K51" s="278"/>
      <c r="L51" s="278"/>
      <c r="M51" s="278"/>
      <c r="N51" s="278"/>
      <c r="O51" s="278"/>
      <c r="P51" s="278"/>
      <c r="Q51" s="626"/>
      <c r="R51" s="455"/>
      <c r="S51" s="229"/>
      <c r="T51" s="396">
        <f>'Prop DUOS'!U51</f>
        <v>0</v>
      </c>
      <c r="U51" s="397">
        <f>'Prop DUOS'!V51</f>
        <v>0</v>
      </c>
      <c r="V51" s="397">
        <f>'Prop DUOS'!W51</f>
        <v>0</v>
      </c>
      <c r="W51" s="397">
        <f>'Prop DUOS'!X51</f>
        <v>0</v>
      </c>
      <c r="X51" s="397">
        <f>'Prop DUOS'!Y51</f>
        <v>0</v>
      </c>
      <c r="Y51" s="397">
        <f>'Prop DUOS'!Z51</f>
        <v>0</v>
      </c>
      <c r="Z51" s="397">
        <f>'Prop DUOS'!AA51</f>
        <v>0</v>
      </c>
      <c r="AA51" s="397">
        <f>'Prop DUOS'!AB51</f>
        <v>0</v>
      </c>
      <c r="AB51" s="397">
        <f>'Prop DUOS'!AC51</f>
        <v>0</v>
      </c>
      <c r="AC51" s="397">
        <f>'Prop DUOS'!AD51</f>
        <v>0</v>
      </c>
      <c r="AD51" s="397">
        <f>'Prop DUOS'!AE51</f>
        <v>0</v>
      </c>
      <c r="AE51" s="397">
        <f>'Prop DUOS'!AF51</f>
        <v>0</v>
      </c>
      <c r="AF51" s="397">
        <f>'Prop DUOS'!AG51</f>
        <v>0</v>
      </c>
      <c r="AG51" s="631">
        <f>'Prop DUOS'!AH51</f>
        <v>0</v>
      </c>
      <c r="AH51" s="398">
        <f>'Prop DUOS'!AI51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1"/>
        <v>0</v>
      </c>
    </row>
    <row r="52" spans="2:51" s="158" customFormat="1">
      <c r="B52" s="360" t="str">
        <f>IF('Prop DUOS'!B52="","",'Prop DUOS'!B52)</f>
        <v/>
      </c>
      <c r="C52" s="220"/>
      <c r="D52" s="456"/>
      <c r="E52" s="278"/>
      <c r="F52" s="278"/>
      <c r="G52" s="278"/>
      <c r="H52" s="278"/>
      <c r="I52" s="457"/>
      <c r="J52" s="457"/>
      <c r="K52" s="457"/>
      <c r="L52" s="457"/>
      <c r="M52" s="457"/>
      <c r="N52" s="457"/>
      <c r="O52" s="457"/>
      <c r="P52" s="457"/>
      <c r="Q52" s="627"/>
      <c r="R52" s="458"/>
      <c r="S52" s="229"/>
      <c r="T52" s="396">
        <f>'Prop DUOS'!U52</f>
        <v>0</v>
      </c>
      <c r="U52" s="397">
        <f>'Prop DUOS'!V52</f>
        <v>0</v>
      </c>
      <c r="V52" s="397">
        <f>'Prop DUOS'!W52</f>
        <v>0</v>
      </c>
      <c r="W52" s="397">
        <f>'Prop DUOS'!X52</f>
        <v>0</v>
      </c>
      <c r="X52" s="397">
        <f>'Prop DUOS'!Y52</f>
        <v>0</v>
      </c>
      <c r="Y52" s="397">
        <f>'Prop DUOS'!Z52</f>
        <v>0</v>
      </c>
      <c r="Z52" s="397">
        <f>'Prop DUOS'!AA52</f>
        <v>0</v>
      </c>
      <c r="AA52" s="397">
        <f>'Prop DUOS'!AB52</f>
        <v>0</v>
      </c>
      <c r="AB52" s="397">
        <f>'Prop DUOS'!AC52</f>
        <v>0</v>
      </c>
      <c r="AC52" s="397">
        <f>'Prop DUOS'!AD52</f>
        <v>0</v>
      </c>
      <c r="AD52" s="397">
        <f>'Prop DUOS'!AE52</f>
        <v>0</v>
      </c>
      <c r="AE52" s="397">
        <f>'Prop DUOS'!AF52</f>
        <v>0</v>
      </c>
      <c r="AF52" s="397">
        <f>'Prop DUOS'!AG52</f>
        <v>0</v>
      </c>
      <c r="AG52" s="631">
        <f>'Prop DUOS'!AH52</f>
        <v>0</v>
      </c>
      <c r="AH52" s="398">
        <f>'Prop DUOS'!AI52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1"/>
        <v>0</v>
      </c>
    </row>
    <row r="53" spans="2:51" s="158" customFormat="1">
      <c r="B53" s="360" t="str">
        <f>IF('Prop DUOS'!B53="","",'Prop DUOS'!B53)</f>
        <v/>
      </c>
      <c r="C53" s="220"/>
      <c r="D53" s="456"/>
      <c r="E53" s="278"/>
      <c r="F53" s="278"/>
      <c r="G53" s="278"/>
      <c r="H53" s="278"/>
      <c r="I53" s="278"/>
      <c r="J53" s="457"/>
      <c r="K53" s="457"/>
      <c r="L53" s="457"/>
      <c r="M53" s="457"/>
      <c r="N53" s="457"/>
      <c r="O53" s="457"/>
      <c r="P53" s="457"/>
      <c r="Q53" s="627"/>
      <c r="R53" s="458"/>
      <c r="S53" s="229"/>
      <c r="T53" s="396">
        <f>'Prop DUOS'!U53</f>
        <v>0</v>
      </c>
      <c r="U53" s="397">
        <f>'Prop DUOS'!V53</f>
        <v>0</v>
      </c>
      <c r="V53" s="397">
        <f>'Prop DUOS'!W53</f>
        <v>0</v>
      </c>
      <c r="W53" s="397">
        <f>'Prop DUOS'!X53</f>
        <v>0</v>
      </c>
      <c r="X53" s="397">
        <f>'Prop DUOS'!Y53</f>
        <v>0</v>
      </c>
      <c r="Y53" s="397">
        <f>'Prop DUOS'!Z53</f>
        <v>0</v>
      </c>
      <c r="Z53" s="397">
        <f>'Prop DUOS'!AA53</f>
        <v>0</v>
      </c>
      <c r="AA53" s="397">
        <f>'Prop DUOS'!AB53</f>
        <v>0</v>
      </c>
      <c r="AB53" s="397">
        <f>'Prop DUOS'!AC53</f>
        <v>0</v>
      </c>
      <c r="AC53" s="397">
        <f>'Prop DUOS'!AD53</f>
        <v>0</v>
      </c>
      <c r="AD53" s="397">
        <f>'Prop DUOS'!AE53</f>
        <v>0</v>
      </c>
      <c r="AE53" s="397">
        <f>'Prop DUOS'!AF53</f>
        <v>0</v>
      </c>
      <c r="AF53" s="397">
        <f>'Prop DUOS'!AG53</f>
        <v>0</v>
      </c>
      <c r="AG53" s="631">
        <f>'Prop DUOS'!AH53</f>
        <v>0</v>
      </c>
      <c r="AH53" s="398">
        <f>'Prop DUOS'!AI53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1"/>
        <v>0</v>
      </c>
    </row>
    <row r="54" spans="2:51" s="158" customFormat="1">
      <c r="B54" s="360" t="str">
        <f>IF('Prop DUOS'!B54="","",'Prop DUOS'!B54)</f>
        <v/>
      </c>
      <c r="C54" s="220"/>
      <c r="D54" s="456"/>
      <c r="E54" s="278"/>
      <c r="F54" s="278"/>
      <c r="G54" s="278"/>
      <c r="H54" s="278"/>
      <c r="I54" s="457"/>
      <c r="J54" s="457"/>
      <c r="K54" s="457"/>
      <c r="L54" s="457"/>
      <c r="M54" s="457"/>
      <c r="N54" s="457"/>
      <c r="O54" s="457"/>
      <c r="P54" s="457"/>
      <c r="Q54" s="627"/>
      <c r="R54" s="458"/>
      <c r="S54" s="229"/>
      <c r="T54" s="396">
        <f>'Prop DUOS'!U54</f>
        <v>0</v>
      </c>
      <c r="U54" s="397">
        <f>'Prop DUOS'!V54</f>
        <v>0</v>
      </c>
      <c r="V54" s="397">
        <f>'Prop DUOS'!W54</f>
        <v>0</v>
      </c>
      <c r="W54" s="397">
        <f>'Prop DUOS'!X54</f>
        <v>0</v>
      </c>
      <c r="X54" s="397">
        <f>'Prop DUOS'!Y54</f>
        <v>0</v>
      </c>
      <c r="Y54" s="397">
        <f>'Prop DUOS'!Z54</f>
        <v>0</v>
      </c>
      <c r="Z54" s="397">
        <f>'Prop DUOS'!AA54</f>
        <v>0</v>
      </c>
      <c r="AA54" s="397">
        <f>'Prop DUOS'!AB54</f>
        <v>0</v>
      </c>
      <c r="AB54" s="397">
        <f>'Prop DUOS'!AC54</f>
        <v>0</v>
      </c>
      <c r="AC54" s="397">
        <f>'Prop DUOS'!AD54</f>
        <v>0</v>
      </c>
      <c r="AD54" s="397">
        <f>'Prop DUOS'!AE54</f>
        <v>0</v>
      </c>
      <c r="AE54" s="397">
        <f>'Prop DUOS'!AF54</f>
        <v>0</v>
      </c>
      <c r="AF54" s="397">
        <f>'Prop DUOS'!AG54</f>
        <v>0</v>
      </c>
      <c r="AG54" s="631">
        <f>'Prop DUOS'!AH54</f>
        <v>0</v>
      </c>
      <c r="AH54" s="398">
        <f>'Prop DUOS'!AI54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1"/>
        <v>0</v>
      </c>
    </row>
    <row r="55" spans="2:51" s="158" customFormat="1">
      <c r="B55" s="360" t="str">
        <f>IF('Prop DUOS'!B55="","",'Prop DUOS'!B55)</f>
        <v/>
      </c>
      <c r="C55" s="220"/>
      <c r="D55" s="456"/>
      <c r="E55" s="278"/>
      <c r="F55" s="278"/>
      <c r="G55" s="278"/>
      <c r="H55" s="278"/>
      <c r="I55" s="457"/>
      <c r="J55" s="457"/>
      <c r="K55" s="457"/>
      <c r="L55" s="457"/>
      <c r="M55" s="457"/>
      <c r="N55" s="457"/>
      <c r="O55" s="457"/>
      <c r="P55" s="457"/>
      <c r="Q55" s="627"/>
      <c r="R55" s="458"/>
      <c r="S55" s="229"/>
      <c r="T55" s="396">
        <f>'Prop DUOS'!U55</f>
        <v>0</v>
      </c>
      <c r="U55" s="397">
        <f>'Prop DUOS'!V55</f>
        <v>0</v>
      </c>
      <c r="V55" s="397">
        <f>'Prop DUOS'!W55</f>
        <v>0</v>
      </c>
      <c r="W55" s="397">
        <f>'Prop DUOS'!X55</f>
        <v>0</v>
      </c>
      <c r="X55" s="397">
        <f>'Prop DUOS'!Y55</f>
        <v>0</v>
      </c>
      <c r="Y55" s="397">
        <f>'Prop DUOS'!Z55</f>
        <v>0</v>
      </c>
      <c r="Z55" s="397">
        <f>'Prop DUOS'!AA55</f>
        <v>0</v>
      </c>
      <c r="AA55" s="397">
        <f>'Prop DUOS'!AB55</f>
        <v>0</v>
      </c>
      <c r="AB55" s="397">
        <f>'Prop DUOS'!AC55</f>
        <v>0</v>
      </c>
      <c r="AC55" s="397">
        <f>'Prop DUOS'!AD55</f>
        <v>0</v>
      </c>
      <c r="AD55" s="397">
        <f>'Prop DUOS'!AE55</f>
        <v>0</v>
      </c>
      <c r="AE55" s="397">
        <f>'Prop DUOS'!AF55</f>
        <v>0</v>
      </c>
      <c r="AF55" s="397">
        <f>'Prop DUOS'!AG55</f>
        <v>0</v>
      </c>
      <c r="AG55" s="631">
        <f>'Prop DUOS'!AH55</f>
        <v>0</v>
      </c>
      <c r="AH55" s="398">
        <f>'Prop DUOS'!AI55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1"/>
        <v>0</v>
      </c>
    </row>
    <row r="56" spans="2:51" s="158" customFormat="1">
      <c r="B56" s="360" t="str">
        <f>IF('Prop DUOS'!B56="","",'Prop DUOS'!B56)</f>
        <v/>
      </c>
      <c r="C56" s="220"/>
      <c r="D56" s="459"/>
      <c r="E56" s="460"/>
      <c r="F56" s="460"/>
      <c r="G56" s="460"/>
      <c r="H56" s="460"/>
      <c r="I56" s="460"/>
      <c r="J56" s="460"/>
      <c r="K56" s="460"/>
      <c r="L56" s="460"/>
      <c r="M56" s="460"/>
      <c r="N56" s="460"/>
      <c r="O56" s="460"/>
      <c r="P56" s="460"/>
      <c r="Q56" s="628"/>
      <c r="R56" s="461"/>
      <c r="S56" s="229"/>
      <c r="T56" s="396">
        <f>'Prop DUOS'!U56</f>
        <v>0</v>
      </c>
      <c r="U56" s="397">
        <f>'Prop DUOS'!V56</f>
        <v>0</v>
      </c>
      <c r="V56" s="397">
        <f>'Prop DUOS'!W56</f>
        <v>0</v>
      </c>
      <c r="W56" s="397">
        <f>'Prop DUOS'!X56</f>
        <v>0</v>
      </c>
      <c r="X56" s="397">
        <f>'Prop DUOS'!Y56</f>
        <v>0</v>
      </c>
      <c r="Y56" s="397">
        <f>'Prop DUOS'!Z56</f>
        <v>0</v>
      </c>
      <c r="Z56" s="397">
        <f>'Prop DUOS'!AA56</f>
        <v>0</v>
      </c>
      <c r="AA56" s="397">
        <f>'Prop DUOS'!AB56</f>
        <v>0</v>
      </c>
      <c r="AB56" s="397">
        <f>'Prop DUOS'!AC56</f>
        <v>0</v>
      </c>
      <c r="AC56" s="397">
        <f>'Prop DUOS'!AD56</f>
        <v>0</v>
      </c>
      <c r="AD56" s="397">
        <f>'Prop DUOS'!AE56</f>
        <v>0</v>
      </c>
      <c r="AE56" s="397">
        <f>'Prop DUOS'!AF56</f>
        <v>0</v>
      </c>
      <c r="AF56" s="397">
        <f>'Prop DUOS'!AG56</f>
        <v>0</v>
      </c>
      <c r="AG56" s="631">
        <f>'Prop DUOS'!AH56</f>
        <v>0</v>
      </c>
      <c r="AH56" s="398">
        <f>'Prop DUOS'!AI56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60" t="str">
        <f>IF('Prop DUOS'!B57="","",'Prop DUOS'!B57)</f>
        <v/>
      </c>
      <c r="C57" s="220"/>
      <c r="D57" s="459"/>
      <c r="E57" s="460"/>
      <c r="F57" s="460"/>
      <c r="G57" s="460"/>
      <c r="H57" s="460"/>
      <c r="I57" s="460"/>
      <c r="J57" s="460"/>
      <c r="K57" s="460"/>
      <c r="L57" s="460"/>
      <c r="M57" s="460"/>
      <c r="N57" s="460"/>
      <c r="O57" s="460"/>
      <c r="P57" s="460"/>
      <c r="Q57" s="628"/>
      <c r="R57" s="461"/>
      <c r="S57" s="229"/>
      <c r="T57" s="396">
        <f>'Prop DUOS'!U57</f>
        <v>0</v>
      </c>
      <c r="U57" s="397">
        <f>'Prop DUOS'!V57</f>
        <v>0</v>
      </c>
      <c r="V57" s="397">
        <f>'Prop DUOS'!W57</f>
        <v>0</v>
      </c>
      <c r="W57" s="397">
        <f>'Prop DUOS'!X57</f>
        <v>0</v>
      </c>
      <c r="X57" s="397">
        <f>'Prop DUOS'!Y57</f>
        <v>0</v>
      </c>
      <c r="Y57" s="397">
        <f>'Prop DUOS'!Z57</f>
        <v>0</v>
      </c>
      <c r="Z57" s="397">
        <f>'Prop DUOS'!AA57</f>
        <v>0</v>
      </c>
      <c r="AA57" s="397">
        <f>'Prop DUOS'!AB57</f>
        <v>0</v>
      </c>
      <c r="AB57" s="397">
        <f>'Prop DUOS'!AC57</f>
        <v>0</v>
      </c>
      <c r="AC57" s="397">
        <f>'Prop DUOS'!AD57</f>
        <v>0</v>
      </c>
      <c r="AD57" s="397">
        <f>'Prop DUOS'!AE57</f>
        <v>0</v>
      </c>
      <c r="AE57" s="397">
        <f>'Prop DUOS'!AF57</f>
        <v>0</v>
      </c>
      <c r="AF57" s="397">
        <f>'Prop DUOS'!AG57</f>
        <v>0</v>
      </c>
      <c r="AG57" s="631">
        <f>'Prop DUOS'!AH57</f>
        <v>0</v>
      </c>
      <c r="AH57" s="398">
        <f>'Prop DUOS'!AI57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60" t="str">
        <f>IF('Prop DUOS'!B58="","",'Prop DUOS'!B58)</f>
        <v/>
      </c>
      <c r="C58" s="220"/>
      <c r="D58" s="459"/>
      <c r="E58" s="460"/>
      <c r="F58" s="460"/>
      <c r="G58" s="460"/>
      <c r="H58" s="460"/>
      <c r="I58" s="460"/>
      <c r="J58" s="460"/>
      <c r="K58" s="460"/>
      <c r="L58" s="460"/>
      <c r="M58" s="460"/>
      <c r="N58" s="460"/>
      <c r="O58" s="460"/>
      <c r="P58" s="460"/>
      <c r="Q58" s="628"/>
      <c r="R58" s="461"/>
      <c r="S58" s="229"/>
      <c r="T58" s="396">
        <f>'Prop DUOS'!U58</f>
        <v>0</v>
      </c>
      <c r="U58" s="397">
        <f>'Prop DUOS'!V58</f>
        <v>0</v>
      </c>
      <c r="V58" s="397">
        <f>'Prop DUOS'!W58</f>
        <v>0</v>
      </c>
      <c r="W58" s="397">
        <f>'Prop DUOS'!X58</f>
        <v>0</v>
      </c>
      <c r="X58" s="397">
        <f>'Prop DUOS'!Y58</f>
        <v>0</v>
      </c>
      <c r="Y58" s="397">
        <f>'Prop DUOS'!Z58</f>
        <v>0</v>
      </c>
      <c r="Z58" s="397">
        <f>'Prop DUOS'!AA58</f>
        <v>0</v>
      </c>
      <c r="AA58" s="397">
        <f>'Prop DUOS'!AB58</f>
        <v>0</v>
      </c>
      <c r="AB58" s="397">
        <f>'Prop DUOS'!AC58</f>
        <v>0</v>
      </c>
      <c r="AC58" s="397">
        <f>'Prop DUOS'!AD58</f>
        <v>0</v>
      </c>
      <c r="AD58" s="397">
        <f>'Prop DUOS'!AE58</f>
        <v>0</v>
      </c>
      <c r="AE58" s="397">
        <f>'Prop DUOS'!AF58</f>
        <v>0</v>
      </c>
      <c r="AF58" s="397">
        <f>'Prop DUOS'!AG58</f>
        <v>0</v>
      </c>
      <c r="AG58" s="631">
        <f>'Prop DUOS'!AH58</f>
        <v>0</v>
      </c>
      <c r="AH58" s="398">
        <f>'Prop DUOS'!AI58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60" t="str">
        <f>IF('Prop DUOS'!B59="","",'Prop DUOS'!B59)</f>
        <v/>
      </c>
      <c r="C59" s="220"/>
      <c r="D59" s="459"/>
      <c r="E59" s="460"/>
      <c r="F59" s="460"/>
      <c r="G59" s="460"/>
      <c r="H59" s="460"/>
      <c r="I59" s="460"/>
      <c r="J59" s="460"/>
      <c r="K59" s="460"/>
      <c r="L59" s="460"/>
      <c r="M59" s="460"/>
      <c r="N59" s="460"/>
      <c r="O59" s="460"/>
      <c r="P59" s="460"/>
      <c r="Q59" s="628"/>
      <c r="R59" s="461"/>
      <c r="S59" s="229"/>
      <c r="T59" s="396">
        <f>'Prop DUOS'!U59</f>
        <v>0</v>
      </c>
      <c r="U59" s="397">
        <f>'Prop DUOS'!V59</f>
        <v>0</v>
      </c>
      <c r="V59" s="397">
        <f>'Prop DUOS'!W59</f>
        <v>0</v>
      </c>
      <c r="W59" s="397">
        <f>'Prop DUOS'!X59</f>
        <v>0</v>
      </c>
      <c r="X59" s="397">
        <f>'Prop DUOS'!Y59</f>
        <v>0</v>
      </c>
      <c r="Y59" s="397">
        <f>'Prop DUOS'!Z59</f>
        <v>0</v>
      </c>
      <c r="Z59" s="397">
        <f>'Prop DUOS'!AA59</f>
        <v>0</v>
      </c>
      <c r="AA59" s="397">
        <f>'Prop DUOS'!AB59</f>
        <v>0</v>
      </c>
      <c r="AB59" s="397">
        <f>'Prop DUOS'!AC59</f>
        <v>0</v>
      </c>
      <c r="AC59" s="397">
        <f>'Prop DUOS'!AD59</f>
        <v>0</v>
      </c>
      <c r="AD59" s="397">
        <f>'Prop DUOS'!AE59</f>
        <v>0</v>
      </c>
      <c r="AE59" s="397">
        <f>'Prop DUOS'!AF59</f>
        <v>0</v>
      </c>
      <c r="AF59" s="397">
        <f>'Prop DUOS'!AG59</f>
        <v>0</v>
      </c>
      <c r="AG59" s="631">
        <f>'Prop DUOS'!AH59</f>
        <v>0</v>
      </c>
      <c r="AH59" s="398">
        <f>'Prop DUOS'!AI59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60" t="str">
        <f>IF('Prop DUOS'!B60="","",'Prop DUOS'!B60)</f>
        <v/>
      </c>
      <c r="C60" s="220"/>
      <c r="D60" s="459"/>
      <c r="E60" s="460"/>
      <c r="F60" s="460"/>
      <c r="G60" s="460"/>
      <c r="H60" s="460"/>
      <c r="I60" s="460"/>
      <c r="J60" s="460"/>
      <c r="K60" s="460"/>
      <c r="L60" s="460"/>
      <c r="M60" s="460"/>
      <c r="N60" s="460"/>
      <c r="O60" s="460"/>
      <c r="P60" s="460"/>
      <c r="Q60" s="628"/>
      <c r="R60" s="461"/>
      <c r="S60" s="229"/>
      <c r="T60" s="396">
        <f>'Prop DUOS'!U60</f>
        <v>0</v>
      </c>
      <c r="U60" s="397">
        <f>'Prop DUOS'!V60</f>
        <v>0</v>
      </c>
      <c r="V60" s="397">
        <f>'Prop DUOS'!W60</f>
        <v>0</v>
      </c>
      <c r="W60" s="397">
        <f>'Prop DUOS'!X60</f>
        <v>0</v>
      </c>
      <c r="X60" s="397">
        <f>'Prop DUOS'!Y60</f>
        <v>0</v>
      </c>
      <c r="Y60" s="397">
        <f>'Prop DUOS'!Z60</f>
        <v>0</v>
      </c>
      <c r="Z60" s="397">
        <f>'Prop DUOS'!AA60</f>
        <v>0</v>
      </c>
      <c r="AA60" s="397">
        <f>'Prop DUOS'!AB60</f>
        <v>0</v>
      </c>
      <c r="AB60" s="397">
        <f>'Prop DUOS'!AC60</f>
        <v>0</v>
      </c>
      <c r="AC60" s="397">
        <f>'Prop DUOS'!AD60</f>
        <v>0</v>
      </c>
      <c r="AD60" s="397">
        <f>'Prop DUOS'!AE60</f>
        <v>0</v>
      </c>
      <c r="AE60" s="397">
        <f>'Prop DUOS'!AF60</f>
        <v>0</v>
      </c>
      <c r="AF60" s="397">
        <f>'Prop DUOS'!AG60</f>
        <v>0</v>
      </c>
      <c r="AG60" s="631">
        <f>'Prop DUOS'!AH60</f>
        <v>0</v>
      </c>
      <c r="AH60" s="398">
        <f>'Prop DUOS'!AI60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60" t="str">
        <f>IF('Prop DUOS'!B61="","",'Prop DUOS'!B61)</f>
        <v/>
      </c>
      <c r="C61" s="220"/>
      <c r="D61" s="459"/>
      <c r="E61" s="460"/>
      <c r="F61" s="460"/>
      <c r="G61" s="460"/>
      <c r="H61" s="460"/>
      <c r="I61" s="460"/>
      <c r="J61" s="460"/>
      <c r="K61" s="460"/>
      <c r="L61" s="460"/>
      <c r="M61" s="460"/>
      <c r="N61" s="460"/>
      <c r="O61" s="460"/>
      <c r="P61" s="460"/>
      <c r="Q61" s="628"/>
      <c r="R61" s="461"/>
      <c r="S61" s="229"/>
      <c r="T61" s="396">
        <f>'Prop DUOS'!U61</f>
        <v>0</v>
      </c>
      <c r="U61" s="397">
        <f>'Prop DUOS'!V61</f>
        <v>0</v>
      </c>
      <c r="V61" s="397">
        <f>'Prop DUOS'!W61</f>
        <v>0</v>
      </c>
      <c r="W61" s="397">
        <f>'Prop DUOS'!X61</f>
        <v>0</v>
      </c>
      <c r="X61" s="397">
        <f>'Prop DUOS'!Y61</f>
        <v>0</v>
      </c>
      <c r="Y61" s="397">
        <f>'Prop DUOS'!Z61</f>
        <v>0</v>
      </c>
      <c r="Z61" s="397">
        <f>'Prop DUOS'!AA61</f>
        <v>0</v>
      </c>
      <c r="AA61" s="397">
        <f>'Prop DUOS'!AB61</f>
        <v>0</v>
      </c>
      <c r="AB61" s="397">
        <f>'Prop DUOS'!AC61</f>
        <v>0</v>
      </c>
      <c r="AC61" s="397">
        <f>'Prop DUOS'!AD61</f>
        <v>0</v>
      </c>
      <c r="AD61" s="397">
        <f>'Prop DUOS'!AE61</f>
        <v>0</v>
      </c>
      <c r="AE61" s="397">
        <f>'Prop DUOS'!AF61</f>
        <v>0</v>
      </c>
      <c r="AF61" s="397">
        <f>'Prop DUOS'!AG61</f>
        <v>0</v>
      </c>
      <c r="AG61" s="631">
        <f>'Prop DUOS'!AH61</f>
        <v>0</v>
      </c>
      <c r="AH61" s="398">
        <f>'Prop DUOS'!AI61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60" t="str">
        <f>IF('Prop DUOS'!B62="","",'Prop DUOS'!B62)</f>
        <v/>
      </c>
      <c r="C62" s="220"/>
      <c r="D62" s="459"/>
      <c r="E62" s="460"/>
      <c r="F62" s="460"/>
      <c r="G62" s="460"/>
      <c r="H62" s="460"/>
      <c r="I62" s="460"/>
      <c r="J62" s="460"/>
      <c r="K62" s="460"/>
      <c r="L62" s="460"/>
      <c r="M62" s="460"/>
      <c r="N62" s="460"/>
      <c r="O62" s="460"/>
      <c r="P62" s="460"/>
      <c r="Q62" s="628"/>
      <c r="R62" s="461"/>
      <c r="S62" s="229"/>
      <c r="T62" s="396">
        <f>'Prop DUOS'!U62</f>
        <v>0</v>
      </c>
      <c r="U62" s="397">
        <f>'Prop DUOS'!V62</f>
        <v>0</v>
      </c>
      <c r="V62" s="397">
        <f>'Prop DUOS'!W62</f>
        <v>0</v>
      </c>
      <c r="W62" s="397">
        <f>'Prop DUOS'!X62</f>
        <v>0</v>
      </c>
      <c r="X62" s="397">
        <f>'Prop DUOS'!Y62</f>
        <v>0</v>
      </c>
      <c r="Y62" s="397">
        <f>'Prop DUOS'!Z62</f>
        <v>0</v>
      </c>
      <c r="Z62" s="397">
        <f>'Prop DUOS'!AA62</f>
        <v>0</v>
      </c>
      <c r="AA62" s="397">
        <f>'Prop DUOS'!AB62</f>
        <v>0</v>
      </c>
      <c r="AB62" s="397">
        <f>'Prop DUOS'!AC62</f>
        <v>0</v>
      </c>
      <c r="AC62" s="397">
        <f>'Prop DUOS'!AD62</f>
        <v>0</v>
      </c>
      <c r="AD62" s="397">
        <f>'Prop DUOS'!AE62</f>
        <v>0</v>
      </c>
      <c r="AE62" s="397">
        <f>'Prop DUOS'!AF62</f>
        <v>0</v>
      </c>
      <c r="AF62" s="397">
        <f>'Prop DUOS'!AG62</f>
        <v>0</v>
      </c>
      <c r="AG62" s="631">
        <f>'Prop DUOS'!AH62</f>
        <v>0</v>
      </c>
      <c r="AH62" s="398">
        <f>'Prop DUOS'!AI62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60" t="str">
        <f>IF('Prop DUOS'!B63="","",'Prop DUOS'!B63)</f>
        <v/>
      </c>
      <c r="C63" s="220"/>
      <c r="D63" s="459"/>
      <c r="E63" s="460"/>
      <c r="F63" s="460"/>
      <c r="G63" s="460"/>
      <c r="H63" s="460"/>
      <c r="I63" s="460"/>
      <c r="J63" s="460"/>
      <c r="K63" s="460"/>
      <c r="L63" s="460"/>
      <c r="M63" s="460"/>
      <c r="N63" s="460"/>
      <c r="O63" s="460"/>
      <c r="P63" s="460"/>
      <c r="Q63" s="628"/>
      <c r="R63" s="461"/>
      <c r="S63" s="229"/>
      <c r="T63" s="396">
        <f>'Prop DUOS'!U63</f>
        <v>0</v>
      </c>
      <c r="U63" s="397">
        <f>'Prop DUOS'!V63</f>
        <v>0</v>
      </c>
      <c r="V63" s="397">
        <f>'Prop DUOS'!W63</f>
        <v>0</v>
      </c>
      <c r="W63" s="397">
        <f>'Prop DUOS'!X63</f>
        <v>0</v>
      </c>
      <c r="X63" s="397">
        <f>'Prop DUOS'!Y63</f>
        <v>0</v>
      </c>
      <c r="Y63" s="397">
        <f>'Prop DUOS'!Z63</f>
        <v>0</v>
      </c>
      <c r="Z63" s="397">
        <f>'Prop DUOS'!AA63</f>
        <v>0</v>
      </c>
      <c r="AA63" s="397">
        <f>'Prop DUOS'!AB63</f>
        <v>0</v>
      </c>
      <c r="AB63" s="397">
        <f>'Prop DUOS'!AC63</f>
        <v>0</v>
      </c>
      <c r="AC63" s="397">
        <f>'Prop DUOS'!AD63</f>
        <v>0</v>
      </c>
      <c r="AD63" s="397">
        <f>'Prop DUOS'!AE63</f>
        <v>0</v>
      </c>
      <c r="AE63" s="397">
        <f>'Prop DUOS'!AF63</f>
        <v>0</v>
      </c>
      <c r="AF63" s="397">
        <f>'Prop DUOS'!AG63</f>
        <v>0</v>
      </c>
      <c r="AG63" s="631">
        <f>'Prop DUOS'!AH63</f>
        <v>0</v>
      </c>
      <c r="AH63" s="398">
        <f>'Prop DUOS'!AI63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60" t="str">
        <f>IF('Prop DUOS'!B64="","",'Prop DUOS'!B64)</f>
        <v/>
      </c>
      <c r="C64" s="220"/>
      <c r="D64" s="459"/>
      <c r="E64" s="460"/>
      <c r="F64" s="460"/>
      <c r="G64" s="460"/>
      <c r="H64" s="460"/>
      <c r="I64" s="460"/>
      <c r="J64" s="460"/>
      <c r="K64" s="460"/>
      <c r="L64" s="460"/>
      <c r="M64" s="460"/>
      <c r="N64" s="460"/>
      <c r="O64" s="460"/>
      <c r="P64" s="460"/>
      <c r="Q64" s="628"/>
      <c r="R64" s="461"/>
      <c r="S64" s="229"/>
      <c r="T64" s="396">
        <f>'Prop DUOS'!U64</f>
        <v>0</v>
      </c>
      <c r="U64" s="397">
        <f>'Prop DUOS'!V64</f>
        <v>0</v>
      </c>
      <c r="V64" s="397">
        <f>'Prop DUOS'!W64</f>
        <v>0</v>
      </c>
      <c r="W64" s="397">
        <f>'Prop DUOS'!X64</f>
        <v>0</v>
      </c>
      <c r="X64" s="397">
        <f>'Prop DUOS'!Y64</f>
        <v>0</v>
      </c>
      <c r="Y64" s="397">
        <f>'Prop DUOS'!Z64</f>
        <v>0</v>
      </c>
      <c r="Z64" s="397">
        <f>'Prop DUOS'!AA64</f>
        <v>0</v>
      </c>
      <c r="AA64" s="397">
        <f>'Prop DUOS'!AB64</f>
        <v>0</v>
      </c>
      <c r="AB64" s="397">
        <f>'Prop DUOS'!AC64</f>
        <v>0</v>
      </c>
      <c r="AC64" s="397">
        <f>'Prop DUOS'!AD64</f>
        <v>0</v>
      </c>
      <c r="AD64" s="397">
        <f>'Prop DUOS'!AE64</f>
        <v>0</v>
      </c>
      <c r="AE64" s="397">
        <f>'Prop DUOS'!AF64</f>
        <v>0</v>
      </c>
      <c r="AF64" s="397">
        <f>'Prop DUOS'!AG64</f>
        <v>0</v>
      </c>
      <c r="AG64" s="631">
        <f>'Prop DUOS'!AH64</f>
        <v>0</v>
      </c>
      <c r="AH64" s="398">
        <f>'Prop DUOS'!AI64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60" t="str">
        <f>IF('Prop DUOS'!B65="","",'Prop DUOS'!B65)</f>
        <v/>
      </c>
      <c r="C65" s="220"/>
      <c r="D65" s="459"/>
      <c r="E65" s="460"/>
      <c r="F65" s="460"/>
      <c r="G65" s="460"/>
      <c r="H65" s="460"/>
      <c r="I65" s="460"/>
      <c r="J65" s="460"/>
      <c r="K65" s="460"/>
      <c r="L65" s="460"/>
      <c r="M65" s="460"/>
      <c r="N65" s="460"/>
      <c r="O65" s="460"/>
      <c r="P65" s="460"/>
      <c r="Q65" s="628"/>
      <c r="R65" s="461"/>
      <c r="S65" s="229"/>
      <c r="T65" s="396">
        <f>'Prop DUOS'!U65</f>
        <v>0</v>
      </c>
      <c r="U65" s="397">
        <f>'Prop DUOS'!V65</f>
        <v>0</v>
      </c>
      <c r="V65" s="397">
        <f>'Prop DUOS'!W65</f>
        <v>0</v>
      </c>
      <c r="W65" s="397">
        <f>'Prop DUOS'!X65</f>
        <v>0</v>
      </c>
      <c r="X65" s="397">
        <f>'Prop DUOS'!Y65</f>
        <v>0</v>
      </c>
      <c r="Y65" s="397">
        <f>'Prop DUOS'!Z65</f>
        <v>0</v>
      </c>
      <c r="Z65" s="397">
        <f>'Prop DUOS'!AA65</f>
        <v>0</v>
      </c>
      <c r="AA65" s="397">
        <f>'Prop DUOS'!AB65</f>
        <v>0</v>
      </c>
      <c r="AB65" s="397">
        <f>'Prop DUOS'!AC65</f>
        <v>0</v>
      </c>
      <c r="AC65" s="397">
        <f>'Prop DUOS'!AD65</f>
        <v>0</v>
      </c>
      <c r="AD65" s="397">
        <f>'Prop DUOS'!AE65</f>
        <v>0</v>
      </c>
      <c r="AE65" s="397">
        <f>'Prop DUOS'!AF65</f>
        <v>0</v>
      </c>
      <c r="AF65" s="397">
        <f>'Prop DUOS'!AG65</f>
        <v>0</v>
      </c>
      <c r="AG65" s="631">
        <f>'Prop DUOS'!AH65</f>
        <v>0</v>
      </c>
      <c r="AH65" s="398">
        <f>'Prop DUOS'!AI65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62" t="str">
        <f>IF('Prop DUOS'!B66="","",'Prop DUOS'!B66)</f>
        <v/>
      </c>
      <c r="C66" s="224"/>
      <c r="D66" s="462"/>
      <c r="E66" s="463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63"/>
      <c r="Q66" s="629"/>
      <c r="R66" s="464"/>
      <c r="S66" s="230"/>
      <c r="T66" s="399">
        <f>'Prop DUOS'!U66</f>
        <v>0</v>
      </c>
      <c r="U66" s="400">
        <f>'Prop DUOS'!V66</f>
        <v>0</v>
      </c>
      <c r="V66" s="400">
        <f>'Prop DUOS'!W66</f>
        <v>0</v>
      </c>
      <c r="W66" s="400">
        <f>'Prop DUOS'!X66</f>
        <v>0</v>
      </c>
      <c r="X66" s="400">
        <f>'Prop DUOS'!Y66</f>
        <v>0</v>
      </c>
      <c r="Y66" s="400">
        <f>'Prop DUOS'!Z66</f>
        <v>0</v>
      </c>
      <c r="Z66" s="400">
        <f>'Prop DUOS'!AA66</f>
        <v>0</v>
      </c>
      <c r="AA66" s="400">
        <f>'Prop DUOS'!AB66</f>
        <v>0</v>
      </c>
      <c r="AB66" s="400">
        <f>'Prop DUOS'!AC66</f>
        <v>0</v>
      </c>
      <c r="AC66" s="400">
        <f>'Prop DUOS'!AD66</f>
        <v>0</v>
      </c>
      <c r="AD66" s="400">
        <f>'Prop DUOS'!AE66</f>
        <v>0</v>
      </c>
      <c r="AE66" s="400">
        <f>'Prop DUOS'!AF66</f>
        <v>0</v>
      </c>
      <c r="AF66" s="400">
        <f>'Prop DUOS'!AG66</f>
        <v>0</v>
      </c>
      <c r="AG66" s="632">
        <f>'Prop DUOS'!AH66</f>
        <v>0</v>
      </c>
      <c r="AH66" s="401">
        <f>'Prop DUOS'!AI66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S67" s="84"/>
      <c r="T67" s="104">
        <f t="shared" ref="T67:Z67" si="2">SUM(T7:T66)</f>
        <v>763236.03561643825</v>
      </c>
      <c r="U67" s="104">
        <f t="shared" si="2"/>
        <v>3557847669.4482479</v>
      </c>
      <c r="V67" s="104">
        <f t="shared" si="2"/>
        <v>1636760928.6109133</v>
      </c>
      <c r="W67" s="104">
        <f t="shared" si="2"/>
        <v>2233285032.6550646</v>
      </c>
      <c r="X67" s="104">
        <f t="shared" si="2"/>
        <v>0</v>
      </c>
      <c r="Y67" s="104">
        <f t="shared" si="2"/>
        <v>0</v>
      </c>
      <c r="Z67" s="104">
        <f t="shared" si="2"/>
        <v>0</v>
      </c>
      <c r="AA67" s="104">
        <f t="shared" ref="AA67:AH67" si="3">SUM(AA7:AA66)</f>
        <v>0</v>
      </c>
      <c r="AB67" s="104">
        <f t="shared" ref="AB67" si="4">SUM(AB7:AB66)</f>
        <v>0</v>
      </c>
      <c r="AC67" s="104">
        <f t="shared" si="3"/>
        <v>0</v>
      </c>
      <c r="AD67" s="104">
        <f t="shared" si="3"/>
        <v>1108399.8200000005</v>
      </c>
      <c r="AE67" s="104">
        <f t="shared" si="3"/>
        <v>257763.90520547942</v>
      </c>
      <c r="AF67" s="104">
        <f t="shared" si="3"/>
        <v>76354.047000018239</v>
      </c>
      <c r="AG67" s="104">
        <f t="shared" ref="AG67" si="5">SUM(AG7:AG66)</f>
        <v>127765.9635423755</v>
      </c>
      <c r="AH67" s="104">
        <f t="shared" si="3"/>
        <v>0</v>
      </c>
      <c r="AJ67" s="104">
        <f t="shared" ref="AJ67:AP67" si="6">SUM(AJ7:AJ66)</f>
        <v>0</v>
      </c>
      <c r="AK67" s="104">
        <f t="shared" si="6"/>
        <v>64723562.909643829</v>
      </c>
      <c r="AL67" s="104">
        <f t="shared" si="6"/>
        <v>28300441.448391106</v>
      </c>
      <c r="AM67" s="104">
        <f t="shared" si="6"/>
        <v>15764558.751362815</v>
      </c>
      <c r="AN67" s="104">
        <f t="shared" si="6"/>
        <v>0</v>
      </c>
      <c r="AO67" s="104">
        <f t="shared" si="6"/>
        <v>0</v>
      </c>
      <c r="AP67" s="104">
        <f t="shared" si="6"/>
        <v>0</v>
      </c>
      <c r="AQ67" s="104">
        <f t="shared" ref="AQ67:AY67" si="7">SUM(AQ7:AQ66)</f>
        <v>0</v>
      </c>
      <c r="AR67" s="104">
        <f t="shared" ref="AR67" si="8">SUM(AR7:AR66)</f>
        <v>0</v>
      </c>
      <c r="AS67" s="104">
        <f t="shared" si="7"/>
        <v>0</v>
      </c>
      <c r="AT67" s="104">
        <f t="shared" si="7"/>
        <v>10681793.972225003</v>
      </c>
      <c r="AU67" s="104">
        <f t="shared" si="7"/>
        <v>23834879.213222995</v>
      </c>
      <c r="AV67" s="104">
        <f t="shared" si="7"/>
        <v>6558883.1096443441</v>
      </c>
      <c r="AW67" s="104">
        <f t="shared" ref="AW67:AX67" si="9">SUM(AW7:AW66)</f>
        <v>2915485.3627064368</v>
      </c>
      <c r="AX67" s="104">
        <f t="shared" si="9"/>
        <v>0</v>
      </c>
      <c r="AY67" s="104">
        <f t="shared" si="7"/>
        <v>152779604.76719654</v>
      </c>
    </row>
    <row r="68" spans="2:51" ht="13.5" thickTop="1">
      <c r="B68" s="103"/>
      <c r="C68" s="70"/>
      <c r="S68" s="84"/>
    </row>
    <row r="69" spans="2:51">
      <c r="B69" s="103"/>
      <c r="C69" s="70"/>
      <c r="S69" s="84"/>
      <c r="AY69" s="106"/>
    </row>
    <row r="70" spans="2:51">
      <c r="B70" s="103"/>
      <c r="C70" s="70"/>
      <c r="S70" s="84"/>
    </row>
    <row r="71" spans="2:51">
      <c r="B71" s="103"/>
      <c r="C71" s="70"/>
      <c r="S71" s="84"/>
    </row>
    <row r="72" spans="2:51">
      <c r="B72" s="103"/>
      <c r="C72" s="70"/>
      <c r="S72" s="84"/>
    </row>
    <row r="73" spans="2:51">
      <c r="B73" s="103"/>
      <c r="C73" s="70"/>
      <c r="S73" s="84"/>
    </row>
    <row r="74" spans="2:51">
      <c r="B74" s="103"/>
      <c r="C74" s="70"/>
      <c r="S74" s="84"/>
    </row>
    <row r="75" spans="2:51">
      <c r="B75" s="103"/>
      <c r="C75" s="70"/>
      <c r="S75" s="84"/>
    </row>
    <row r="76" spans="2:51">
      <c r="B76" s="103"/>
      <c r="C76" s="70"/>
      <c r="S76" s="84"/>
    </row>
    <row r="77" spans="2:51">
      <c r="B77" s="103"/>
      <c r="C77" s="70"/>
      <c r="S77" s="84"/>
    </row>
    <row r="78" spans="2:51">
      <c r="B78" s="103"/>
      <c r="C78" s="70"/>
      <c r="S78" s="84"/>
    </row>
    <row r="79" spans="2:51">
      <c r="B79" s="103"/>
      <c r="C79" s="70"/>
      <c r="S79" s="84"/>
    </row>
    <row r="80" spans="2:51">
      <c r="B80" s="103"/>
      <c r="C80" s="70"/>
      <c r="S80" s="84"/>
    </row>
    <row r="81" spans="2:19">
      <c r="B81" s="103"/>
      <c r="C81" s="70"/>
      <c r="S81" s="84"/>
    </row>
    <row r="82" spans="2:19">
      <c r="B82" s="103"/>
      <c r="C82" s="70"/>
      <c r="S82" s="84"/>
    </row>
    <row r="83" spans="2:19">
      <c r="B83" s="103"/>
      <c r="C83" s="70"/>
      <c r="S83" s="84"/>
    </row>
    <row r="84" spans="2:19">
      <c r="B84" s="103"/>
      <c r="C84" s="70"/>
      <c r="S84" s="84"/>
    </row>
    <row r="85" spans="2:19">
      <c r="B85" s="103"/>
      <c r="C85" s="70"/>
      <c r="S85" s="84"/>
    </row>
    <row r="86" spans="2:19">
      <c r="B86" s="103"/>
      <c r="C86" s="70"/>
      <c r="S86" s="84"/>
    </row>
    <row r="87" spans="2:19">
      <c r="B87" s="103"/>
      <c r="C87" s="70"/>
    </row>
    <row r="88" spans="2:19">
      <c r="B88" s="103"/>
      <c r="C88" s="70"/>
    </row>
    <row r="89" spans="2:19">
      <c r="B89" s="103"/>
      <c r="C89" s="70"/>
    </row>
    <row r="90" spans="2:19">
      <c r="B90" s="103"/>
      <c r="C90" s="70"/>
    </row>
    <row r="91" spans="2:19">
      <c r="B91" s="103"/>
      <c r="C91" s="70"/>
    </row>
    <row r="92" spans="2:19">
      <c r="B92" s="103"/>
      <c r="C92" s="70"/>
    </row>
    <row r="93" spans="2:19">
      <c r="B93" s="103"/>
      <c r="C93" s="70"/>
    </row>
    <row r="94" spans="2:19">
      <c r="B94" s="103"/>
      <c r="C94" s="70"/>
    </row>
    <row r="95" spans="2:19">
      <c r="B95" s="103"/>
      <c r="C95" s="70"/>
    </row>
    <row r="96" spans="2:19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  <row r="104" spans="2:3">
      <c r="B104" s="103"/>
      <c r="C104" s="70"/>
    </row>
    <row r="105" spans="2:3">
      <c r="B105" s="103"/>
      <c r="C105" s="70"/>
    </row>
    <row r="106" spans="2:3">
      <c r="B106" s="103"/>
      <c r="C106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2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3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6" tint="0.39997558519241921"/>
    <pageSetUpPr autoPageBreaks="0"/>
  </sheetPr>
  <dimension ref="B1:BB103"/>
  <sheetViews>
    <sheetView zoomScale="80" zoomScaleNormal="80" workbookViewId="0">
      <pane xSplit="3" ySplit="6" topLeftCell="D7" activePane="bottomRight" state="frozen"/>
      <selection pane="topRight"/>
      <selection pane="bottomLeft"/>
      <selection pane="bottomRight" activeCell="BB40" sqref="BB40"/>
    </sheetView>
  </sheetViews>
  <sheetFormatPr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5.140625" style="87" customWidth="1"/>
    <col min="21" max="21" width="19.140625" style="87" customWidth="1"/>
    <col min="22" max="22" width="14.28515625" style="87" customWidth="1"/>
    <col min="23" max="23" width="12.28515625" style="87" customWidth="1"/>
    <col min="24" max="24" width="13.140625" style="87" customWidth="1"/>
    <col min="25" max="25" width="17.140625" style="87" customWidth="1"/>
    <col min="26" max="26" width="12.28515625" style="87" customWidth="1"/>
    <col min="27" max="28" width="14.42578125" style="87" customWidth="1"/>
    <col min="29" max="29" width="17.5703125" style="87" customWidth="1"/>
    <col min="30" max="30" width="18.7109375" style="87" bestFit="1" customWidth="1"/>
    <col min="31" max="31" width="18" style="87" customWidth="1"/>
    <col min="32" max="32" width="16.7109375" style="87" bestFit="1" customWidth="1"/>
    <col min="33" max="33" width="16.7109375" style="87" customWidth="1"/>
    <col min="34" max="34" width="16.7109375" style="87" bestFit="1" customWidth="1"/>
    <col min="35" max="35" width="7.7109375" style="87" customWidth="1"/>
    <col min="36" max="37" width="16.7109375" style="87" bestFit="1" customWidth="1"/>
    <col min="38" max="38" width="11" style="87" customWidth="1"/>
    <col min="39" max="40" width="14.85546875" style="87" bestFit="1" customWidth="1"/>
    <col min="41" max="41" width="16.28515625" style="87" customWidth="1"/>
    <col min="42" max="42" width="12.28515625" style="87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1.28515625" style="87" customWidth="1"/>
    <col min="48" max="49" width="15.85546875" style="87" customWidth="1"/>
    <col min="50" max="51" width="14.85546875" style="87" customWidth="1"/>
    <col min="52" max="53" width="9.140625" style="87"/>
    <col min="54" max="54" width="15.140625" style="87" bestFit="1" customWidth="1"/>
    <col min="55" max="16384" width="9.140625" style="87"/>
  </cols>
  <sheetData>
    <row r="1" spans="2:54" ht="15">
      <c r="B1" s="69" t="str">
        <f>"Tariff Approval - "&amp;Input!E3</f>
        <v>Tariff Approval - United Energy</v>
      </c>
      <c r="C1" s="69"/>
      <c r="D1" s="276" t="s">
        <v>142</v>
      </c>
    </row>
    <row r="2" spans="2:54">
      <c r="G2" s="177"/>
    </row>
    <row r="3" spans="2:54">
      <c r="B3" s="99" t="str">
        <f>"ESTIMATED "&amp;Input!E8&amp;" TRANSMISSION TARIFF REVENUE"</f>
        <v>ESTIMATED HY21 TRANSMISSION TARIFF REVENUE</v>
      </c>
      <c r="C3" s="99"/>
      <c r="AJ3" s="720"/>
    </row>
    <row r="4" spans="2:54">
      <c r="B4" s="99"/>
      <c r="C4" s="99"/>
    </row>
    <row r="5" spans="2:54" ht="13.5" thickBot="1">
      <c r="D5" s="391" t="str">
        <f>"Current Transmission Tariffs (Pt-1) for "&amp;Input!$E$8</f>
        <v>Current Transmission Tariffs (Pt-1) for HY21</v>
      </c>
      <c r="E5" s="392"/>
      <c r="F5" s="392"/>
      <c r="G5" s="392"/>
      <c r="H5" s="84"/>
      <c r="I5" s="84"/>
      <c r="J5" s="84"/>
      <c r="T5" s="391" t="str">
        <f>"Estimated Quantities (Qt-1) for "&amp;Input!$E$8</f>
        <v>Estimated Quantities (Qt-1) for HY21</v>
      </c>
      <c r="U5" s="392"/>
      <c r="V5" s="392"/>
      <c r="W5" s="84"/>
      <c r="X5" s="84"/>
      <c r="AJ5" s="391" t="str">
        <f>"Estimated Revenue (Pt-1 "&amp;Input!$E$8&amp;")*(Qt-1 " &amp;Input!$E$8&amp;")"</f>
        <v>Estimated Revenue (Pt-1 HY21)*(Qt-1 HY21)</v>
      </c>
      <c r="AK5" s="392"/>
      <c r="AL5" s="392"/>
      <c r="AM5" s="84"/>
    </row>
    <row r="6" spans="2:54" s="158" customFormat="1">
      <c r="B6" s="100" t="str">
        <f>"Tariffs "&amp;Input!E8</f>
        <v>Tariffs HY21</v>
      </c>
      <c r="C6" s="217"/>
      <c r="D6" s="161" t="str">
        <f>'Prop DUOS'!E6</f>
        <v>Fixed</v>
      </c>
      <c r="E6" s="162" t="str">
        <f>'Prop DUOS'!F6</f>
        <v>PkBlk1</v>
      </c>
      <c r="F6" s="162" t="str">
        <f>'Prop DUOS'!G6</f>
        <v>PkBlk2</v>
      </c>
      <c r="G6" s="162" t="str">
        <f>'Prop DUOS'!H6</f>
        <v>PkBlk3</v>
      </c>
      <c r="H6" s="162" t="str">
        <f>'Prop DUOS'!I6</f>
        <v>PkBlk4</v>
      </c>
      <c r="I6" s="162" t="str">
        <f>'Prop DUOS'!J6</f>
        <v>OPkBlk1</v>
      </c>
      <c r="J6" s="162" t="str">
        <f>'Prop DUOS'!K6</f>
        <v>OPkBlk2</v>
      </c>
      <c r="K6" s="162" t="str">
        <f>'Prop DUOS'!L6</f>
        <v>OPkBlk3</v>
      </c>
      <c r="L6" s="162" t="str">
        <f>'Prop DUOS'!M6</f>
        <v>OPkBlk4</v>
      </c>
      <c r="M6" s="162" t="str">
        <f>'Prop DUOS'!N6</f>
        <v>OPkBlk5</v>
      </c>
      <c r="N6" s="162" t="str">
        <f>'Prop DUOS'!O6</f>
        <v>DemBlk1</v>
      </c>
      <c r="O6" s="162" t="str">
        <f>'Prop DUOS'!P6</f>
        <v>DemBlk2</v>
      </c>
      <c r="P6" s="162" t="str">
        <f>'Prop DUOS'!Q6</f>
        <v>DemBlk3</v>
      </c>
      <c r="Q6" s="610" t="str">
        <f>'Prop DUOS'!R6</f>
        <v>DemBlk4</v>
      </c>
      <c r="R6" s="163" t="str">
        <f>'Prop DUOS'!S6</f>
        <v>DemBlk5</v>
      </c>
      <c r="T6" s="161" t="str">
        <f>'Prop DUOS'!E6</f>
        <v>Fixed</v>
      </c>
      <c r="U6" s="162" t="str">
        <f>'Prop DUOS'!F6</f>
        <v>PkBlk1</v>
      </c>
      <c r="V6" s="162" t="str">
        <f>'Prop DUOS'!G6</f>
        <v>PkBlk2</v>
      </c>
      <c r="W6" s="162" t="str">
        <f>'Prop DUOS'!H6</f>
        <v>PkBlk3</v>
      </c>
      <c r="X6" s="162" t="str">
        <f>'Prop DUOS'!I6</f>
        <v>PkBlk4</v>
      </c>
      <c r="Y6" s="162" t="str">
        <f>'Prop DUOS'!J6</f>
        <v>OPkBlk1</v>
      </c>
      <c r="Z6" s="162" t="str">
        <f>'Prop DUOS'!K6</f>
        <v>OPkBlk2</v>
      </c>
      <c r="AA6" s="162" t="str">
        <f>'Prop DUOS'!L6</f>
        <v>OPkBlk3</v>
      </c>
      <c r="AB6" s="162" t="str">
        <f>'Prop DUOS'!M6</f>
        <v>OPkBlk4</v>
      </c>
      <c r="AC6" s="162" t="str">
        <f>'Prop DUOS'!N6</f>
        <v>OPkBlk5</v>
      </c>
      <c r="AD6" s="162" t="str">
        <f>'Prop DUOS'!O6</f>
        <v>DemBlk1</v>
      </c>
      <c r="AE6" s="162" t="str">
        <f>'Prop DUOS'!P6</f>
        <v>DemBlk2</v>
      </c>
      <c r="AF6" s="162" t="str">
        <f>'Prop DUOS'!Q6</f>
        <v>DemBlk3</v>
      </c>
      <c r="AG6" s="610" t="str">
        <f>'Prop DUOS'!R6</f>
        <v>DemBlk4</v>
      </c>
      <c r="AH6" s="163" t="str">
        <f>'Prop DUOS'!S6</f>
        <v>DemBlk5</v>
      </c>
      <c r="AJ6" s="161" t="str">
        <f>'Prop DUOS'!E6</f>
        <v>Fixed</v>
      </c>
      <c r="AK6" s="162" t="str">
        <f>'Prop DUOS'!F6</f>
        <v>PkBlk1</v>
      </c>
      <c r="AL6" s="162" t="str">
        <f>'Prop DUOS'!G6</f>
        <v>PkBlk2</v>
      </c>
      <c r="AM6" s="162" t="str">
        <f>'Prop DUOS'!H6</f>
        <v>PkBlk3</v>
      </c>
      <c r="AN6" s="162" t="str">
        <f>'Prop DUOS'!I6</f>
        <v>PkBlk4</v>
      </c>
      <c r="AO6" s="162" t="str">
        <f>'Prop DUOS'!J6</f>
        <v>OPkBlk1</v>
      </c>
      <c r="AP6" s="162" t="str">
        <f>'Prop DUOS'!K6</f>
        <v>OPkBlk2</v>
      </c>
      <c r="AQ6" s="162" t="str">
        <f>'Prop DUOS'!L6</f>
        <v>OPkBlk3</v>
      </c>
      <c r="AR6" s="162" t="str">
        <f>'Prop DUOS'!M6</f>
        <v>OPkBlk4</v>
      </c>
      <c r="AS6" s="162" t="str">
        <f>'Prop DUOS'!N6</f>
        <v>OPkBlk5</v>
      </c>
      <c r="AT6" s="162" t="str">
        <f>'Prop DUOS'!O6</f>
        <v>DemBlk1</v>
      </c>
      <c r="AU6" s="162" t="str">
        <f>'Prop DUOS'!P6</f>
        <v>DemBlk2</v>
      </c>
      <c r="AV6" s="162" t="str">
        <f>'Prop DUOS'!Q6</f>
        <v>DemBlk3</v>
      </c>
      <c r="AW6" s="162" t="str">
        <f>'Prop DUOS'!R6</f>
        <v>DemBlk4</v>
      </c>
      <c r="AX6" s="162" t="str">
        <f>'Prop DUOS'!S6</f>
        <v>DemBlk5</v>
      </c>
      <c r="AY6" s="163" t="s">
        <v>28</v>
      </c>
      <c r="BA6" s="87"/>
      <c r="BB6" s="87"/>
    </row>
    <row r="7" spans="2:54" s="158" customFormat="1">
      <c r="B7" s="360" t="str">
        <f>IF('t-1 DUOS'!B7="","",'t-1 DUOS'!B7)</f>
        <v>Low voltage small 1 rate</v>
      </c>
      <c r="C7" s="218"/>
      <c r="D7" s="559">
        <v>0</v>
      </c>
      <c r="E7" s="560">
        <v>2.13</v>
      </c>
      <c r="F7" s="560">
        <v>0</v>
      </c>
      <c r="G7" s="560">
        <v>0</v>
      </c>
      <c r="H7" s="560">
        <v>2.13</v>
      </c>
      <c r="I7" s="560">
        <v>0</v>
      </c>
      <c r="J7" s="560">
        <v>0</v>
      </c>
      <c r="K7" s="560">
        <v>0</v>
      </c>
      <c r="L7" s="560">
        <v>0</v>
      </c>
      <c r="M7" s="560">
        <v>0</v>
      </c>
      <c r="N7" s="560">
        <v>0</v>
      </c>
      <c r="O7" s="560">
        <v>0</v>
      </c>
      <c r="P7" s="560">
        <v>0</v>
      </c>
      <c r="Q7" s="633">
        <v>0</v>
      </c>
      <c r="R7" s="561">
        <v>0</v>
      </c>
      <c r="T7" s="393">
        <f>'t-1 DUOS'!T7</f>
        <v>583066.93423498294</v>
      </c>
      <c r="U7" s="394">
        <f>'t-1 DUOS'!U7</f>
        <v>572145373.2901603</v>
      </c>
      <c r="V7" s="394">
        <f>'t-1 DUOS'!V7</f>
        <v>0</v>
      </c>
      <c r="W7" s="394">
        <f>'t-1 DUOS'!W7</f>
        <v>0</v>
      </c>
      <c r="X7" s="394">
        <f>'t-1 DUOS'!X7</f>
        <v>640153901.86116874</v>
      </c>
      <c r="Y7" s="394">
        <f>'t-1 DUOS'!Y7</f>
        <v>0</v>
      </c>
      <c r="Z7" s="394">
        <f>'t-1 DUOS'!Z7</f>
        <v>0</v>
      </c>
      <c r="AA7" s="394">
        <f>'t-1 DUOS'!AA7</f>
        <v>0</v>
      </c>
      <c r="AB7" s="394">
        <f>'t-1 DUOS'!AB7</f>
        <v>0</v>
      </c>
      <c r="AC7" s="394">
        <f>'t-1 DUOS'!AC7</f>
        <v>0</v>
      </c>
      <c r="AD7" s="394">
        <f>'t-1 DUOS'!AD7</f>
        <v>0</v>
      </c>
      <c r="AE7" s="394">
        <f>'t-1 DUOS'!AE7</f>
        <v>0</v>
      </c>
      <c r="AF7" s="394">
        <f>'t-1 DUOS'!AF7</f>
        <v>0</v>
      </c>
      <c r="AG7" s="630">
        <f>'t-1 DUOS'!AG7</f>
        <v>0</v>
      </c>
      <c r="AH7" s="395">
        <f>'t-1 DUOS'!AH7</f>
        <v>0</v>
      </c>
      <c r="AJ7" s="741">
        <f>IF('Prop DUOS'!$E$69="cents",D7/100,D7)*IF('Prop DUOS'!$E$71="day",T7*'Prop DUOS'!$D$77,T7)</f>
        <v>0</v>
      </c>
      <c r="AK7" s="742">
        <f>IF('Prop DUOS'!F$69="cents",E7/100,E7)*U7</f>
        <v>12186696.451080414</v>
      </c>
      <c r="AL7" s="742">
        <f>IF('Prop DUOS'!G$69="cents",F7/100,F7)*V7</f>
        <v>0</v>
      </c>
      <c r="AM7" s="742">
        <f>IF('Prop DUOS'!H$69="cents",G7/100,G7)*W7</f>
        <v>0</v>
      </c>
      <c r="AN7" s="742">
        <f>IF('Prop DUOS'!I$69="cents",H7/100,H7)*X7</f>
        <v>13635278.109642893</v>
      </c>
      <c r="AO7" s="742">
        <f>IF('Prop DUOS'!J$69="cents",I7/100,I7)*Y7</f>
        <v>0</v>
      </c>
      <c r="AP7" s="742">
        <f>IF('Prop DUOS'!K$69="cents",J7/100,J7)*Z7</f>
        <v>0</v>
      </c>
      <c r="AQ7" s="742">
        <f>IF('Prop DUOS'!L$69="cents",K7/100,K7)*AA7</f>
        <v>0</v>
      </c>
      <c r="AR7" s="742">
        <f>IF('Prop DUOS'!M$69="cents",L7/100,L7)*AB7</f>
        <v>0</v>
      </c>
      <c r="AS7" s="742">
        <f>IF('Prop DUOS'!N$69="cents",M7/100,M7)*AC7</f>
        <v>0</v>
      </c>
      <c r="AT7" s="742">
        <f>IF('Prop DUOS'!O$69="cents",N7/100,N7)*IF('Prop DUOS'!O$71="day",AD7*'Prop DUOS'!$D$77,IF('Prop DUOS'!O$71="month",AD7*12,AD7))</f>
        <v>0</v>
      </c>
      <c r="AU7" s="742">
        <f>IF('Prop DUOS'!P$69="cents",O7/100,O7)*IF('Prop DUOS'!P$71="day",AE7*'Prop DUOS'!$D$77,IF('Prop DUOS'!P$71="month",AE7*12,AE7))</f>
        <v>0</v>
      </c>
      <c r="AV7" s="742">
        <f>IF('Prop DUOS'!Q$69="cents",P7/100,P7)*IF('Prop DUOS'!Q$71="day",AF7*'Prop DUOS'!$D$77,IF('Prop DUOS'!Q$71="month",AF7*12,AF7))</f>
        <v>0</v>
      </c>
      <c r="AW7" s="742">
        <f>IF('Prop DUOS'!R$69="cents",Q7/100,Q7)*IF('Prop DUOS'!R$71="day",AG7*'Prop DUOS'!$D$77,IF('Prop DUOS'!R$71="month",AG7*12,AG7))</f>
        <v>0</v>
      </c>
      <c r="AX7" s="742">
        <f>IF('Prop DUOS'!S$69="cents",R7/100,R7)*IF('Prop DUOS'!S$71="day",AH7*'Prop DUOS'!$D$77,IF('Prop DUOS'!S$71="month",AH7*12,AH7))</f>
        <v>0</v>
      </c>
      <c r="AY7" s="753">
        <f>SUM(AJ7:AX7)</f>
        <v>25821974.560723305</v>
      </c>
      <c r="BA7" s="87"/>
      <c r="BB7" s="87"/>
    </row>
    <row r="8" spans="2:54" s="158" customFormat="1">
      <c r="B8" s="360" t="str">
        <f>IF('t-1 DUOS'!B8="","",'t-1 DUOS'!B8)</f>
        <v>Winter economy tariff</v>
      </c>
      <c r="C8" s="220"/>
      <c r="D8" s="547">
        <v>0</v>
      </c>
      <c r="E8" s="548">
        <v>2.12</v>
      </c>
      <c r="F8" s="548">
        <v>0</v>
      </c>
      <c r="G8" s="548">
        <v>0</v>
      </c>
      <c r="H8" s="548">
        <v>2.12</v>
      </c>
      <c r="I8" s="548">
        <v>0</v>
      </c>
      <c r="J8" s="548">
        <v>0</v>
      </c>
      <c r="K8" s="548">
        <v>0</v>
      </c>
      <c r="L8" s="548">
        <v>0</v>
      </c>
      <c r="M8" s="548">
        <v>0</v>
      </c>
      <c r="N8" s="548">
        <v>0</v>
      </c>
      <c r="O8" s="548">
        <v>0</v>
      </c>
      <c r="P8" s="548">
        <v>0</v>
      </c>
      <c r="Q8" s="621">
        <v>0</v>
      </c>
      <c r="R8" s="549">
        <v>0</v>
      </c>
      <c r="T8" s="396">
        <f>'t-1 DUOS'!T8</f>
        <v>112.17139942958501</v>
      </c>
      <c r="U8" s="397">
        <f>'t-1 DUOS'!U8</f>
        <v>180346.30856219973</v>
      </c>
      <c r="V8" s="397">
        <f>'t-1 DUOS'!V8</f>
        <v>0</v>
      </c>
      <c r="W8" s="397">
        <f>'t-1 DUOS'!W8</f>
        <v>0</v>
      </c>
      <c r="X8" s="397">
        <f>'t-1 DUOS'!X8</f>
        <v>214428.06058738832</v>
      </c>
      <c r="Y8" s="397">
        <f>'t-1 DUOS'!Y8</f>
        <v>0</v>
      </c>
      <c r="Z8" s="397">
        <f>'t-1 DUOS'!Z8</f>
        <v>0</v>
      </c>
      <c r="AA8" s="397">
        <f>'t-1 DUOS'!AA8</f>
        <v>0</v>
      </c>
      <c r="AB8" s="397">
        <f>'t-1 DUOS'!AB8</f>
        <v>0</v>
      </c>
      <c r="AC8" s="397">
        <f>'t-1 DUOS'!AC8</f>
        <v>0</v>
      </c>
      <c r="AD8" s="397">
        <f>'t-1 DUOS'!AD8</f>
        <v>0</v>
      </c>
      <c r="AE8" s="397">
        <f>'t-1 DUOS'!AE8</f>
        <v>0</v>
      </c>
      <c r="AF8" s="397">
        <f>'t-1 DUOS'!AF8</f>
        <v>0</v>
      </c>
      <c r="AG8" s="631">
        <f>'t-1 DUOS'!AG8</f>
        <v>0</v>
      </c>
      <c r="AH8" s="398">
        <f>'t-1 DUOS'!AH8</f>
        <v>0</v>
      </c>
      <c r="AJ8" s="754">
        <f>IF('Prop DUOS'!$E$69="cents",D8/100,D8)*IF('Prop DUOS'!$E$71="day",T8*'Prop DUOS'!$D$77,T8)</f>
        <v>0</v>
      </c>
      <c r="AK8" s="755">
        <f>IF('Prop DUOS'!F$69="cents",E8/100,E8)*U8</f>
        <v>3823.3417415186341</v>
      </c>
      <c r="AL8" s="755">
        <f>IF('Prop DUOS'!G$69="cents",F8/100,F8)*V8</f>
        <v>0</v>
      </c>
      <c r="AM8" s="755">
        <f>IF('Prop DUOS'!H$69="cents",G8/100,G8)*W8</f>
        <v>0</v>
      </c>
      <c r="AN8" s="755">
        <f>IF('Prop DUOS'!I$69="cents",H8/100,H8)*X8</f>
        <v>4545.8748844526326</v>
      </c>
      <c r="AO8" s="755">
        <f>IF('Prop DUOS'!J$69="cents",I8/100,I8)*Y8</f>
        <v>0</v>
      </c>
      <c r="AP8" s="755">
        <f>IF('Prop DUOS'!K$69="cents",J8/100,J8)*Z8</f>
        <v>0</v>
      </c>
      <c r="AQ8" s="755">
        <f>IF('Prop DUOS'!L$69="cents",K8/100,K8)*AA8</f>
        <v>0</v>
      </c>
      <c r="AR8" s="755">
        <f>IF('Prop DUOS'!M$69="cents",L8/100,L8)*AB8</f>
        <v>0</v>
      </c>
      <c r="AS8" s="755">
        <f>IF('Prop DUOS'!N$69="cents",M8/100,M8)*AC8</f>
        <v>0</v>
      </c>
      <c r="AT8" s="755">
        <f>IF('Prop DUOS'!O$69="cents",N8/100,N8)*IF('Prop DUOS'!O$71="day",AD8*'Prop DUOS'!$D$77,IF('Prop DUOS'!O$71="month",AD8*12,AD8))</f>
        <v>0</v>
      </c>
      <c r="AU8" s="755">
        <f>IF('Prop DUOS'!P$69="cents",O8/100,O8)*IF('Prop DUOS'!P$71="day",AE8*'Prop DUOS'!$D$77,IF('Prop DUOS'!P$71="month",AE8*12,AE8))</f>
        <v>0</v>
      </c>
      <c r="AV8" s="755">
        <f>IF('Prop DUOS'!Q$69="cents",P8/100,P8)*IF('Prop DUOS'!Q$71="day",AF8*'Prop DUOS'!$D$77,IF('Prop DUOS'!Q$71="month",AF8*12,AF8))</f>
        <v>0</v>
      </c>
      <c r="AW8" s="755">
        <f>IF('Prop DUOS'!R$69="cents",Q8/100,Q8)*IF('Prop DUOS'!R$71="day",AG8*'Prop DUOS'!$D$77,IF('Prop DUOS'!R$71="month",AG8*12,AG8))</f>
        <v>0</v>
      </c>
      <c r="AX8" s="755">
        <f>IF('Prop DUOS'!S$69="cents",R8/100,R8)*IF('Prop DUOS'!S$71="day",AH8*'Prop DUOS'!$D$77,IF('Prop DUOS'!S$71="month",AH8*12,AH8))</f>
        <v>0</v>
      </c>
      <c r="AY8" s="743">
        <f t="shared" ref="AY8:AY66" si="0">SUM(AJ8:AX8)</f>
        <v>8369.2166259712667</v>
      </c>
      <c r="BA8" s="87"/>
      <c r="BB8" s="87"/>
    </row>
    <row r="9" spans="2:54" s="158" customFormat="1">
      <c r="B9" s="360" t="str">
        <f>IF('t-1 DUOS'!B9="","",'t-1 DUOS'!B9)</f>
        <v>Low voltage small 2 rate</v>
      </c>
      <c r="C9" s="220"/>
      <c r="D9" s="547">
        <v>0</v>
      </c>
      <c r="E9" s="548">
        <v>0</v>
      </c>
      <c r="F9" s="548">
        <v>0</v>
      </c>
      <c r="G9" s="548">
        <v>3.8</v>
      </c>
      <c r="H9" s="548">
        <v>0</v>
      </c>
      <c r="I9" s="548">
        <v>0</v>
      </c>
      <c r="J9" s="548">
        <v>3.8</v>
      </c>
      <c r="K9" s="548">
        <v>0</v>
      </c>
      <c r="L9" s="548">
        <v>0</v>
      </c>
      <c r="M9" s="548">
        <v>0</v>
      </c>
      <c r="N9" s="548">
        <v>0</v>
      </c>
      <c r="O9" s="548">
        <v>0</v>
      </c>
      <c r="P9" s="548">
        <v>0</v>
      </c>
      <c r="Q9" s="621">
        <v>0</v>
      </c>
      <c r="R9" s="549">
        <v>0</v>
      </c>
      <c r="T9" s="396">
        <f>'t-1 DUOS'!T9</f>
        <v>4100.8246746419454</v>
      </c>
      <c r="U9" s="397">
        <f>'t-1 DUOS'!U9</f>
        <v>0</v>
      </c>
      <c r="V9" s="397">
        <f>'t-1 DUOS'!V9</f>
        <v>0</v>
      </c>
      <c r="W9" s="397">
        <f>'t-1 DUOS'!W9</f>
        <v>2486340.8267023819</v>
      </c>
      <c r="X9" s="397">
        <f>'t-1 DUOS'!X9</f>
        <v>0</v>
      </c>
      <c r="Y9" s="397">
        <f>'t-1 DUOS'!Y9</f>
        <v>0</v>
      </c>
      <c r="Z9" s="397">
        <f>'t-1 DUOS'!Z9</f>
        <v>2813021.5307253245</v>
      </c>
      <c r="AA9" s="397">
        <f>'t-1 DUOS'!AA9</f>
        <v>6962515.389820559</v>
      </c>
      <c r="AB9" s="397">
        <f>'t-1 DUOS'!AB9</f>
        <v>0</v>
      </c>
      <c r="AC9" s="397">
        <f>'t-1 DUOS'!AC9</f>
        <v>0</v>
      </c>
      <c r="AD9" s="397">
        <f>'t-1 DUOS'!AD9</f>
        <v>0</v>
      </c>
      <c r="AE9" s="397">
        <f>'t-1 DUOS'!AE9</f>
        <v>0</v>
      </c>
      <c r="AF9" s="397">
        <f>'t-1 DUOS'!AF9</f>
        <v>0</v>
      </c>
      <c r="AG9" s="631">
        <f>'t-1 DUOS'!AG9</f>
        <v>0</v>
      </c>
      <c r="AH9" s="398">
        <f>'t-1 DUOS'!AH9</f>
        <v>0</v>
      </c>
      <c r="AJ9" s="754">
        <f>IF('Prop DUOS'!$E$69="cents",D9/100,D9)*IF('Prop DUOS'!$E$71="day",T9*'Prop DUOS'!$D$77,T9)</f>
        <v>0</v>
      </c>
      <c r="AK9" s="755">
        <f>IF('Prop DUOS'!F$69="cents",E9/100,E9)*U9</f>
        <v>0</v>
      </c>
      <c r="AL9" s="755">
        <f>IF('Prop DUOS'!G$69="cents",F9/100,F9)*V9</f>
        <v>0</v>
      </c>
      <c r="AM9" s="755">
        <f>IF('Prop DUOS'!H$69="cents",G9/100,G9)*W9</f>
        <v>94480.951414690513</v>
      </c>
      <c r="AN9" s="755">
        <f>IF('Prop DUOS'!I$69="cents",H9/100,H9)*X9</f>
        <v>0</v>
      </c>
      <c r="AO9" s="755">
        <f>IF('Prop DUOS'!J$69="cents",I9/100,I9)*Y9</f>
        <v>0</v>
      </c>
      <c r="AP9" s="755">
        <f>IF('Prop DUOS'!K$69="cents",J9/100,J9)*Z9</f>
        <v>106894.81816756233</v>
      </c>
      <c r="AQ9" s="755">
        <f>IF('Prop DUOS'!L$69="cents",K9/100,K9)*AA9</f>
        <v>0</v>
      </c>
      <c r="AR9" s="755">
        <f>IF('Prop DUOS'!M$69="cents",L9/100,L9)*AB9</f>
        <v>0</v>
      </c>
      <c r="AS9" s="755">
        <f>IF('Prop DUOS'!N$69="cents",M9/100,M9)*AC9</f>
        <v>0</v>
      </c>
      <c r="AT9" s="755">
        <f>IF('Prop DUOS'!O$69="cents",N9/100,N9)*IF('Prop DUOS'!O$71="day",AD9*'Prop DUOS'!$D$77,IF('Prop DUOS'!O$71="month",AD9*12,AD9))</f>
        <v>0</v>
      </c>
      <c r="AU9" s="755">
        <f>IF('Prop DUOS'!P$69="cents",O9/100,O9)*IF('Prop DUOS'!P$71="day",AE9*'Prop DUOS'!$D$77,IF('Prop DUOS'!P$71="month",AE9*12,AE9))</f>
        <v>0</v>
      </c>
      <c r="AV9" s="755">
        <f>IF('Prop DUOS'!Q$69="cents",P9/100,P9)*IF('Prop DUOS'!Q$71="day",AF9*'Prop DUOS'!$D$77,IF('Prop DUOS'!Q$71="month",AF9*12,AF9))</f>
        <v>0</v>
      </c>
      <c r="AW9" s="755">
        <f>IF('Prop DUOS'!R$69="cents",Q9/100,Q9)*IF('Prop DUOS'!R$71="day",AG9*'Prop DUOS'!$D$77,IF('Prop DUOS'!R$71="month",AG9*12,AG9))</f>
        <v>0</v>
      </c>
      <c r="AX9" s="755">
        <f>IF('Prop DUOS'!S$69="cents",R9/100,R9)*IF('Prop DUOS'!S$71="day",AH9*'Prop DUOS'!$D$77,IF('Prop DUOS'!S$71="month",AH9*12,AH9))</f>
        <v>0</v>
      </c>
      <c r="AY9" s="743">
        <f t="shared" si="0"/>
        <v>201375.76958225283</v>
      </c>
      <c r="BA9" s="87"/>
      <c r="BB9" s="87"/>
    </row>
    <row r="10" spans="2:54" s="158" customFormat="1">
      <c r="B10" s="360" t="str">
        <f>IF('t-1 DUOS'!B10="","",'t-1 DUOS'!B10)</f>
        <v>Dedicated circuit</v>
      </c>
      <c r="C10" s="220"/>
      <c r="D10" s="547">
        <v>0</v>
      </c>
      <c r="E10" s="548">
        <v>0</v>
      </c>
      <c r="F10" s="548">
        <v>0</v>
      </c>
      <c r="G10" s="548">
        <v>0</v>
      </c>
      <c r="H10" s="548">
        <v>0</v>
      </c>
      <c r="I10" s="548">
        <v>0</v>
      </c>
      <c r="J10" s="548">
        <v>0</v>
      </c>
      <c r="K10" s="548">
        <v>0</v>
      </c>
      <c r="L10" s="548">
        <v>0</v>
      </c>
      <c r="M10" s="548">
        <v>0</v>
      </c>
      <c r="N10" s="548">
        <v>0</v>
      </c>
      <c r="O10" s="548">
        <v>0</v>
      </c>
      <c r="P10" s="548">
        <v>0</v>
      </c>
      <c r="Q10" s="621">
        <v>0</v>
      </c>
      <c r="R10" s="549">
        <v>0</v>
      </c>
      <c r="T10" s="396">
        <f>'t-1 DUOS'!T10</f>
        <v>57999.687377131551</v>
      </c>
      <c r="U10" s="397">
        <f>'t-1 DUOS'!U10</f>
        <v>0</v>
      </c>
      <c r="V10" s="397">
        <f>'t-1 DUOS'!V10</f>
        <v>0</v>
      </c>
      <c r="W10" s="397">
        <f>'t-1 DUOS'!W10</f>
        <v>0</v>
      </c>
      <c r="X10" s="397">
        <f>'t-1 DUOS'!X10</f>
        <v>0</v>
      </c>
      <c r="Y10" s="397">
        <f>'t-1 DUOS'!Y10</f>
        <v>0</v>
      </c>
      <c r="Z10" s="397">
        <f>'t-1 DUOS'!Z10</f>
        <v>0</v>
      </c>
      <c r="AA10" s="397">
        <f>'t-1 DUOS'!AA10</f>
        <v>38999293.318953753</v>
      </c>
      <c r="AB10" s="397">
        <f>'t-1 DUOS'!AB10</f>
        <v>0</v>
      </c>
      <c r="AC10" s="397">
        <f>'t-1 DUOS'!AC10</f>
        <v>0</v>
      </c>
      <c r="AD10" s="397">
        <f>'t-1 DUOS'!AD10</f>
        <v>0</v>
      </c>
      <c r="AE10" s="397">
        <f>'t-1 DUOS'!AE10</f>
        <v>0</v>
      </c>
      <c r="AF10" s="397">
        <f>'t-1 DUOS'!AF10</f>
        <v>0</v>
      </c>
      <c r="AG10" s="631">
        <f>'t-1 DUOS'!AG10</f>
        <v>0</v>
      </c>
      <c r="AH10" s="398">
        <f>'t-1 DUOS'!AH10</f>
        <v>0</v>
      </c>
      <c r="AJ10" s="754">
        <f>IF('Prop DUOS'!$E$69="cents",D10/100,D10)*IF('Prop DUOS'!$E$71="day",T10*'Prop DUOS'!$D$77,T10)</f>
        <v>0</v>
      </c>
      <c r="AK10" s="755">
        <f>IF('Prop DUOS'!F$69="cents",E10/100,E10)*U10</f>
        <v>0</v>
      </c>
      <c r="AL10" s="755">
        <f>IF('Prop DUOS'!G$69="cents",F10/100,F10)*V10</f>
        <v>0</v>
      </c>
      <c r="AM10" s="755">
        <f>IF('Prop DUOS'!H$69="cents",G10/100,G10)*W10</f>
        <v>0</v>
      </c>
      <c r="AN10" s="755">
        <f>IF('Prop DUOS'!I$69="cents",H10/100,H10)*X10</f>
        <v>0</v>
      </c>
      <c r="AO10" s="755">
        <f>IF('Prop DUOS'!J$69="cents",I10/100,I10)*Y10</f>
        <v>0</v>
      </c>
      <c r="AP10" s="755">
        <f>IF('Prop DUOS'!K$69="cents",J10/100,J10)*Z10</f>
        <v>0</v>
      </c>
      <c r="AQ10" s="755">
        <f>IF('Prop DUOS'!L$69="cents",K10/100,K10)*AA10</f>
        <v>0</v>
      </c>
      <c r="AR10" s="755">
        <f>IF('Prop DUOS'!M$69="cents",L10/100,L10)*AB10</f>
        <v>0</v>
      </c>
      <c r="AS10" s="755">
        <f>IF('Prop DUOS'!N$69="cents",M10/100,M10)*AC10</f>
        <v>0</v>
      </c>
      <c r="AT10" s="755">
        <f>IF('Prop DUOS'!O$69="cents",N10/100,N10)*IF('Prop DUOS'!O$71="day",AD10*'Prop DUOS'!$D$77,IF('Prop DUOS'!O$71="month",AD10*12,AD10))</f>
        <v>0</v>
      </c>
      <c r="AU10" s="755">
        <f>IF('Prop DUOS'!P$69="cents",O10/100,O10)*IF('Prop DUOS'!P$71="day",AE10*'Prop DUOS'!$D$77,IF('Prop DUOS'!P$71="month",AE10*12,AE10))</f>
        <v>0</v>
      </c>
      <c r="AV10" s="755">
        <f>IF('Prop DUOS'!Q$69="cents",P10/100,P10)*IF('Prop DUOS'!Q$71="day",AF10*'Prop DUOS'!$D$77,IF('Prop DUOS'!Q$71="month",AF10*12,AF10))</f>
        <v>0</v>
      </c>
      <c r="AW10" s="755">
        <f>IF('Prop DUOS'!R$69="cents",Q10/100,Q10)*IF('Prop DUOS'!R$71="day",AG10*'Prop DUOS'!$D$77,IF('Prop DUOS'!R$71="month",AG10*12,AG10))</f>
        <v>0</v>
      </c>
      <c r="AX10" s="755">
        <f>IF('Prop DUOS'!S$69="cents",R10/100,R10)*IF('Prop DUOS'!S$71="day",AH10*'Prop DUOS'!$D$77,IF('Prop DUOS'!S$71="month",AH10*12,AH10))</f>
        <v>0</v>
      </c>
      <c r="AY10" s="743">
        <f t="shared" si="0"/>
        <v>0</v>
      </c>
      <c r="BA10" s="87"/>
      <c r="BB10" s="87"/>
    </row>
    <row r="11" spans="2:54" s="158" customFormat="1">
      <c r="B11" s="360" t="str">
        <f>IF('t-1 DUOS'!B11="","",'t-1 DUOS'!B11)</f>
        <v>Low voltage medium 1 rate</v>
      </c>
      <c r="C11" s="220"/>
      <c r="D11" s="547">
        <v>0</v>
      </c>
      <c r="E11" s="548">
        <v>2.46</v>
      </c>
      <c r="F11" s="548">
        <v>0</v>
      </c>
      <c r="G11" s="548">
        <v>0</v>
      </c>
      <c r="H11" s="548">
        <v>2.46</v>
      </c>
      <c r="I11" s="548">
        <v>0</v>
      </c>
      <c r="J11" s="548">
        <v>0</v>
      </c>
      <c r="K11" s="548">
        <v>0</v>
      </c>
      <c r="L11" s="548">
        <v>0</v>
      </c>
      <c r="M11" s="548">
        <v>0</v>
      </c>
      <c r="N11" s="548">
        <v>0</v>
      </c>
      <c r="O11" s="548">
        <v>0</v>
      </c>
      <c r="P11" s="548">
        <v>0</v>
      </c>
      <c r="Q11" s="621">
        <v>0</v>
      </c>
      <c r="R11" s="549">
        <v>0</v>
      </c>
      <c r="T11" s="396">
        <f>'t-1 DUOS'!T11</f>
        <v>36259.32507256652</v>
      </c>
      <c r="U11" s="397">
        <f>'t-1 DUOS'!U11</f>
        <v>93025913.444147393</v>
      </c>
      <c r="V11" s="397">
        <f>'t-1 DUOS'!V11</f>
        <v>0</v>
      </c>
      <c r="W11" s="397">
        <f>'t-1 DUOS'!W11</f>
        <v>0</v>
      </c>
      <c r="X11" s="397">
        <f>'t-1 DUOS'!X11</f>
        <v>97466133.89275226</v>
      </c>
      <c r="Y11" s="397">
        <f>'t-1 DUOS'!Y11</f>
        <v>0</v>
      </c>
      <c r="Z11" s="397">
        <f>'t-1 DUOS'!Z11</f>
        <v>0</v>
      </c>
      <c r="AA11" s="397">
        <f>'t-1 DUOS'!AA11</f>
        <v>0</v>
      </c>
      <c r="AB11" s="397">
        <f>'t-1 DUOS'!AB11</f>
        <v>0</v>
      </c>
      <c r="AC11" s="397">
        <f>'t-1 DUOS'!AC11</f>
        <v>0</v>
      </c>
      <c r="AD11" s="397">
        <f>'t-1 DUOS'!AD11</f>
        <v>0</v>
      </c>
      <c r="AE11" s="397">
        <f>'t-1 DUOS'!AE11</f>
        <v>0</v>
      </c>
      <c r="AF11" s="397">
        <f>'t-1 DUOS'!AF11</f>
        <v>0</v>
      </c>
      <c r="AG11" s="631">
        <f>'t-1 DUOS'!AG11</f>
        <v>0</v>
      </c>
      <c r="AH11" s="398">
        <f>'t-1 DUOS'!AH11</f>
        <v>0</v>
      </c>
      <c r="AJ11" s="754">
        <f>IF('Prop DUOS'!$E$69="cents",D11/100,D11)*IF('Prop DUOS'!$E$71="day",T11*'Prop DUOS'!$D$77,T11)</f>
        <v>0</v>
      </c>
      <c r="AK11" s="755">
        <f>IF('Prop DUOS'!F$69="cents",E11/100,E11)*U11</f>
        <v>2288437.4707260258</v>
      </c>
      <c r="AL11" s="755">
        <f>IF('Prop DUOS'!G$69="cents",F11/100,F11)*V11</f>
        <v>0</v>
      </c>
      <c r="AM11" s="755">
        <f>IF('Prop DUOS'!H$69="cents",G11/100,G11)*W11</f>
        <v>0</v>
      </c>
      <c r="AN11" s="755">
        <f>IF('Prop DUOS'!I$69="cents",H11/100,H11)*X11</f>
        <v>2397666.8937617056</v>
      </c>
      <c r="AO11" s="755">
        <f>IF('Prop DUOS'!J$69="cents",I11/100,I11)*Y11</f>
        <v>0</v>
      </c>
      <c r="AP11" s="755">
        <f>IF('Prop DUOS'!K$69="cents",J11/100,J11)*Z11</f>
        <v>0</v>
      </c>
      <c r="AQ11" s="755">
        <f>IF('Prop DUOS'!L$69="cents",K11/100,K11)*AA11</f>
        <v>0</v>
      </c>
      <c r="AR11" s="755">
        <f>IF('Prop DUOS'!M$69="cents",L11/100,L11)*AB11</f>
        <v>0</v>
      </c>
      <c r="AS11" s="755">
        <f>IF('Prop DUOS'!N$69="cents",M11/100,M11)*AC11</f>
        <v>0</v>
      </c>
      <c r="AT11" s="755">
        <f>IF('Prop DUOS'!O$69="cents",N11/100,N11)*IF('Prop DUOS'!O$71="day",AD11*'Prop DUOS'!$D$77,IF('Prop DUOS'!O$71="month",AD11*12,AD11))</f>
        <v>0</v>
      </c>
      <c r="AU11" s="755">
        <f>IF('Prop DUOS'!P$69="cents",O11/100,O11)*IF('Prop DUOS'!P$71="day",AE11*'Prop DUOS'!$D$77,IF('Prop DUOS'!P$71="month",AE11*12,AE11))</f>
        <v>0</v>
      </c>
      <c r="AV11" s="755">
        <f>IF('Prop DUOS'!Q$69="cents",P11/100,P11)*IF('Prop DUOS'!Q$71="day",AF11*'Prop DUOS'!$D$77,IF('Prop DUOS'!Q$71="month",AF11*12,AF11))</f>
        <v>0</v>
      </c>
      <c r="AW11" s="755">
        <f>IF('Prop DUOS'!R$69="cents",Q11/100,Q11)*IF('Prop DUOS'!R$71="day",AG11*'Prop DUOS'!$D$77,IF('Prop DUOS'!R$71="month",AG11*12,AG11))</f>
        <v>0</v>
      </c>
      <c r="AX11" s="755">
        <f>IF('Prop DUOS'!S$69="cents",R11/100,R11)*IF('Prop DUOS'!S$71="day",AH11*'Prop DUOS'!$D$77,IF('Prop DUOS'!S$71="month",AH11*12,AH11))</f>
        <v>0</v>
      </c>
      <c r="AY11" s="743">
        <f t="shared" si="0"/>
        <v>4686104.3644877318</v>
      </c>
      <c r="BA11" s="87"/>
      <c r="BB11" s="87"/>
    </row>
    <row r="12" spans="2:54" s="158" customFormat="1">
      <c r="B12" s="360" t="str">
        <f>IF('t-1 DUOS'!B12="","",'t-1 DUOS'!B12)</f>
        <v>Low voltage medium 2 rate 5 day</v>
      </c>
      <c r="C12" s="220"/>
      <c r="D12" s="547">
        <v>0</v>
      </c>
      <c r="E12" s="548">
        <v>0</v>
      </c>
      <c r="F12" s="548">
        <v>0</v>
      </c>
      <c r="G12" s="548">
        <v>2.4</v>
      </c>
      <c r="H12" s="548">
        <v>0</v>
      </c>
      <c r="I12" s="548">
        <v>0</v>
      </c>
      <c r="J12" s="548">
        <v>2.4</v>
      </c>
      <c r="K12" s="548">
        <v>0</v>
      </c>
      <c r="L12" s="548">
        <v>0</v>
      </c>
      <c r="M12" s="548">
        <v>0</v>
      </c>
      <c r="N12" s="548">
        <v>0</v>
      </c>
      <c r="O12" s="548">
        <v>0</v>
      </c>
      <c r="P12" s="548">
        <v>0</v>
      </c>
      <c r="Q12" s="621">
        <v>0</v>
      </c>
      <c r="R12" s="549">
        <v>0</v>
      </c>
      <c r="T12" s="396">
        <f>'t-1 DUOS'!T12</f>
        <v>9342.5698936425651</v>
      </c>
      <c r="U12" s="397">
        <f>'t-1 DUOS'!U12</f>
        <v>0</v>
      </c>
      <c r="V12" s="397">
        <f>'t-1 DUOS'!V12</f>
        <v>0</v>
      </c>
      <c r="W12" s="397">
        <f>'t-1 DUOS'!W12</f>
        <v>25740969.509915289</v>
      </c>
      <c r="X12" s="397">
        <f>'t-1 DUOS'!X12</f>
        <v>0</v>
      </c>
      <c r="Y12" s="397">
        <f>'t-1 DUOS'!Y12</f>
        <v>0</v>
      </c>
      <c r="Z12" s="397">
        <f>'t-1 DUOS'!Z12</f>
        <v>25122012.931248948</v>
      </c>
      <c r="AA12" s="397">
        <f>'t-1 DUOS'!AA12</f>
        <v>31903025.485105995</v>
      </c>
      <c r="AB12" s="397">
        <f>'t-1 DUOS'!AB12</f>
        <v>0</v>
      </c>
      <c r="AC12" s="397">
        <f>'t-1 DUOS'!AC12</f>
        <v>0</v>
      </c>
      <c r="AD12" s="397">
        <f>'t-1 DUOS'!AD12</f>
        <v>0</v>
      </c>
      <c r="AE12" s="397">
        <f>'t-1 DUOS'!AE12</f>
        <v>0</v>
      </c>
      <c r="AF12" s="397">
        <f>'t-1 DUOS'!AF12</f>
        <v>0</v>
      </c>
      <c r="AG12" s="631">
        <f>'t-1 DUOS'!AG12</f>
        <v>0</v>
      </c>
      <c r="AH12" s="398">
        <f>'t-1 DUOS'!AH12</f>
        <v>0</v>
      </c>
      <c r="AJ12" s="754">
        <f>IF('Prop DUOS'!$E$69="cents",D12/100,D12)*IF('Prop DUOS'!$E$71="day",T12*'Prop DUOS'!$D$77,T12)</f>
        <v>0</v>
      </c>
      <c r="AK12" s="755">
        <f>IF('Prop DUOS'!F$69="cents",E12/100,E12)*U12</f>
        <v>0</v>
      </c>
      <c r="AL12" s="755">
        <f>IF('Prop DUOS'!G$69="cents",F12/100,F12)*V12</f>
        <v>0</v>
      </c>
      <c r="AM12" s="755">
        <f>IF('Prop DUOS'!H$69="cents",G12/100,G12)*W12</f>
        <v>617783.26823796693</v>
      </c>
      <c r="AN12" s="755">
        <f>IF('Prop DUOS'!I$69="cents",H12/100,H12)*X12</f>
        <v>0</v>
      </c>
      <c r="AO12" s="755">
        <f>IF('Prop DUOS'!J$69="cents",I12/100,I12)*Y12</f>
        <v>0</v>
      </c>
      <c r="AP12" s="755">
        <f>IF('Prop DUOS'!K$69="cents",J12/100,J12)*Z12</f>
        <v>602928.31034997478</v>
      </c>
      <c r="AQ12" s="755">
        <f>IF('Prop DUOS'!L$69="cents",K12/100,K12)*AA12</f>
        <v>0</v>
      </c>
      <c r="AR12" s="755">
        <f>IF('Prop DUOS'!M$69="cents",L12/100,L12)*AB12</f>
        <v>0</v>
      </c>
      <c r="AS12" s="755">
        <f>IF('Prop DUOS'!N$69="cents",M12/100,M12)*AC12</f>
        <v>0</v>
      </c>
      <c r="AT12" s="755">
        <f>IF('Prop DUOS'!O$69="cents",N12/100,N12)*IF('Prop DUOS'!O$71="day",AD12*'Prop DUOS'!$D$77,IF('Prop DUOS'!O$71="month",AD12*12,AD12))</f>
        <v>0</v>
      </c>
      <c r="AU12" s="755">
        <f>IF('Prop DUOS'!P$69="cents",O12/100,O12)*IF('Prop DUOS'!P$71="day",AE12*'Prop DUOS'!$D$77,IF('Prop DUOS'!P$71="month",AE12*12,AE12))</f>
        <v>0</v>
      </c>
      <c r="AV12" s="755">
        <f>IF('Prop DUOS'!Q$69="cents",P12/100,P12)*IF('Prop DUOS'!Q$71="day",AF12*'Prop DUOS'!$D$77,IF('Prop DUOS'!Q$71="month",AF12*12,AF12))</f>
        <v>0</v>
      </c>
      <c r="AW12" s="755">
        <f>IF('Prop DUOS'!R$69="cents",Q12/100,Q12)*IF('Prop DUOS'!R$71="day",AG12*'Prop DUOS'!$D$77,IF('Prop DUOS'!R$71="month",AG12*12,AG12))</f>
        <v>0</v>
      </c>
      <c r="AX12" s="755">
        <f>IF('Prop DUOS'!S$69="cents",R12/100,R12)*IF('Prop DUOS'!S$71="day",AH12*'Prop DUOS'!$D$77,IF('Prop DUOS'!S$71="month",AH12*12,AH12))</f>
        <v>0</v>
      </c>
      <c r="AY12" s="743">
        <f t="shared" si="0"/>
        <v>1220711.5785879418</v>
      </c>
      <c r="BA12" s="87"/>
      <c r="BB12" s="87"/>
    </row>
    <row r="13" spans="2:54" s="158" customFormat="1">
      <c r="B13" s="360" t="str">
        <f>IF('t-1 DUOS'!B13="","",'t-1 DUOS'!B13)</f>
        <v>Low voltage medium 2 rate 7 day</v>
      </c>
      <c r="C13" s="220"/>
      <c r="D13" s="547">
        <v>0</v>
      </c>
      <c r="E13" s="548">
        <v>0</v>
      </c>
      <c r="F13" s="548">
        <v>0</v>
      </c>
      <c r="G13" s="548">
        <v>2.2999999999999998</v>
      </c>
      <c r="H13" s="548">
        <v>0</v>
      </c>
      <c r="I13" s="548">
        <v>0</v>
      </c>
      <c r="J13" s="548">
        <v>2.2999999999999998</v>
      </c>
      <c r="K13" s="548">
        <v>0</v>
      </c>
      <c r="L13" s="548">
        <v>0</v>
      </c>
      <c r="M13" s="548">
        <v>0</v>
      </c>
      <c r="N13" s="548">
        <v>0</v>
      </c>
      <c r="O13" s="548">
        <v>0</v>
      </c>
      <c r="P13" s="548">
        <v>0</v>
      </c>
      <c r="Q13" s="621">
        <v>0</v>
      </c>
      <c r="R13" s="549">
        <v>0</v>
      </c>
      <c r="T13" s="396">
        <f>'t-1 DUOS'!T13</f>
        <v>4794.226596460584</v>
      </c>
      <c r="U13" s="397">
        <f>'t-1 DUOS'!U13</f>
        <v>0</v>
      </c>
      <c r="V13" s="397">
        <f>'t-1 DUOS'!V13</f>
        <v>0</v>
      </c>
      <c r="W13" s="397">
        <f>'t-1 DUOS'!W13</f>
        <v>11642265.740953906</v>
      </c>
      <c r="X13" s="397">
        <f>'t-1 DUOS'!X13</f>
        <v>0</v>
      </c>
      <c r="Y13" s="397">
        <f>'t-1 DUOS'!Y13</f>
        <v>0</v>
      </c>
      <c r="Z13" s="397">
        <f>'t-1 DUOS'!Z13</f>
        <v>11958387.790862266</v>
      </c>
      <c r="AA13" s="397">
        <f>'t-1 DUOS'!AA13</f>
        <v>6397297.3012028877</v>
      </c>
      <c r="AB13" s="397">
        <f>'t-1 DUOS'!AB13</f>
        <v>0</v>
      </c>
      <c r="AC13" s="397">
        <f>'t-1 DUOS'!AC13</f>
        <v>0</v>
      </c>
      <c r="AD13" s="397">
        <f>'t-1 DUOS'!AD13</f>
        <v>0</v>
      </c>
      <c r="AE13" s="397">
        <f>'t-1 DUOS'!AE13</f>
        <v>0</v>
      </c>
      <c r="AF13" s="397">
        <f>'t-1 DUOS'!AF13</f>
        <v>0</v>
      </c>
      <c r="AG13" s="631">
        <f>'t-1 DUOS'!AG13</f>
        <v>0</v>
      </c>
      <c r="AH13" s="398">
        <f>'t-1 DUOS'!AH13</f>
        <v>0</v>
      </c>
      <c r="AJ13" s="754">
        <f>IF('Prop DUOS'!$E$69="cents",D13/100,D13)*IF('Prop DUOS'!$E$71="day",T13*'Prop DUOS'!$D$77,T13)</f>
        <v>0</v>
      </c>
      <c r="AK13" s="755">
        <f>IF('Prop DUOS'!F$69="cents",E13/100,E13)*U13</f>
        <v>0</v>
      </c>
      <c r="AL13" s="755">
        <f>IF('Prop DUOS'!G$69="cents",F13/100,F13)*V13</f>
        <v>0</v>
      </c>
      <c r="AM13" s="755">
        <f>IF('Prop DUOS'!H$69="cents",G13/100,G13)*W13</f>
        <v>267772.11204193981</v>
      </c>
      <c r="AN13" s="755">
        <f>IF('Prop DUOS'!I$69="cents",H13/100,H13)*X13</f>
        <v>0</v>
      </c>
      <c r="AO13" s="755">
        <f>IF('Prop DUOS'!J$69="cents",I13/100,I13)*Y13</f>
        <v>0</v>
      </c>
      <c r="AP13" s="755">
        <f>IF('Prop DUOS'!K$69="cents",J13/100,J13)*Z13</f>
        <v>275042.91918983212</v>
      </c>
      <c r="AQ13" s="755">
        <f>IF('Prop DUOS'!L$69="cents",K13/100,K13)*AA13</f>
        <v>0</v>
      </c>
      <c r="AR13" s="755">
        <f>IF('Prop DUOS'!M$69="cents",L13/100,L13)*AB13</f>
        <v>0</v>
      </c>
      <c r="AS13" s="755">
        <f>IF('Prop DUOS'!N$69="cents",M13/100,M13)*AC13</f>
        <v>0</v>
      </c>
      <c r="AT13" s="755">
        <f>IF('Prop DUOS'!O$69="cents",N13/100,N13)*IF('Prop DUOS'!O$71="day",AD13*'Prop DUOS'!$D$77,IF('Prop DUOS'!O$71="month",AD13*12,AD13))</f>
        <v>0</v>
      </c>
      <c r="AU13" s="755">
        <f>IF('Prop DUOS'!P$69="cents",O13/100,O13)*IF('Prop DUOS'!P$71="day",AE13*'Prop DUOS'!$D$77,IF('Prop DUOS'!P$71="month",AE13*12,AE13))</f>
        <v>0</v>
      </c>
      <c r="AV13" s="755">
        <f>IF('Prop DUOS'!Q$69="cents",P13/100,P13)*IF('Prop DUOS'!Q$71="day",AF13*'Prop DUOS'!$D$77,IF('Prop DUOS'!Q$71="month",AF13*12,AF13))</f>
        <v>0</v>
      </c>
      <c r="AW13" s="755">
        <f>IF('Prop DUOS'!R$69="cents",Q13/100,Q13)*IF('Prop DUOS'!R$71="day",AG13*'Prop DUOS'!$D$77,IF('Prop DUOS'!R$71="month",AG13*12,AG13))</f>
        <v>0</v>
      </c>
      <c r="AX13" s="755">
        <f>IF('Prop DUOS'!S$69="cents",R13/100,R13)*IF('Prop DUOS'!S$71="day",AH13*'Prop DUOS'!$D$77,IF('Prop DUOS'!S$71="month",AH13*12,AH13))</f>
        <v>0</v>
      </c>
      <c r="AY13" s="743">
        <f t="shared" si="0"/>
        <v>542815.03123177192</v>
      </c>
      <c r="BA13" s="87"/>
      <c r="BB13" s="87"/>
    </row>
    <row r="14" spans="2:54" s="158" customFormat="1">
      <c r="B14" s="360" t="str">
        <f>IF('t-1 DUOS'!B14="","",'t-1 DUOS'!B14)</f>
        <v>Unmetered supplies</v>
      </c>
      <c r="C14" s="220"/>
      <c r="D14" s="547">
        <v>0</v>
      </c>
      <c r="E14" s="548">
        <v>0</v>
      </c>
      <c r="F14" s="548">
        <v>0</v>
      </c>
      <c r="G14" s="548">
        <v>3.38</v>
      </c>
      <c r="H14" s="548">
        <v>0</v>
      </c>
      <c r="I14" s="548">
        <v>0</v>
      </c>
      <c r="J14" s="548">
        <v>3.38</v>
      </c>
      <c r="K14" s="548">
        <v>0</v>
      </c>
      <c r="L14" s="548">
        <v>0</v>
      </c>
      <c r="M14" s="548">
        <v>0</v>
      </c>
      <c r="N14" s="548">
        <v>0</v>
      </c>
      <c r="O14" s="548">
        <v>0</v>
      </c>
      <c r="P14" s="548">
        <v>0</v>
      </c>
      <c r="Q14" s="621">
        <v>0</v>
      </c>
      <c r="R14" s="549">
        <v>0</v>
      </c>
      <c r="T14" s="396">
        <f>'t-1 DUOS'!T14</f>
        <v>10070.331491712706</v>
      </c>
      <c r="U14" s="397">
        <f>'t-1 DUOS'!U14</f>
        <v>0</v>
      </c>
      <c r="V14" s="397">
        <f>'t-1 DUOS'!V14</f>
        <v>0</v>
      </c>
      <c r="W14" s="397">
        <f>'t-1 DUOS'!W14</f>
        <v>7860660.7721843058</v>
      </c>
      <c r="X14" s="397">
        <f>'t-1 DUOS'!X14</f>
        <v>0</v>
      </c>
      <c r="Y14" s="397">
        <f>'t-1 DUOS'!Y14</f>
        <v>0</v>
      </c>
      <c r="Z14" s="397">
        <f>'t-1 DUOS'!Z14</f>
        <v>9071878.8425180931</v>
      </c>
      <c r="AA14" s="397">
        <f>'t-1 DUOS'!AA14</f>
        <v>31359108.223164964</v>
      </c>
      <c r="AB14" s="397">
        <f>'t-1 DUOS'!AB14</f>
        <v>0</v>
      </c>
      <c r="AC14" s="397">
        <f>'t-1 DUOS'!AC14</f>
        <v>0</v>
      </c>
      <c r="AD14" s="397">
        <f>'t-1 DUOS'!AD14</f>
        <v>0</v>
      </c>
      <c r="AE14" s="397">
        <f>'t-1 DUOS'!AE14</f>
        <v>0</v>
      </c>
      <c r="AF14" s="397">
        <f>'t-1 DUOS'!AF14</f>
        <v>0</v>
      </c>
      <c r="AG14" s="631">
        <f>'t-1 DUOS'!AG14</f>
        <v>0</v>
      </c>
      <c r="AH14" s="398">
        <f>'t-1 DUOS'!AH14</f>
        <v>0</v>
      </c>
      <c r="AJ14" s="754">
        <f>IF('Prop DUOS'!$E$69="cents",D14/100,D14)*IF('Prop DUOS'!$E$71="day",T14*'Prop DUOS'!$D$77,T14)</f>
        <v>0</v>
      </c>
      <c r="AK14" s="755">
        <f>IF('Prop DUOS'!F$69="cents",E14/100,E14)*U14</f>
        <v>0</v>
      </c>
      <c r="AL14" s="755">
        <f>IF('Prop DUOS'!G$69="cents",F14/100,F14)*V14</f>
        <v>0</v>
      </c>
      <c r="AM14" s="755">
        <f>IF('Prop DUOS'!H$69="cents",G14/100,G14)*W14</f>
        <v>265690.33409982949</v>
      </c>
      <c r="AN14" s="755">
        <f>IF('Prop DUOS'!I$69="cents",H14/100,H14)*X14</f>
        <v>0</v>
      </c>
      <c r="AO14" s="755">
        <f>IF('Prop DUOS'!J$69="cents",I14/100,I14)*Y14</f>
        <v>0</v>
      </c>
      <c r="AP14" s="755">
        <f>IF('Prop DUOS'!K$69="cents",J14/100,J14)*Z14</f>
        <v>306629.50487711153</v>
      </c>
      <c r="AQ14" s="755">
        <f>IF('Prop DUOS'!L$69="cents",K14/100,K14)*AA14</f>
        <v>0</v>
      </c>
      <c r="AR14" s="755">
        <f>IF('Prop DUOS'!M$69="cents",L14/100,L14)*AB14</f>
        <v>0</v>
      </c>
      <c r="AS14" s="755">
        <f>IF('Prop DUOS'!N$69="cents",M14/100,M14)*AC14</f>
        <v>0</v>
      </c>
      <c r="AT14" s="755">
        <f>IF('Prop DUOS'!O$69="cents",N14/100,N14)*IF('Prop DUOS'!O$71="day",AD14*'Prop DUOS'!$D$77,IF('Prop DUOS'!O$71="month",AD14*12,AD14))</f>
        <v>0</v>
      </c>
      <c r="AU14" s="755">
        <f>IF('Prop DUOS'!P$69="cents",O14/100,O14)*IF('Prop DUOS'!P$71="day",AE14*'Prop DUOS'!$D$77,IF('Prop DUOS'!P$71="month",AE14*12,AE14))</f>
        <v>0</v>
      </c>
      <c r="AV14" s="755">
        <f>IF('Prop DUOS'!Q$69="cents",P14/100,P14)*IF('Prop DUOS'!Q$71="day",AF14*'Prop DUOS'!$D$77,IF('Prop DUOS'!Q$71="month",AF14*12,AF14))</f>
        <v>0</v>
      </c>
      <c r="AW14" s="755">
        <f>IF('Prop DUOS'!R$69="cents",Q14/100,Q14)*IF('Prop DUOS'!R$71="day",AG14*'Prop DUOS'!$D$77,IF('Prop DUOS'!R$71="month",AG14*12,AG14))</f>
        <v>0</v>
      </c>
      <c r="AX14" s="755">
        <f>IF('Prop DUOS'!S$69="cents",R14/100,R14)*IF('Prop DUOS'!S$71="day",AH14*'Prop DUOS'!$D$77,IF('Prop DUOS'!S$71="month",AH14*12,AH14))</f>
        <v>0</v>
      </c>
      <c r="AY14" s="743">
        <f t="shared" si="0"/>
        <v>572319.83897694107</v>
      </c>
      <c r="BA14" s="87"/>
      <c r="BB14" s="87"/>
    </row>
    <row r="15" spans="2:54" s="158" customFormat="1">
      <c r="B15" s="360" t="str">
        <f>IF('t-1 DUOS'!B15="","",'t-1 DUOS'!B15)</f>
        <v>Low voltage large 1 rate</v>
      </c>
      <c r="C15" s="220"/>
      <c r="D15" s="547">
        <v>0</v>
      </c>
      <c r="E15" s="548">
        <v>2.46</v>
      </c>
      <c r="F15" s="548">
        <v>0</v>
      </c>
      <c r="G15" s="548">
        <v>0</v>
      </c>
      <c r="H15" s="548">
        <v>2.46</v>
      </c>
      <c r="I15" s="548">
        <v>0</v>
      </c>
      <c r="J15" s="548">
        <v>0</v>
      </c>
      <c r="K15" s="548">
        <v>0</v>
      </c>
      <c r="L15" s="548">
        <v>0</v>
      </c>
      <c r="M15" s="548">
        <v>0</v>
      </c>
      <c r="N15" s="548">
        <v>0</v>
      </c>
      <c r="O15" s="548">
        <v>0</v>
      </c>
      <c r="P15" s="548">
        <v>0</v>
      </c>
      <c r="Q15" s="621">
        <v>0</v>
      </c>
      <c r="R15" s="549">
        <v>0</v>
      </c>
      <c r="T15" s="396">
        <f>'t-1 DUOS'!T15</f>
        <v>5.9728736666867741</v>
      </c>
      <c r="U15" s="397">
        <f>'t-1 DUOS'!U15</f>
        <v>350830.86554110394</v>
      </c>
      <c r="V15" s="397">
        <f>'t-1 DUOS'!V15</f>
        <v>0</v>
      </c>
      <c r="W15" s="397">
        <f>'t-1 DUOS'!W15</f>
        <v>0</v>
      </c>
      <c r="X15" s="397">
        <f>'t-1 DUOS'!X15</f>
        <v>336597.5053836623</v>
      </c>
      <c r="Y15" s="397">
        <f>'t-1 DUOS'!Y15</f>
        <v>0</v>
      </c>
      <c r="Z15" s="397">
        <f>'t-1 DUOS'!Z15</f>
        <v>0</v>
      </c>
      <c r="AA15" s="397">
        <f>'t-1 DUOS'!AA15</f>
        <v>0</v>
      </c>
      <c r="AB15" s="397">
        <f>'t-1 DUOS'!AB15</f>
        <v>0</v>
      </c>
      <c r="AC15" s="397">
        <f>'t-1 DUOS'!AC15</f>
        <v>0</v>
      </c>
      <c r="AD15" s="397">
        <f>'t-1 DUOS'!AD15</f>
        <v>0</v>
      </c>
      <c r="AE15" s="397">
        <f>'t-1 DUOS'!AE15</f>
        <v>0</v>
      </c>
      <c r="AF15" s="397">
        <f>'t-1 DUOS'!AF15</f>
        <v>0</v>
      </c>
      <c r="AG15" s="631">
        <f>'t-1 DUOS'!AG15</f>
        <v>0</v>
      </c>
      <c r="AH15" s="398">
        <f>'t-1 DUOS'!AH15</f>
        <v>0</v>
      </c>
      <c r="AJ15" s="754">
        <f>IF('Prop DUOS'!$E$69="cents",D15/100,D15)*IF('Prop DUOS'!$E$71="day",T15*'Prop DUOS'!$D$77,T15)</f>
        <v>0</v>
      </c>
      <c r="AK15" s="755">
        <f>IF('Prop DUOS'!F$69="cents",E15/100,E15)*U15</f>
        <v>8630.4392923111573</v>
      </c>
      <c r="AL15" s="755">
        <f>IF('Prop DUOS'!G$69="cents",F15/100,F15)*V15</f>
        <v>0</v>
      </c>
      <c r="AM15" s="755">
        <f>IF('Prop DUOS'!H$69="cents",G15/100,G15)*W15</f>
        <v>0</v>
      </c>
      <c r="AN15" s="755">
        <f>IF('Prop DUOS'!I$69="cents",H15/100,H15)*X15</f>
        <v>8280.2986324380927</v>
      </c>
      <c r="AO15" s="755">
        <f>IF('Prop DUOS'!J$69="cents",I15/100,I15)*Y15</f>
        <v>0</v>
      </c>
      <c r="AP15" s="755">
        <f>IF('Prop DUOS'!K$69="cents",J15/100,J15)*Z15</f>
        <v>0</v>
      </c>
      <c r="AQ15" s="755">
        <f>IF('Prop DUOS'!L$69="cents",K15/100,K15)*AA15</f>
        <v>0</v>
      </c>
      <c r="AR15" s="755">
        <f>IF('Prop DUOS'!M$69="cents",L15/100,L15)*AB15</f>
        <v>0</v>
      </c>
      <c r="AS15" s="755">
        <f>IF('Prop DUOS'!N$69="cents",M15/100,M15)*AC15</f>
        <v>0</v>
      </c>
      <c r="AT15" s="755">
        <f>IF('Prop DUOS'!O$69="cents",N15/100,N15)*IF('Prop DUOS'!O$71="day",AD15*'Prop DUOS'!$D$77,IF('Prop DUOS'!O$71="month",AD15*12,AD15))</f>
        <v>0</v>
      </c>
      <c r="AU15" s="755">
        <f>IF('Prop DUOS'!P$69="cents",O15/100,O15)*IF('Prop DUOS'!P$71="day",AE15*'Prop DUOS'!$D$77,IF('Prop DUOS'!P$71="month",AE15*12,AE15))</f>
        <v>0</v>
      </c>
      <c r="AV15" s="755">
        <f>IF('Prop DUOS'!Q$69="cents",P15/100,P15)*IF('Prop DUOS'!Q$71="day",AF15*'Prop DUOS'!$D$77,IF('Prop DUOS'!Q$71="month",AF15*12,AF15))</f>
        <v>0</v>
      </c>
      <c r="AW15" s="755">
        <f>IF('Prop DUOS'!R$69="cents",Q15/100,Q15)*IF('Prop DUOS'!R$71="day",AG15*'Prop DUOS'!$D$77,IF('Prop DUOS'!R$71="month",AG15*12,AG15))</f>
        <v>0</v>
      </c>
      <c r="AX15" s="755">
        <f>IF('Prop DUOS'!S$69="cents",R15/100,R15)*IF('Prop DUOS'!S$71="day",AH15*'Prop DUOS'!$D$77,IF('Prop DUOS'!S$71="month",AH15*12,AH15))</f>
        <v>0</v>
      </c>
      <c r="AY15" s="743">
        <f t="shared" si="0"/>
        <v>16910.73792474925</v>
      </c>
      <c r="BA15" s="87"/>
      <c r="BB15" s="87"/>
    </row>
    <row r="16" spans="2:54" s="158" customFormat="1">
      <c r="B16" s="360" t="str">
        <f>IF('t-1 DUOS'!B16="","",'t-1 DUOS'!B16)</f>
        <v>Low voltage large 2 rate</v>
      </c>
      <c r="C16" s="220"/>
      <c r="D16" s="547">
        <v>0</v>
      </c>
      <c r="E16" s="548">
        <v>0</v>
      </c>
      <c r="F16" s="548">
        <v>0</v>
      </c>
      <c r="G16" s="548">
        <v>2.68</v>
      </c>
      <c r="H16" s="548">
        <v>0</v>
      </c>
      <c r="I16" s="548">
        <v>0</v>
      </c>
      <c r="J16" s="548">
        <v>2.68</v>
      </c>
      <c r="K16" s="548">
        <v>0</v>
      </c>
      <c r="L16" s="548">
        <v>0</v>
      </c>
      <c r="M16" s="548">
        <v>0</v>
      </c>
      <c r="N16" s="548">
        <v>0</v>
      </c>
      <c r="O16" s="548">
        <v>0</v>
      </c>
      <c r="P16" s="548">
        <v>0</v>
      </c>
      <c r="Q16" s="621">
        <v>0</v>
      </c>
      <c r="R16" s="549">
        <v>0</v>
      </c>
      <c r="T16" s="396">
        <f>'t-1 DUOS'!T16</f>
        <v>15.92766311116473</v>
      </c>
      <c r="U16" s="397">
        <f>'t-1 DUOS'!U16</f>
        <v>0</v>
      </c>
      <c r="V16" s="397">
        <f>'t-1 DUOS'!V16</f>
        <v>0</v>
      </c>
      <c r="W16" s="397">
        <f>'t-1 DUOS'!W16</f>
        <v>353584.4990283752</v>
      </c>
      <c r="X16" s="397">
        <f>'t-1 DUOS'!X16</f>
        <v>0</v>
      </c>
      <c r="Y16" s="397">
        <f>'t-1 DUOS'!Y16</f>
        <v>0</v>
      </c>
      <c r="Z16" s="397">
        <f>'t-1 DUOS'!Z16</f>
        <v>290139.17790064623</v>
      </c>
      <c r="AA16" s="397">
        <f>'t-1 DUOS'!AA16</f>
        <v>432412.9860858029</v>
      </c>
      <c r="AB16" s="397">
        <f>'t-1 DUOS'!AB16</f>
        <v>0</v>
      </c>
      <c r="AC16" s="397">
        <f>'t-1 DUOS'!AC16</f>
        <v>0</v>
      </c>
      <c r="AD16" s="397">
        <f>'t-1 DUOS'!AD16</f>
        <v>0</v>
      </c>
      <c r="AE16" s="397">
        <f>'t-1 DUOS'!AE16</f>
        <v>0</v>
      </c>
      <c r="AF16" s="397">
        <f>'t-1 DUOS'!AF16</f>
        <v>0</v>
      </c>
      <c r="AG16" s="631">
        <f>'t-1 DUOS'!AG16</f>
        <v>0</v>
      </c>
      <c r="AH16" s="398">
        <f>'t-1 DUOS'!AH16</f>
        <v>0</v>
      </c>
      <c r="AJ16" s="754">
        <f>IF('Prop DUOS'!$E$69="cents",D16/100,D16)*IF('Prop DUOS'!$E$71="day",T16*'Prop DUOS'!$D$77,T16)</f>
        <v>0</v>
      </c>
      <c r="AK16" s="755">
        <f>IF('Prop DUOS'!F$69="cents",E16/100,E16)*U16</f>
        <v>0</v>
      </c>
      <c r="AL16" s="755">
        <f>IF('Prop DUOS'!G$69="cents",F16/100,F16)*V16</f>
        <v>0</v>
      </c>
      <c r="AM16" s="755">
        <f>IF('Prop DUOS'!H$69="cents",G16/100,G16)*W16</f>
        <v>9476.0645739604552</v>
      </c>
      <c r="AN16" s="755">
        <f>IF('Prop DUOS'!I$69="cents",H16/100,H16)*X16</f>
        <v>0</v>
      </c>
      <c r="AO16" s="755">
        <f>IF('Prop DUOS'!J$69="cents",I16/100,I16)*Y16</f>
        <v>0</v>
      </c>
      <c r="AP16" s="755">
        <f>IF('Prop DUOS'!K$69="cents",J16/100,J16)*Z16</f>
        <v>7775.7299677373194</v>
      </c>
      <c r="AQ16" s="755">
        <f>IF('Prop DUOS'!L$69="cents",K16/100,K16)*AA16</f>
        <v>0</v>
      </c>
      <c r="AR16" s="755">
        <f>IF('Prop DUOS'!M$69="cents",L16/100,L16)*AB16</f>
        <v>0</v>
      </c>
      <c r="AS16" s="755">
        <f>IF('Prop DUOS'!N$69="cents",M16/100,M16)*AC16</f>
        <v>0</v>
      </c>
      <c r="AT16" s="755">
        <f>IF('Prop DUOS'!O$69="cents",N16/100,N16)*IF('Prop DUOS'!O$71="day",AD16*'Prop DUOS'!$D$77,IF('Prop DUOS'!O$71="month",AD16*12,AD16))</f>
        <v>0</v>
      </c>
      <c r="AU16" s="755">
        <f>IF('Prop DUOS'!P$69="cents",O16/100,O16)*IF('Prop DUOS'!P$71="day",AE16*'Prop DUOS'!$D$77,IF('Prop DUOS'!P$71="month",AE16*12,AE16))</f>
        <v>0</v>
      </c>
      <c r="AV16" s="755">
        <f>IF('Prop DUOS'!Q$69="cents",P16/100,P16)*IF('Prop DUOS'!Q$71="day",AF16*'Prop DUOS'!$D$77,IF('Prop DUOS'!Q$71="month",AF16*12,AF16))</f>
        <v>0</v>
      </c>
      <c r="AW16" s="755">
        <f>IF('Prop DUOS'!R$69="cents",Q16/100,Q16)*IF('Prop DUOS'!R$71="day",AG16*'Prop DUOS'!$D$77,IF('Prop DUOS'!R$71="month",AG16*12,AG16))</f>
        <v>0</v>
      </c>
      <c r="AX16" s="755">
        <f>IF('Prop DUOS'!S$69="cents",R16/100,R16)*IF('Prop DUOS'!S$71="day",AH16*'Prop DUOS'!$D$77,IF('Prop DUOS'!S$71="month",AH16*12,AH16))</f>
        <v>0</v>
      </c>
      <c r="AY16" s="743">
        <f t="shared" si="0"/>
        <v>17251.794541697775</v>
      </c>
      <c r="BA16" s="87"/>
      <c r="BB16" s="87"/>
    </row>
    <row r="17" spans="2:54" s="158" customFormat="1">
      <c r="B17" s="360" t="str">
        <f>IF('t-1 DUOS'!B17="","",'t-1 DUOS'!B17)</f>
        <v>Low voltage KW time of use</v>
      </c>
      <c r="C17" s="220"/>
      <c r="D17" s="547">
        <v>0</v>
      </c>
      <c r="E17" s="548">
        <v>0</v>
      </c>
      <c r="F17" s="548">
        <v>0</v>
      </c>
      <c r="G17" s="548">
        <v>2.0299999999999998</v>
      </c>
      <c r="H17" s="548">
        <v>0</v>
      </c>
      <c r="I17" s="548">
        <v>0</v>
      </c>
      <c r="J17" s="548">
        <v>2.0299999999999998</v>
      </c>
      <c r="K17" s="548">
        <v>0</v>
      </c>
      <c r="L17" s="548">
        <v>0</v>
      </c>
      <c r="M17" s="548">
        <v>0</v>
      </c>
      <c r="N17" s="548">
        <v>0</v>
      </c>
      <c r="O17" s="548">
        <v>10.75</v>
      </c>
      <c r="P17" s="548"/>
      <c r="Q17" s="621"/>
      <c r="R17" s="549">
        <v>0</v>
      </c>
      <c r="T17" s="396">
        <f>'t-1 DUOS'!T17</f>
        <v>184.09132648983291</v>
      </c>
      <c r="U17" s="397">
        <f>'t-1 DUOS'!U17</f>
        <v>0</v>
      </c>
      <c r="V17" s="397">
        <f>'t-1 DUOS'!V17</f>
        <v>0</v>
      </c>
      <c r="W17" s="397">
        <f>'t-1 DUOS'!W17</f>
        <v>1467338.0455547343</v>
      </c>
      <c r="X17" s="397">
        <f>'t-1 DUOS'!X17</f>
        <v>0</v>
      </c>
      <c r="Y17" s="397">
        <f>'t-1 DUOS'!Y17</f>
        <v>0</v>
      </c>
      <c r="Z17" s="397">
        <f>'t-1 DUOS'!Z17</f>
        <v>1363210.8776693761</v>
      </c>
      <c r="AA17" s="397">
        <f>'t-1 DUOS'!AA17</f>
        <v>2579484.0260986136</v>
      </c>
      <c r="AB17" s="397">
        <f>'t-1 DUOS'!AB17</f>
        <v>0</v>
      </c>
      <c r="AC17" s="397">
        <f>'t-1 DUOS'!AC17</f>
        <v>0</v>
      </c>
      <c r="AD17" s="397">
        <f>'t-1 DUOS'!AD17</f>
        <v>0</v>
      </c>
      <c r="AE17" s="397">
        <f>'t-1 DUOS'!AE17</f>
        <v>2154.6059818268682</v>
      </c>
      <c r="AF17" s="397">
        <f>'t-1 DUOS'!AF17</f>
        <v>0</v>
      </c>
      <c r="AG17" s="631">
        <f>'t-1 DUOS'!AG17</f>
        <v>0</v>
      </c>
      <c r="AH17" s="398">
        <f>'t-1 DUOS'!AH17</f>
        <v>0</v>
      </c>
      <c r="AJ17" s="754">
        <f>IF('Prop DUOS'!$E$69="cents",D17/100,D17)*IF('Prop DUOS'!$E$71="day",T17*'Prop DUOS'!$D$77,T17)</f>
        <v>0</v>
      </c>
      <c r="AK17" s="755">
        <f>IF('Prop DUOS'!F$69="cents",E17/100,E17)*U17</f>
        <v>0</v>
      </c>
      <c r="AL17" s="755">
        <f>IF('Prop DUOS'!G$69="cents",F17/100,F17)*V17</f>
        <v>0</v>
      </c>
      <c r="AM17" s="755">
        <f>IF('Prop DUOS'!H$69="cents",G17/100,G17)*W17</f>
        <v>29786.962324761105</v>
      </c>
      <c r="AN17" s="755">
        <f>IF('Prop DUOS'!I$69="cents",H17/100,H17)*X17</f>
        <v>0</v>
      </c>
      <c r="AO17" s="755">
        <f>IF('Prop DUOS'!J$69="cents",I17/100,I17)*Y17</f>
        <v>0</v>
      </c>
      <c r="AP17" s="755">
        <f>IF('Prop DUOS'!K$69="cents",J17/100,J17)*Z17</f>
        <v>27673.180816688331</v>
      </c>
      <c r="AQ17" s="755">
        <f>IF('Prop DUOS'!L$69="cents",K17/100,K17)*AA17</f>
        <v>0</v>
      </c>
      <c r="AR17" s="755">
        <f>IF('Prop DUOS'!M$69="cents",L17/100,L17)*AB17</f>
        <v>0</v>
      </c>
      <c r="AS17" s="755">
        <f>IF('Prop DUOS'!N$69="cents",M17/100,M17)*AC17</f>
        <v>0</v>
      </c>
      <c r="AT17" s="755">
        <f>IF('Prop DUOS'!O$69="cents",N17/100,N17)*IF('Prop DUOS'!O$71="day",AD17*'Prop DUOS'!$D$77,IF('Prop DUOS'!O$71="month",AD17*12,AD17))</f>
        <v>0</v>
      </c>
      <c r="AU17" s="755">
        <f>IF('Prop DUOS'!P$69="cents",O17/100,O17)*IF('Prop DUOS'!P$71="day",AE17*'Prop DUOS'!$D$77,IF('Prop DUOS'!P$71="month",AE17*12,AE17))</f>
        <v>41923.245891396284</v>
      </c>
      <c r="AV17" s="755">
        <f>IF('Prop DUOS'!Q$69="cents",P17/100,P17)*IF('Prop DUOS'!Q$71="day",AF17*'Prop DUOS'!$D$77,IF('Prop DUOS'!Q$71="month",AF17*12,AF17))</f>
        <v>0</v>
      </c>
      <c r="AW17" s="755">
        <f>IF('Prop DUOS'!R$69="cents",Q17/100,Q17)*IF('Prop DUOS'!R$71="day",AG17*'Prop DUOS'!$D$77,IF('Prop DUOS'!R$71="month",AG17*12,AG17))</f>
        <v>0</v>
      </c>
      <c r="AX17" s="755">
        <f>IF('Prop DUOS'!S$69="cents",R17/100,R17)*IF('Prop DUOS'!S$71="day",AH17*'Prop DUOS'!$D$77,IF('Prop DUOS'!S$71="month",AH17*12,AH17))</f>
        <v>0</v>
      </c>
      <c r="AY17" s="743">
        <f t="shared" si="0"/>
        <v>99383.38903284572</v>
      </c>
      <c r="BA17" s="87"/>
      <c r="BB17" s="87"/>
    </row>
    <row r="18" spans="2:54" s="158" customFormat="1">
      <c r="B18" s="360" t="str">
        <f>IF('t-1 DUOS'!B18="","",'t-1 DUOS'!B18)</f>
        <v>Low voltage KW time of use - HOT</v>
      </c>
      <c r="C18" s="220"/>
      <c r="D18" s="547">
        <v>0</v>
      </c>
      <c r="E18" s="548">
        <v>0</v>
      </c>
      <c r="F18" s="548">
        <v>0</v>
      </c>
      <c r="G18" s="548">
        <v>1.32</v>
      </c>
      <c r="H18" s="548">
        <v>0</v>
      </c>
      <c r="I18" s="548">
        <v>0</v>
      </c>
      <c r="J18" s="548">
        <v>1.32</v>
      </c>
      <c r="K18" s="548">
        <v>0</v>
      </c>
      <c r="L18" s="548">
        <v>0</v>
      </c>
      <c r="M18" s="548">
        <v>0</v>
      </c>
      <c r="N18" s="548">
        <v>0</v>
      </c>
      <c r="O18" s="548">
        <v>12.16</v>
      </c>
      <c r="P18" s="548"/>
      <c r="Q18" s="621"/>
      <c r="R18" s="549">
        <v>0</v>
      </c>
      <c r="T18" s="396">
        <f>'t-1 DUOS'!T18</f>
        <v>15.007445094279857</v>
      </c>
      <c r="U18" s="397">
        <f>'t-1 DUOS'!U18</f>
        <v>0</v>
      </c>
      <c r="V18" s="397">
        <f>'t-1 DUOS'!V18</f>
        <v>0</v>
      </c>
      <c r="W18" s="397">
        <f>'t-1 DUOS'!W18</f>
        <v>19702.965516851335</v>
      </c>
      <c r="X18" s="397">
        <f>'t-1 DUOS'!X18</f>
        <v>0</v>
      </c>
      <c r="Y18" s="397">
        <f>'t-1 DUOS'!Y18</f>
        <v>0</v>
      </c>
      <c r="Z18" s="397">
        <f>'t-1 DUOS'!Z18</f>
        <v>29910.390410208027</v>
      </c>
      <c r="AA18" s="397">
        <f>'t-1 DUOS'!AA18</f>
        <v>52406.070065336957</v>
      </c>
      <c r="AB18" s="397">
        <f>'t-1 DUOS'!AB18</f>
        <v>0</v>
      </c>
      <c r="AC18" s="397">
        <f>'t-1 DUOS'!AC18</f>
        <v>0</v>
      </c>
      <c r="AD18" s="397">
        <f>'t-1 DUOS'!AD18</f>
        <v>0</v>
      </c>
      <c r="AE18" s="397">
        <f>'t-1 DUOS'!AE18</f>
        <v>41.813557402395517</v>
      </c>
      <c r="AF18" s="397">
        <f>'t-1 DUOS'!AF18</f>
        <v>0</v>
      </c>
      <c r="AG18" s="631">
        <f>'t-1 DUOS'!AG18</f>
        <v>0</v>
      </c>
      <c r="AH18" s="398">
        <f>'t-1 DUOS'!AH18</f>
        <v>0</v>
      </c>
      <c r="AJ18" s="754">
        <f>IF('Prop DUOS'!$E$69="cents",D18/100,D18)*IF('Prop DUOS'!$E$71="day",T18*'Prop DUOS'!$D$77,T18)</f>
        <v>0</v>
      </c>
      <c r="AK18" s="755">
        <f>IF('Prop DUOS'!F$69="cents",E18/100,E18)*U18</f>
        <v>0</v>
      </c>
      <c r="AL18" s="755">
        <f>IF('Prop DUOS'!G$69="cents",F18/100,F18)*V18</f>
        <v>0</v>
      </c>
      <c r="AM18" s="755">
        <f>IF('Prop DUOS'!H$69="cents",G18/100,G18)*W18</f>
        <v>260.07914482243763</v>
      </c>
      <c r="AN18" s="755">
        <f>IF('Prop DUOS'!I$69="cents",H18/100,H18)*X18</f>
        <v>0</v>
      </c>
      <c r="AO18" s="755">
        <f>IF('Prop DUOS'!J$69="cents",I18/100,I18)*Y18</f>
        <v>0</v>
      </c>
      <c r="AP18" s="755">
        <f>IF('Prop DUOS'!K$69="cents",J18/100,J18)*Z18</f>
        <v>394.81715341474597</v>
      </c>
      <c r="AQ18" s="755">
        <f>IF('Prop DUOS'!L$69="cents",K18/100,K18)*AA18</f>
        <v>0</v>
      </c>
      <c r="AR18" s="755">
        <f>IF('Prop DUOS'!M$69="cents",L18/100,L18)*AB18</f>
        <v>0</v>
      </c>
      <c r="AS18" s="755">
        <f>IF('Prop DUOS'!N$69="cents",M18/100,M18)*AC18</f>
        <v>0</v>
      </c>
      <c r="AT18" s="755">
        <f>IF('Prop DUOS'!O$69="cents",N18/100,N18)*IF('Prop DUOS'!O$71="day",AD18*'Prop DUOS'!$D$77,IF('Prop DUOS'!O$71="month",AD18*12,AD18))</f>
        <v>0</v>
      </c>
      <c r="AU18" s="755">
        <f>IF('Prop DUOS'!P$69="cents",O18/100,O18)*IF('Prop DUOS'!P$71="day",AE18*'Prop DUOS'!$D$77,IF('Prop DUOS'!P$71="month",AE18*12,AE18))</f>
        <v>920.29967300376438</v>
      </c>
      <c r="AV18" s="755">
        <f>IF('Prop DUOS'!Q$69="cents",P18/100,P18)*IF('Prop DUOS'!Q$71="day",AF18*'Prop DUOS'!$D$77,IF('Prop DUOS'!Q$71="month",AF18*12,AF18))</f>
        <v>0</v>
      </c>
      <c r="AW18" s="755">
        <f>IF('Prop DUOS'!R$69="cents",Q18/100,Q18)*IF('Prop DUOS'!R$71="day",AG18*'Prop DUOS'!$D$77,IF('Prop DUOS'!R$71="month",AG18*12,AG18))</f>
        <v>0</v>
      </c>
      <c r="AX18" s="755">
        <f>IF('Prop DUOS'!S$69="cents",R18/100,R18)*IF('Prop DUOS'!S$71="day",AH18*'Prop DUOS'!$D$77,IF('Prop DUOS'!S$71="month",AH18*12,AH18))</f>
        <v>0</v>
      </c>
      <c r="AY18" s="743">
        <f t="shared" si="0"/>
        <v>1575.195971240948</v>
      </c>
      <c r="BA18" s="87"/>
      <c r="BB18" s="87"/>
    </row>
    <row r="19" spans="2:54" s="158" customFormat="1">
      <c r="B19" s="360" t="str">
        <f>IF('t-1 DUOS'!B19="","",'t-1 DUOS'!B19)</f>
        <v>Low voltage large KVA time of use</v>
      </c>
      <c r="C19" s="220"/>
      <c r="D19" s="547">
        <v>0</v>
      </c>
      <c r="E19" s="548">
        <v>0</v>
      </c>
      <c r="F19" s="548">
        <v>0</v>
      </c>
      <c r="G19" s="548">
        <v>1.05</v>
      </c>
      <c r="H19" s="548">
        <v>0</v>
      </c>
      <c r="I19" s="548">
        <v>0</v>
      </c>
      <c r="J19" s="548">
        <v>1.05</v>
      </c>
      <c r="K19" s="548">
        <v>0</v>
      </c>
      <c r="L19" s="548">
        <v>0</v>
      </c>
      <c r="M19" s="548">
        <v>0</v>
      </c>
      <c r="N19" s="548">
        <v>4.99</v>
      </c>
      <c r="O19" s="548">
        <v>6.8</v>
      </c>
      <c r="P19" s="548">
        <v>0</v>
      </c>
      <c r="Q19" s="621">
        <v>0</v>
      </c>
      <c r="R19" s="549">
        <v>0</v>
      </c>
      <c r="T19" s="396">
        <f>'t-1 DUOS'!T19</f>
        <v>2990.4835591201668</v>
      </c>
      <c r="U19" s="397">
        <f>'t-1 DUOS'!U19</f>
        <v>0</v>
      </c>
      <c r="V19" s="397">
        <f>'t-1 DUOS'!V19</f>
        <v>0</v>
      </c>
      <c r="W19" s="397">
        <f>'t-1 DUOS'!W19</f>
        <v>264766533.82841039</v>
      </c>
      <c r="X19" s="397">
        <f>'t-1 DUOS'!X19</f>
        <v>0</v>
      </c>
      <c r="Y19" s="397">
        <f>'t-1 DUOS'!Y19</f>
        <v>0</v>
      </c>
      <c r="Z19" s="397">
        <f>'t-1 DUOS'!Z19</f>
        <v>249154719.5247803</v>
      </c>
      <c r="AA19" s="397">
        <f>'t-1 DUOS'!AA19</f>
        <v>608652762.28100646</v>
      </c>
      <c r="AB19" s="397">
        <f>'t-1 DUOS'!AB19</f>
        <v>0</v>
      </c>
      <c r="AC19" s="397">
        <f>'t-1 DUOS'!AC19</f>
        <v>0</v>
      </c>
      <c r="AD19" s="397">
        <f>'t-1 DUOS'!AD19</f>
        <v>876782.3725837149</v>
      </c>
      <c r="AE19" s="397">
        <f>'t-1 DUOS'!AE19</f>
        <v>311412.56295965891</v>
      </c>
      <c r="AF19" s="397">
        <f>'t-1 DUOS'!AF19</f>
        <v>0</v>
      </c>
      <c r="AG19" s="631">
        <f>'t-1 DUOS'!AG19</f>
        <v>0</v>
      </c>
      <c r="AH19" s="398">
        <f>'t-1 DUOS'!AH19</f>
        <v>0</v>
      </c>
      <c r="AJ19" s="754">
        <f>IF('Prop DUOS'!$E$69="cents",D19/100,D19)*IF('Prop DUOS'!$E$71="day",T19*'Prop DUOS'!$D$77,T19)</f>
        <v>0</v>
      </c>
      <c r="AK19" s="755">
        <f>IF('Prop DUOS'!F$69="cents",E19/100,E19)*U19</f>
        <v>0</v>
      </c>
      <c r="AL19" s="755">
        <f>IF('Prop DUOS'!G$69="cents",F19/100,F19)*V19</f>
        <v>0</v>
      </c>
      <c r="AM19" s="755">
        <f>IF('Prop DUOS'!H$69="cents",G19/100,G19)*W19</f>
        <v>2780048.6051983093</v>
      </c>
      <c r="AN19" s="755">
        <f>IF('Prop DUOS'!I$69="cents",H19/100,H19)*X19</f>
        <v>0</v>
      </c>
      <c r="AO19" s="755">
        <f>IF('Prop DUOS'!J$69="cents",I19/100,I19)*Y19</f>
        <v>0</v>
      </c>
      <c r="AP19" s="755">
        <f>IF('Prop DUOS'!K$69="cents",J19/100,J19)*Z19</f>
        <v>2616124.5550101935</v>
      </c>
      <c r="AQ19" s="755">
        <f>IF('Prop DUOS'!L$69="cents",K19/100,K19)*AA19</f>
        <v>0</v>
      </c>
      <c r="AR19" s="755">
        <f>IF('Prop DUOS'!M$69="cents",L19/100,L19)*AB19</f>
        <v>0</v>
      </c>
      <c r="AS19" s="755">
        <f>IF('Prop DUOS'!N$69="cents",M19/100,M19)*AC19</f>
        <v>0</v>
      </c>
      <c r="AT19" s="755">
        <f>IF('Prop DUOS'!O$69="cents",N19/100,N19)*IF('Prop DUOS'!O$71="day",AD19*'Prop DUOS'!$D$77,IF('Prop DUOS'!O$71="month",AD19*12,AD19))</f>
        <v>7919010.7109388551</v>
      </c>
      <c r="AU19" s="755">
        <f>IF('Prop DUOS'!P$69="cents",O19/100,O19)*IF('Prop DUOS'!P$71="day",AE19*'Prop DUOS'!$D$77,IF('Prop DUOS'!P$71="month",AE19*12,AE19))</f>
        <v>3832865.8249074821</v>
      </c>
      <c r="AV19" s="755">
        <f>IF('Prop DUOS'!Q$69="cents",P19/100,P19)*IF('Prop DUOS'!Q$71="day",AF19*'Prop DUOS'!$D$77,IF('Prop DUOS'!Q$71="month",AF19*12,AF19))</f>
        <v>0</v>
      </c>
      <c r="AW19" s="755">
        <f>IF('Prop DUOS'!R$69="cents",Q19/100,Q19)*IF('Prop DUOS'!R$71="day",AG19*'Prop DUOS'!$D$77,IF('Prop DUOS'!R$71="month",AG19*12,AG19))</f>
        <v>0</v>
      </c>
      <c r="AX19" s="755">
        <f>IF('Prop DUOS'!S$69="cents",R19/100,R19)*IF('Prop DUOS'!S$71="day",AH19*'Prop DUOS'!$D$77,IF('Prop DUOS'!S$71="month",AH19*12,AH19))</f>
        <v>0</v>
      </c>
      <c r="AY19" s="743">
        <f t="shared" si="0"/>
        <v>17148049.696054839</v>
      </c>
      <c r="BA19" s="87"/>
      <c r="BB19" s="87"/>
    </row>
    <row r="20" spans="2:54" s="158" customFormat="1">
      <c r="B20" s="360" t="str">
        <f>IF('t-1 DUOS'!B20="","",'t-1 DUOS'!B20)</f>
        <v>High voltage KVA time of use</v>
      </c>
      <c r="C20" s="220"/>
      <c r="D20" s="547">
        <v>0</v>
      </c>
      <c r="E20" s="548">
        <v>0</v>
      </c>
      <c r="F20" s="548">
        <v>0</v>
      </c>
      <c r="G20" s="548">
        <v>0.64</v>
      </c>
      <c r="H20" s="548">
        <v>0</v>
      </c>
      <c r="I20" s="548">
        <v>0</v>
      </c>
      <c r="J20" s="548">
        <v>0.64</v>
      </c>
      <c r="K20" s="548">
        <v>0</v>
      </c>
      <c r="L20" s="548">
        <v>0</v>
      </c>
      <c r="M20" s="548">
        <v>0</v>
      </c>
      <c r="N20" s="548">
        <v>5.68</v>
      </c>
      <c r="O20" s="548">
        <v>5.96</v>
      </c>
      <c r="P20" s="548">
        <v>0</v>
      </c>
      <c r="Q20" s="621">
        <v>0</v>
      </c>
      <c r="R20" s="549">
        <v>0</v>
      </c>
      <c r="T20" s="396">
        <f>'t-1 DUOS'!T20</f>
        <v>99.546961325966848</v>
      </c>
      <c r="U20" s="397">
        <f>'t-1 DUOS'!U20</f>
        <v>0</v>
      </c>
      <c r="V20" s="397">
        <f>'t-1 DUOS'!V20</f>
        <v>0</v>
      </c>
      <c r="W20" s="397">
        <f>'t-1 DUOS'!W20</f>
        <v>104444858.81358697</v>
      </c>
      <c r="X20" s="397">
        <f>'t-1 DUOS'!X20</f>
        <v>0</v>
      </c>
      <c r="Y20" s="397">
        <f>'t-1 DUOS'!Y20</f>
        <v>0</v>
      </c>
      <c r="Z20" s="397">
        <f>'t-1 DUOS'!Z20</f>
        <v>104799686.74907821</v>
      </c>
      <c r="AA20" s="397">
        <f>'t-1 DUOS'!AA20</f>
        <v>324542942.21344072</v>
      </c>
      <c r="AB20" s="397">
        <f>'t-1 DUOS'!AB20</f>
        <v>0</v>
      </c>
      <c r="AC20" s="397">
        <f>'t-1 DUOS'!AC20</f>
        <v>0</v>
      </c>
      <c r="AD20" s="397">
        <f>'t-1 DUOS'!AD20</f>
        <v>282904.68509821675</v>
      </c>
      <c r="AE20" s="397">
        <f>'t-1 DUOS'!AE20</f>
        <v>108559.6052980422</v>
      </c>
      <c r="AF20" s="397">
        <f>'t-1 DUOS'!AF20</f>
        <v>0</v>
      </c>
      <c r="AG20" s="631">
        <f>'t-1 DUOS'!AG20</f>
        <v>0</v>
      </c>
      <c r="AH20" s="398">
        <f>'t-1 DUOS'!AH20</f>
        <v>0</v>
      </c>
      <c r="AJ20" s="754">
        <f>IF('Prop DUOS'!$E$69="cents",D20/100,D20)*IF('Prop DUOS'!$E$71="day",T20*'Prop DUOS'!$D$77,T20)</f>
        <v>0</v>
      </c>
      <c r="AK20" s="755">
        <f>IF('Prop DUOS'!F$69="cents",E20/100,E20)*U20</f>
        <v>0</v>
      </c>
      <c r="AL20" s="755">
        <f>IF('Prop DUOS'!G$69="cents",F20/100,F20)*V20</f>
        <v>0</v>
      </c>
      <c r="AM20" s="755">
        <f>IF('Prop DUOS'!H$69="cents",G20/100,G20)*W20</f>
        <v>668447.09640695655</v>
      </c>
      <c r="AN20" s="755">
        <f>IF('Prop DUOS'!I$69="cents",H20/100,H20)*X20</f>
        <v>0</v>
      </c>
      <c r="AO20" s="755">
        <f>IF('Prop DUOS'!J$69="cents",I20/100,I20)*Y20</f>
        <v>0</v>
      </c>
      <c r="AP20" s="755">
        <f>IF('Prop DUOS'!K$69="cents",J20/100,J20)*Z20</f>
        <v>670717.99519410066</v>
      </c>
      <c r="AQ20" s="755">
        <f>IF('Prop DUOS'!L$69="cents",K20/100,K20)*AA20</f>
        <v>0</v>
      </c>
      <c r="AR20" s="755">
        <f>IF('Prop DUOS'!M$69="cents",L20/100,L20)*AB20</f>
        <v>0</v>
      </c>
      <c r="AS20" s="755">
        <f>IF('Prop DUOS'!N$69="cents",M20/100,M20)*AC20</f>
        <v>0</v>
      </c>
      <c r="AT20" s="755">
        <f>IF('Prop DUOS'!O$69="cents",N20/100,N20)*IF('Prop DUOS'!O$71="day",AD20*'Prop DUOS'!$D$77,IF('Prop DUOS'!O$71="month",AD20*12,AD20))</f>
        <v>2908486.4865577468</v>
      </c>
      <c r="AU20" s="755">
        <f>IF('Prop DUOS'!P$69="cents",O20/100,O20)*IF('Prop DUOS'!P$71="day",AE20*'Prop DUOS'!$D$77,IF('Prop DUOS'!P$71="month",AE20*12,AE20))</f>
        <v>1171097.5981131599</v>
      </c>
      <c r="AV20" s="755">
        <f>IF('Prop DUOS'!Q$69="cents",P20/100,P20)*IF('Prop DUOS'!Q$71="day",AF20*'Prop DUOS'!$D$77,IF('Prop DUOS'!Q$71="month",AF20*12,AF20))</f>
        <v>0</v>
      </c>
      <c r="AW20" s="755">
        <f>IF('Prop DUOS'!R$69="cents",Q20/100,Q20)*IF('Prop DUOS'!R$71="day",AG20*'Prop DUOS'!$D$77,IF('Prop DUOS'!R$71="month",AG20*12,AG20))</f>
        <v>0</v>
      </c>
      <c r="AX20" s="755">
        <f>IF('Prop DUOS'!S$69="cents",R20/100,R20)*IF('Prop DUOS'!S$71="day",AH20*'Prop DUOS'!$D$77,IF('Prop DUOS'!S$71="month",AH20*12,AH20))</f>
        <v>0</v>
      </c>
      <c r="AY20" s="743">
        <f t="shared" si="0"/>
        <v>5418749.1762719639</v>
      </c>
      <c r="BA20" s="87"/>
      <c r="BB20" s="87"/>
    </row>
    <row r="21" spans="2:54" s="158" customFormat="1">
      <c r="B21" s="360" t="str">
        <f>IF('t-1 DUOS'!B21="","",'t-1 DUOS'!B21)</f>
        <v>Subtransmission KVA time of use</v>
      </c>
      <c r="C21" s="220"/>
      <c r="D21" s="547">
        <v>0</v>
      </c>
      <c r="E21" s="548">
        <v>0</v>
      </c>
      <c r="F21" s="548">
        <v>0</v>
      </c>
      <c r="G21" s="548">
        <v>0.39</v>
      </c>
      <c r="H21" s="548">
        <v>0</v>
      </c>
      <c r="I21" s="548">
        <v>0</v>
      </c>
      <c r="J21" s="548">
        <v>0.39</v>
      </c>
      <c r="K21" s="548">
        <v>0</v>
      </c>
      <c r="L21" s="548">
        <v>0</v>
      </c>
      <c r="M21" s="548">
        <v>0</v>
      </c>
      <c r="N21" s="548">
        <v>4.5999999999999996</v>
      </c>
      <c r="O21" s="548">
        <v>5.59</v>
      </c>
      <c r="P21" s="548">
        <v>0</v>
      </c>
      <c r="Q21" s="621">
        <v>0</v>
      </c>
      <c r="R21" s="549">
        <v>0</v>
      </c>
      <c r="T21" s="396">
        <f>'t-1 DUOS'!T21</f>
        <v>1.0055248618784531</v>
      </c>
      <c r="U21" s="397">
        <f>'t-1 DUOS'!U21</f>
        <v>0</v>
      </c>
      <c r="V21" s="397">
        <f>'t-1 DUOS'!V21</f>
        <v>0</v>
      </c>
      <c r="W21" s="397">
        <f>'t-1 DUOS'!W21</f>
        <v>3651496.6607272844</v>
      </c>
      <c r="X21" s="397">
        <f>'t-1 DUOS'!X21</f>
        <v>0</v>
      </c>
      <c r="Y21" s="397">
        <f>'t-1 DUOS'!Y21</f>
        <v>0</v>
      </c>
      <c r="Z21" s="397">
        <f>'t-1 DUOS'!Z21</f>
        <v>3565697.1587428786</v>
      </c>
      <c r="AA21" s="397">
        <f>'t-1 DUOS'!AA21</f>
        <v>5677232.8560057655</v>
      </c>
      <c r="AB21" s="397">
        <f>'t-1 DUOS'!AB21</f>
        <v>0</v>
      </c>
      <c r="AC21" s="397">
        <f>'t-1 DUOS'!AC21</f>
        <v>0</v>
      </c>
      <c r="AD21" s="397">
        <f>'t-1 DUOS'!AD21</f>
        <v>11095.000395241932</v>
      </c>
      <c r="AE21" s="397">
        <f>'t-1 DUOS'!AE21</f>
        <v>3870.844297341459</v>
      </c>
      <c r="AF21" s="397">
        <f>'t-1 DUOS'!AF21</f>
        <v>0</v>
      </c>
      <c r="AG21" s="631">
        <f>'t-1 DUOS'!AG21</f>
        <v>0</v>
      </c>
      <c r="AH21" s="398">
        <f>'t-1 DUOS'!AH21</f>
        <v>0</v>
      </c>
      <c r="AJ21" s="754">
        <f>IF('Prop DUOS'!$E$69="cents",D21/100,D21)*IF('Prop DUOS'!$E$71="day",T21*'Prop DUOS'!$D$77,T21)</f>
        <v>0</v>
      </c>
      <c r="AK21" s="755">
        <f>IF('Prop DUOS'!F$69="cents",E21/100,E21)*U21</f>
        <v>0</v>
      </c>
      <c r="AL21" s="755">
        <f>IF('Prop DUOS'!G$69="cents",F21/100,F21)*V21</f>
        <v>0</v>
      </c>
      <c r="AM21" s="755">
        <f>IF('Prop DUOS'!H$69="cents",G21/100,G21)*W21</f>
        <v>14240.83697683641</v>
      </c>
      <c r="AN21" s="755">
        <f>IF('Prop DUOS'!I$69="cents",H21/100,H21)*X21</f>
        <v>0</v>
      </c>
      <c r="AO21" s="755">
        <f>IF('Prop DUOS'!J$69="cents",I21/100,I21)*Y21</f>
        <v>0</v>
      </c>
      <c r="AP21" s="755">
        <f>IF('Prop DUOS'!K$69="cents",J21/100,J21)*Z21</f>
        <v>13906.218919097228</v>
      </c>
      <c r="AQ21" s="755">
        <f>IF('Prop DUOS'!L$69="cents",K21/100,K21)*AA21</f>
        <v>0</v>
      </c>
      <c r="AR21" s="755">
        <f>IF('Prop DUOS'!M$69="cents",L21/100,L21)*AB21</f>
        <v>0</v>
      </c>
      <c r="AS21" s="755">
        <f>IF('Prop DUOS'!N$69="cents",M21/100,M21)*AC21</f>
        <v>0</v>
      </c>
      <c r="AT21" s="755">
        <f>IF('Prop DUOS'!O$69="cents",N21/100,N21)*IF('Prop DUOS'!O$71="day",AD21*'Prop DUOS'!$D$77,IF('Prop DUOS'!O$71="month",AD21*12,AD21))</f>
        <v>92376.973290784328</v>
      </c>
      <c r="AU21" s="755">
        <f>IF('Prop DUOS'!P$69="cents",O21/100,O21)*IF('Prop DUOS'!P$71="day",AE21*'Prop DUOS'!$D$77,IF('Prop DUOS'!P$71="month",AE21*12,AE21))</f>
        <v>39164.815516071147</v>
      </c>
      <c r="AV21" s="755">
        <f>IF('Prop DUOS'!Q$69="cents",P21/100,P21)*IF('Prop DUOS'!Q$71="day",AF21*'Prop DUOS'!$D$77,IF('Prop DUOS'!Q$71="month",AF21*12,AF21))</f>
        <v>0</v>
      </c>
      <c r="AW21" s="755">
        <f>IF('Prop DUOS'!R$69="cents",Q21/100,Q21)*IF('Prop DUOS'!R$71="day",AG21*'Prop DUOS'!$D$77,IF('Prop DUOS'!R$71="month",AG21*12,AG21))</f>
        <v>0</v>
      </c>
      <c r="AX21" s="755">
        <f>IF('Prop DUOS'!S$69="cents",R21/100,R21)*IF('Prop DUOS'!S$71="day",AH21*'Prop DUOS'!$D$77,IF('Prop DUOS'!S$71="month",AH21*12,AH21))</f>
        <v>0</v>
      </c>
      <c r="AY21" s="743">
        <f t="shared" si="0"/>
        <v>159688.84470278909</v>
      </c>
      <c r="BA21" s="87"/>
      <c r="BB21" s="87"/>
    </row>
    <row r="22" spans="2:54" s="158" customFormat="1">
      <c r="B22" s="360" t="str">
        <f>IF('t-1 DUOS'!B22="","",'t-1 DUOS'!B22)</f>
        <v>TOD</v>
      </c>
      <c r="C22" s="220"/>
      <c r="D22" s="547">
        <v>0</v>
      </c>
      <c r="E22" s="548">
        <v>0</v>
      </c>
      <c r="F22" s="548">
        <v>3.56</v>
      </c>
      <c r="G22" s="548">
        <v>4.0999999999999996</v>
      </c>
      <c r="H22" s="548">
        <v>0</v>
      </c>
      <c r="I22" s="548">
        <v>0</v>
      </c>
      <c r="J22" s="548">
        <v>4.0999999999999996</v>
      </c>
      <c r="K22" s="548">
        <v>0</v>
      </c>
      <c r="L22" s="548">
        <v>3.56</v>
      </c>
      <c r="M22" s="548">
        <v>0</v>
      </c>
      <c r="N22" s="548">
        <v>0</v>
      </c>
      <c r="O22" s="548">
        <v>0</v>
      </c>
      <c r="P22" s="548">
        <v>0</v>
      </c>
      <c r="Q22" s="621">
        <v>0</v>
      </c>
      <c r="R22" s="549">
        <v>0</v>
      </c>
      <c r="T22" s="396">
        <f>'t-1 DUOS'!T22</f>
        <v>43126.366144657382</v>
      </c>
      <c r="U22" s="397">
        <f>'t-1 DUOS'!U22</f>
        <v>0</v>
      </c>
      <c r="V22" s="397">
        <f>'t-1 DUOS'!V22</f>
        <v>7925776.4394278461</v>
      </c>
      <c r="W22" s="397">
        <f>'t-1 DUOS'!W22</f>
        <v>13849969.816743661</v>
      </c>
      <c r="X22" s="397">
        <f>'t-1 DUOS'!X22</f>
        <v>0</v>
      </c>
      <c r="Y22" s="397">
        <f>'t-1 DUOS'!Y22</f>
        <v>0</v>
      </c>
      <c r="Z22" s="397">
        <f>'t-1 DUOS'!Z22</f>
        <v>17976843.687074248</v>
      </c>
      <c r="AA22" s="397">
        <f>'t-1 DUOS'!AA22</f>
        <v>53726166.128976628</v>
      </c>
      <c r="AB22" s="397">
        <f>'t-1 DUOS'!AB22</f>
        <v>10287419.108887965</v>
      </c>
      <c r="AC22" s="397">
        <f>'t-1 DUOS'!AC22</f>
        <v>0</v>
      </c>
      <c r="AD22" s="397">
        <f>'t-1 DUOS'!AD22</f>
        <v>0</v>
      </c>
      <c r="AE22" s="397">
        <f>'t-1 DUOS'!AE22</f>
        <v>0</v>
      </c>
      <c r="AF22" s="397">
        <f>'t-1 DUOS'!AF22</f>
        <v>0</v>
      </c>
      <c r="AG22" s="631">
        <f>'t-1 DUOS'!AG22</f>
        <v>0</v>
      </c>
      <c r="AH22" s="398">
        <f>'t-1 DUOS'!AH22</f>
        <v>0</v>
      </c>
      <c r="AJ22" s="754">
        <f>IF('Prop DUOS'!$E$69="cents",D22/100,D22)*IF('Prop DUOS'!$E$71="day",T22*'Prop DUOS'!$D$77,T22)</f>
        <v>0</v>
      </c>
      <c r="AK22" s="755">
        <f>IF('Prop DUOS'!F$69="cents",E22/100,E22)*U22</f>
        <v>0</v>
      </c>
      <c r="AL22" s="755">
        <f>IF('Prop DUOS'!G$69="cents",F22/100,F22)*V22</f>
        <v>282157.64124363131</v>
      </c>
      <c r="AM22" s="755">
        <f>IF('Prop DUOS'!H$69="cents",G22/100,G22)*W22</f>
        <v>567848.76248649007</v>
      </c>
      <c r="AN22" s="755">
        <f>IF('Prop DUOS'!I$69="cents",H22/100,H22)*X22</f>
        <v>0</v>
      </c>
      <c r="AO22" s="755">
        <f>IF('Prop DUOS'!J$69="cents",I22/100,I22)*Y22</f>
        <v>0</v>
      </c>
      <c r="AP22" s="755">
        <f>IF('Prop DUOS'!K$69="cents",J22/100,J22)*Z22</f>
        <v>737050.59117004403</v>
      </c>
      <c r="AQ22" s="755">
        <f>IF('Prop DUOS'!L$69="cents",K22/100,K22)*AA22</f>
        <v>0</v>
      </c>
      <c r="AR22" s="755">
        <f>IF('Prop DUOS'!M$69="cents",L22/100,L22)*AB22</f>
        <v>366232.12027641153</v>
      </c>
      <c r="AS22" s="755">
        <f>IF('Prop DUOS'!N$69="cents",M22/100,M22)*AC22</f>
        <v>0</v>
      </c>
      <c r="AT22" s="755">
        <f>IF('Prop DUOS'!O$69="cents",N22/100,N22)*IF('Prop DUOS'!O$71="day",AD22*'Prop DUOS'!$D$77,IF('Prop DUOS'!O$71="month",AD22*12,AD22))</f>
        <v>0</v>
      </c>
      <c r="AU22" s="755">
        <f>IF('Prop DUOS'!P$69="cents",O22/100,O22)*IF('Prop DUOS'!P$71="day",AE22*'Prop DUOS'!$D$77,IF('Prop DUOS'!P$71="month",AE22*12,AE22))</f>
        <v>0</v>
      </c>
      <c r="AV22" s="755">
        <f>IF('Prop DUOS'!Q$69="cents",P22/100,P22)*IF('Prop DUOS'!Q$71="day",AF22*'Prop DUOS'!$D$77,IF('Prop DUOS'!Q$71="month",AF22*12,AF22))</f>
        <v>0</v>
      </c>
      <c r="AW22" s="755">
        <f>IF('Prop DUOS'!R$69="cents",Q22/100,Q22)*IF('Prop DUOS'!R$71="day",AG22*'Prop DUOS'!$D$77,IF('Prop DUOS'!R$71="month",AG22*12,AG22))</f>
        <v>0</v>
      </c>
      <c r="AX22" s="755">
        <f>IF('Prop DUOS'!S$69="cents",R22/100,R22)*IF('Prop DUOS'!S$71="day",AH22*'Prop DUOS'!$D$77,IF('Prop DUOS'!S$71="month",AH22*12,AH22))</f>
        <v>0</v>
      </c>
      <c r="AY22" s="743">
        <f t="shared" si="0"/>
        <v>1953289.1151765771</v>
      </c>
      <c r="BA22" s="87"/>
      <c r="BB22" s="87"/>
    </row>
    <row r="23" spans="2:54" s="158" customFormat="1">
      <c r="B23" s="360" t="str">
        <f>IF('t-1 DUOS'!B23="","",'t-1 DUOS'!B23)</f>
        <v>TOD9</v>
      </c>
      <c r="C23" s="220"/>
      <c r="D23" s="547">
        <v>0</v>
      </c>
      <c r="E23" s="548">
        <v>0</v>
      </c>
      <c r="F23" s="548">
        <v>5.0199999999999996</v>
      </c>
      <c r="G23" s="548">
        <v>5.32</v>
      </c>
      <c r="H23" s="548">
        <v>0</v>
      </c>
      <c r="I23" s="548">
        <v>0</v>
      </c>
      <c r="J23" s="548">
        <v>5.32</v>
      </c>
      <c r="K23" s="548">
        <v>0</v>
      </c>
      <c r="L23" s="548">
        <v>5.0199999999999996</v>
      </c>
      <c r="M23" s="548">
        <v>0</v>
      </c>
      <c r="N23" s="548">
        <v>0</v>
      </c>
      <c r="O23" s="548">
        <v>0</v>
      </c>
      <c r="P23" s="548">
        <v>0</v>
      </c>
      <c r="Q23" s="621">
        <v>0</v>
      </c>
      <c r="R23" s="549">
        <v>0</v>
      </c>
      <c r="T23" s="396">
        <f>'t-1 DUOS'!T23</f>
        <v>3576.347590822535</v>
      </c>
      <c r="U23" s="397">
        <f>'t-1 DUOS'!U23</f>
        <v>0</v>
      </c>
      <c r="V23" s="397">
        <f>'t-1 DUOS'!V23</f>
        <v>491043.64741557912</v>
      </c>
      <c r="W23" s="397">
        <f>'t-1 DUOS'!W23</f>
        <v>728361.14647642965</v>
      </c>
      <c r="X23" s="397">
        <f>'t-1 DUOS'!X23</f>
        <v>0</v>
      </c>
      <c r="Y23" s="397">
        <f>'t-1 DUOS'!Y23</f>
        <v>0</v>
      </c>
      <c r="Z23" s="397">
        <f>'t-1 DUOS'!Z23</f>
        <v>1122233.5696906063</v>
      </c>
      <c r="AA23" s="397">
        <f>'t-1 DUOS'!AA23</f>
        <v>5007878.7734459853</v>
      </c>
      <c r="AB23" s="397">
        <f>'t-1 DUOS'!AB23</f>
        <v>756583.00553091592</v>
      </c>
      <c r="AC23" s="397">
        <f>'t-1 DUOS'!AC23</f>
        <v>0</v>
      </c>
      <c r="AD23" s="397">
        <f>'t-1 DUOS'!AD23</f>
        <v>0</v>
      </c>
      <c r="AE23" s="397">
        <f>'t-1 DUOS'!AE23</f>
        <v>0</v>
      </c>
      <c r="AF23" s="397">
        <f>'t-1 DUOS'!AF23</f>
        <v>0</v>
      </c>
      <c r="AG23" s="631">
        <f>'t-1 DUOS'!AG23</f>
        <v>0</v>
      </c>
      <c r="AH23" s="398">
        <f>'t-1 DUOS'!AH23</f>
        <v>0</v>
      </c>
      <c r="AJ23" s="754">
        <f>IF('Prop DUOS'!$E$69="cents",D23/100,D23)*IF('Prop DUOS'!$E$71="day",T23*'Prop DUOS'!$D$77,T23)</f>
        <v>0</v>
      </c>
      <c r="AK23" s="755">
        <f>IF('Prop DUOS'!F$69="cents",E23/100,E23)*U23</f>
        <v>0</v>
      </c>
      <c r="AL23" s="755">
        <f>IF('Prop DUOS'!G$69="cents",F23/100,F23)*V23</f>
        <v>24650.39110026207</v>
      </c>
      <c r="AM23" s="755">
        <f>IF('Prop DUOS'!H$69="cents",G23/100,G23)*W23</f>
        <v>38748.81299254606</v>
      </c>
      <c r="AN23" s="755">
        <f>IF('Prop DUOS'!I$69="cents",H23/100,H23)*X23</f>
        <v>0</v>
      </c>
      <c r="AO23" s="755">
        <f>IF('Prop DUOS'!J$69="cents",I23/100,I23)*Y23</f>
        <v>0</v>
      </c>
      <c r="AP23" s="755">
        <f>IF('Prop DUOS'!K$69="cents",J23/100,J23)*Z23</f>
        <v>59702.82590754026</v>
      </c>
      <c r="AQ23" s="755">
        <f>IF('Prop DUOS'!L$69="cents",K23/100,K23)*AA23</f>
        <v>0</v>
      </c>
      <c r="AR23" s="755">
        <f>IF('Prop DUOS'!M$69="cents",L23/100,L23)*AB23</f>
        <v>37980.466877651976</v>
      </c>
      <c r="AS23" s="755">
        <f>IF('Prop DUOS'!N$69="cents",M23/100,M23)*AC23</f>
        <v>0</v>
      </c>
      <c r="AT23" s="755">
        <f>IF('Prop DUOS'!O$69="cents",N23/100,N23)*IF('Prop DUOS'!O$71="day",AD23*'Prop DUOS'!$D$77,IF('Prop DUOS'!O$71="month",AD23*12,AD23))</f>
        <v>0</v>
      </c>
      <c r="AU23" s="755">
        <f>IF('Prop DUOS'!P$69="cents",O23/100,O23)*IF('Prop DUOS'!P$71="day",AE23*'Prop DUOS'!$D$77,IF('Prop DUOS'!P$71="month",AE23*12,AE23))</f>
        <v>0</v>
      </c>
      <c r="AV23" s="755">
        <f>IF('Prop DUOS'!Q$69="cents",P23/100,P23)*IF('Prop DUOS'!Q$71="day",AF23*'Prop DUOS'!$D$77,IF('Prop DUOS'!Q$71="month",AF23*12,AF23))</f>
        <v>0</v>
      </c>
      <c r="AW23" s="755">
        <f>IF('Prop DUOS'!R$69="cents",Q23/100,Q23)*IF('Prop DUOS'!R$71="day",AG23*'Prop DUOS'!$D$77,IF('Prop DUOS'!R$71="month",AG23*12,AG23))</f>
        <v>0</v>
      </c>
      <c r="AX23" s="755">
        <f>IF('Prop DUOS'!S$69="cents",R23/100,R23)*IF('Prop DUOS'!S$71="day",AH23*'Prop DUOS'!$D$77,IF('Prop DUOS'!S$71="month",AH23*12,AH23))</f>
        <v>0</v>
      </c>
      <c r="AY23" s="743">
        <f t="shared" si="0"/>
        <v>161082.49687800035</v>
      </c>
      <c r="BA23" s="87"/>
      <c r="BB23" s="87"/>
    </row>
    <row r="24" spans="2:54" s="158" customFormat="1">
      <c r="B24" s="360" t="str">
        <f>IF('t-1 DUOS'!B24="","",'t-1 DUOS'!B24)</f>
        <v>TOU</v>
      </c>
      <c r="C24" s="220"/>
      <c r="D24" s="547">
        <v>0</v>
      </c>
      <c r="E24" s="548">
        <v>0</v>
      </c>
      <c r="F24" s="548">
        <v>0</v>
      </c>
      <c r="G24" s="548">
        <v>1.79</v>
      </c>
      <c r="H24" s="548">
        <v>0</v>
      </c>
      <c r="I24" s="548">
        <v>0</v>
      </c>
      <c r="J24" s="548">
        <v>1.79</v>
      </c>
      <c r="K24" s="548">
        <v>0</v>
      </c>
      <c r="L24" s="548">
        <v>0</v>
      </c>
      <c r="M24" s="548">
        <v>0</v>
      </c>
      <c r="N24" s="548">
        <v>0</v>
      </c>
      <c r="O24" s="548">
        <v>7.04</v>
      </c>
      <c r="P24" s="548"/>
      <c r="Q24" s="621">
        <v>0</v>
      </c>
      <c r="R24" s="549">
        <v>0</v>
      </c>
      <c r="T24" s="396">
        <f>'t-1 DUOS'!T24</f>
        <v>806.40004973263763</v>
      </c>
      <c r="U24" s="397">
        <f>'t-1 DUOS'!U24</f>
        <v>0</v>
      </c>
      <c r="V24" s="397">
        <f>'t-1 DUOS'!V24</f>
        <v>0</v>
      </c>
      <c r="W24" s="397">
        <f>'t-1 DUOS'!W24</f>
        <v>2976666.4033114938</v>
      </c>
      <c r="X24" s="397">
        <f>'t-1 DUOS'!X24</f>
        <v>0</v>
      </c>
      <c r="Y24" s="397">
        <f>'t-1 DUOS'!Y24</f>
        <v>0</v>
      </c>
      <c r="Z24" s="397">
        <f>'t-1 DUOS'!Z24</f>
        <v>3471702.148983431</v>
      </c>
      <c r="AA24" s="397">
        <f>'t-1 DUOS'!AA24</f>
        <v>5305775.5548778065</v>
      </c>
      <c r="AB24" s="397">
        <f>'t-1 DUOS'!AB24</f>
        <v>0</v>
      </c>
      <c r="AC24" s="397">
        <f>'t-1 DUOS'!AC24</f>
        <v>0</v>
      </c>
      <c r="AD24" s="397">
        <f>'t-1 DUOS'!AD24</f>
        <v>0</v>
      </c>
      <c r="AE24" s="397">
        <f>'t-1 DUOS'!AE24</f>
        <v>4009.7071902581765</v>
      </c>
      <c r="AF24" s="397">
        <f>'t-1 DUOS'!AF24</f>
        <v>0</v>
      </c>
      <c r="AG24" s="631">
        <f>'t-1 DUOS'!AG24</f>
        <v>0</v>
      </c>
      <c r="AH24" s="398">
        <f>'t-1 DUOS'!AH24</f>
        <v>0</v>
      </c>
      <c r="AJ24" s="754">
        <f>IF('Prop DUOS'!$E$69="cents",D24/100,D24)*IF('Prop DUOS'!$E$71="day",T24*'Prop DUOS'!$D$77,T24)</f>
        <v>0</v>
      </c>
      <c r="AK24" s="755">
        <f>IF('Prop DUOS'!F$69="cents",E24/100,E24)*U24</f>
        <v>0</v>
      </c>
      <c r="AL24" s="755">
        <f>IF('Prop DUOS'!G$69="cents",F24/100,F24)*V24</f>
        <v>0</v>
      </c>
      <c r="AM24" s="755">
        <f>IF('Prop DUOS'!H$69="cents",G24/100,G24)*W24</f>
        <v>53282.328619275737</v>
      </c>
      <c r="AN24" s="755">
        <f>IF('Prop DUOS'!I$69="cents",H24/100,H24)*X24</f>
        <v>0</v>
      </c>
      <c r="AO24" s="755">
        <f>IF('Prop DUOS'!J$69="cents",I24/100,I24)*Y24</f>
        <v>0</v>
      </c>
      <c r="AP24" s="755">
        <f>IF('Prop DUOS'!K$69="cents",J24/100,J24)*Z24</f>
        <v>62143.46846680341</v>
      </c>
      <c r="AQ24" s="755">
        <f>IF('Prop DUOS'!L$69="cents",K24/100,K24)*AA24</f>
        <v>0</v>
      </c>
      <c r="AR24" s="755">
        <f>IF('Prop DUOS'!M$69="cents",L24/100,L24)*AB24</f>
        <v>0</v>
      </c>
      <c r="AS24" s="755">
        <f>IF('Prop DUOS'!N$69="cents",M24/100,M24)*AC24</f>
        <v>0</v>
      </c>
      <c r="AT24" s="755">
        <f>IF('Prop DUOS'!O$69="cents",N24/100,N24)*IF('Prop DUOS'!O$71="day",AD24*'Prop DUOS'!$D$77,IF('Prop DUOS'!O$71="month",AD24*12,AD24))</f>
        <v>0</v>
      </c>
      <c r="AU24" s="755">
        <f>IF('Prop DUOS'!P$69="cents",O24/100,O24)*IF('Prop DUOS'!P$71="day",AE24*'Prop DUOS'!$D$77,IF('Prop DUOS'!P$71="month",AE24*12,AE24))</f>
        <v>51093.292901145789</v>
      </c>
      <c r="AV24" s="755">
        <f>IF('Prop DUOS'!Q$69="cents",P24/100,P24)*IF('Prop DUOS'!Q$71="day",AF24*'Prop DUOS'!$D$77,IF('Prop DUOS'!Q$71="month",AF24*12,AF24))</f>
        <v>0</v>
      </c>
      <c r="AW24" s="755">
        <f>IF('Prop DUOS'!R$69="cents",Q24/100,Q24)*IF('Prop DUOS'!R$71="day",AG24*'Prop DUOS'!$D$77,IF('Prop DUOS'!R$71="month",AG24*12,AG24))</f>
        <v>0</v>
      </c>
      <c r="AX24" s="755">
        <f>IF('Prop DUOS'!S$69="cents",R24/100,R24)*IF('Prop DUOS'!S$71="day",AH24*'Prop DUOS'!$D$77,IF('Prop DUOS'!S$71="month",AH24*12,AH24))</f>
        <v>0</v>
      </c>
      <c r="AY24" s="743">
        <f t="shared" si="0"/>
        <v>166519.08998722493</v>
      </c>
      <c r="BA24" s="87"/>
      <c r="BB24" s="87"/>
    </row>
    <row r="25" spans="2:54" s="158" customFormat="1">
      <c r="B25" s="360" t="str">
        <f>IF('t-1 DUOS'!B25="","",'t-1 DUOS'!B25)</f>
        <v>TODFLEX</v>
      </c>
      <c r="C25" s="220"/>
      <c r="D25" s="547">
        <v>0</v>
      </c>
      <c r="E25" s="548">
        <v>0</v>
      </c>
      <c r="F25" s="548">
        <v>2.1</v>
      </c>
      <c r="G25" s="548">
        <v>4.34</v>
      </c>
      <c r="H25" s="548">
        <v>0</v>
      </c>
      <c r="I25" s="548">
        <v>0</v>
      </c>
      <c r="J25" s="548">
        <v>4.34</v>
      </c>
      <c r="K25" s="548">
        <v>0</v>
      </c>
      <c r="L25" s="548">
        <v>2.1</v>
      </c>
      <c r="M25" s="548">
        <v>0</v>
      </c>
      <c r="N25" s="548">
        <v>0</v>
      </c>
      <c r="O25" s="548">
        <v>0</v>
      </c>
      <c r="P25" s="548">
        <v>0</v>
      </c>
      <c r="Q25" s="621">
        <v>0</v>
      </c>
      <c r="R25" s="549">
        <v>0</v>
      </c>
      <c r="T25" s="396">
        <f>'t-1 DUOS'!T25</f>
        <v>1904.8926840069166</v>
      </c>
      <c r="U25" s="397">
        <f>'t-1 DUOS'!U25</f>
        <v>0</v>
      </c>
      <c r="V25" s="397">
        <f>'t-1 DUOS'!V25</f>
        <v>962788.32966170495</v>
      </c>
      <c r="W25" s="397">
        <f>'t-1 DUOS'!W25</f>
        <v>469939.90352925833</v>
      </c>
      <c r="X25" s="397">
        <f>'t-1 DUOS'!X25</f>
        <v>0</v>
      </c>
      <c r="Y25" s="397">
        <f>'t-1 DUOS'!Y25</f>
        <v>0</v>
      </c>
      <c r="Z25" s="397">
        <f>'t-1 DUOS'!Z25</f>
        <v>559294.1435940722</v>
      </c>
      <c r="AA25" s="397">
        <f>'t-1 DUOS'!AA25</f>
        <v>1649300.9690260014</v>
      </c>
      <c r="AB25" s="397">
        <f>'t-1 DUOS'!AB25</f>
        <v>1145852.6297862784</v>
      </c>
      <c r="AC25" s="397">
        <f>'t-1 DUOS'!AC25</f>
        <v>0</v>
      </c>
      <c r="AD25" s="397">
        <f>'t-1 DUOS'!AD25</f>
        <v>0</v>
      </c>
      <c r="AE25" s="397">
        <f>'t-1 DUOS'!AE25</f>
        <v>0</v>
      </c>
      <c r="AF25" s="397">
        <f>'t-1 DUOS'!AF25</f>
        <v>0</v>
      </c>
      <c r="AG25" s="631">
        <f>'t-1 DUOS'!AG25</f>
        <v>0</v>
      </c>
      <c r="AH25" s="398">
        <f>'t-1 DUOS'!AH25</f>
        <v>0</v>
      </c>
      <c r="AJ25" s="754">
        <f>IF('Prop DUOS'!$E$69="cents",D25/100,D25)*IF('Prop DUOS'!$E$71="day",T25*'Prop DUOS'!$D$77,T25)</f>
        <v>0</v>
      </c>
      <c r="AK25" s="755">
        <f>IF('Prop DUOS'!F$69="cents",E25/100,E25)*U25</f>
        <v>0</v>
      </c>
      <c r="AL25" s="755">
        <f>IF('Prop DUOS'!G$69="cents",F25/100,F25)*V25</f>
        <v>20218.554922895804</v>
      </c>
      <c r="AM25" s="755">
        <f>IF('Prop DUOS'!H$69="cents",G25/100,G25)*W25</f>
        <v>20395.391813169812</v>
      </c>
      <c r="AN25" s="755">
        <f>IF('Prop DUOS'!I$69="cents",H25/100,H25)*X25</f>
        <v>0</v>
      </c>
      <c r="AO25" s="755">
        <f>IF('Prop DUOS'!J$69="cents",I25/100,I25)*Y25</f>
        <v>0</v>
      </c>
      <c r="AP25" s="755">
        <f>IF('Prop DUOS'!K$69="cents",J25/100,J25)*Z25</f>
        <v>24273.365831982734</v>
      </c>
      <c r="AQ25" s="755">
        <f>IF('Prop DUOS'!L$69="cents",K25/100,K25)*AA25</f>
        <v>0</v>
      </c>
      <c r="AR25" s="755">
        <f>IF('Prop DUOS'!M$69="cents",L25/100,L25)*AB25</f>
        <v>24062.905225511848</v>
      </c>
      <c r="AS25" s="755">
        <f>IF('Prop DUOS'!N$69="cents",M25/100,M25)*AC25</f>
        <v>0</v>
      </c>
      <c r="AT25" s="755">
        <f>IF('Prop DUOS'!O$69="cents",N25/100,N25)*IF('Prop DUOS'!O$71="day",AD25*'Prop DUOS'!$D$77,IF('Prop DUOS'!O$71="month",AD25*12,AD25))</f>
        <v>0</v>
      </c>
      <c r="AU25" s="755">
        <f>IF('Prop DUOS'!P$69="cents",O25/100,O25)*IF('Prop DUOS'!P$71="day",AE25*'Prop DUOS'!$D$77,IF('Prop DUOS'!P$71="month",AE25*12,AE25))</f>
        <v>0</v>
      </c>
      <c r="AV25" s="755">
        <f>IF('Prop DUOS'!Q$69="cents",P25/100,P25)*IF('Prop DUOS'!Q$71="day",AF25*'Prop DUOS'!$D$77,IF('Prop DUOS'!Q$71="month",AF25*12,AF25))</f>
        <v>0</v>
      </c>
      <c r="AW25" s="755">
        <f>IF('Prop DUOS'!R$69="cents",Q25/100,Q25)*IF('Prop DUOS'!R$71="day",AG25*'Prop DUOS'!$D$77,IF('Prop DUOS'!R$71="month",AG25*12,AG25))</f>
        <v>0</v>
      </c>
      <c r="AX25" s="755">
        <f>IF('Prop DUOS'!S$69="cents",R25/100,R25)*IF('Prop DUOS'!S$71="day",AH25*'Prop DUOS'!$D$77,IF('Prop DUOS'!S$71="month",AH25*12,AH25))</f>
        <v>0</v>
      </c>
      <c r="AY25" s="743">
        <f t="shared" si="0"/>
        <v>88950.217793560194</v>
      </c>
      <c r="BA25" s="87"/>
      <c r="BB25" s="87"/>
    </row>
    <row r="26" spans="2:54" s="158" customFormat="1">
      <c r="B26" s="360" t="str">
        <f>IF('t-1 DUOS'!B26="","",'t-1 DUOS'!B26)</f>
        <v>Low Voltage KW 1 rate</v>
      </c>
      <c r="C26" s="220"/>
      <c r="D26" s="547">
        <v>0</v>
      </c>
      <c r="E26" s="548">
        <v>0.48</v>
      </c>
      <c r="F26" s="548">
        <v>0</v>
      </c>
      <c r="G26" s="548">
        <v>0.48</v>
      </c>
      <c r="H26" s="548">
        <v>0</v>
      </c>
      <c r="I26" s="548">
        <v>0</v>
      </c>
      <c r="J26" s="548">
        <v>0.48</v>
      </c>
      <c r="K26" s="548">
        <v>0</v>
      </c>
      <c r="L26" s="548">
        <v>0</v>
      </c>
      <c r="M26" s="548">
        <v>0</v>
      </c>
      <c r="N26" s="548">
        <v>0</v>
      </c>
      <c r="O26" s="548">
        <v>0</v>
      </c>
      <c r="P26" s="548">
        <v>3.59</v>
      </c>
      <c r="Q26" s="621">
        <v>2.33</v>
      </c>
      <c r="R26" s="549">
        <v>0</v>
      </c>
      <c r="T26" s="396">
        <f>'t-1 DUOS'!T26</f>
        <v>1283.402497978135</v>
      </c>
      <c r="U26" s="397">
        <f>'t-1 DUOS'!U26</f>
        <v>0</v>
      </c>
      <c r="V26" s="397">
        <f>'t-1 DUOS'!V26</f>
        <v>0</v>
      </c>
      <c r="W26" s="397">
        <f>'t-1 DUOS'!W26</f>
        <v>1074328.9221458738</v>
      </c>
      <c r="X26" s="397">
        <f>'t-1 DUOS'!X26</f>
        <v>0</v>
      </c>
      <c r="Y26" s="397">
        <f>'t-1 DUOS'!Y26</f>
        <v>0</v>
      </c>
      <c r="Z26" s="397">
        <f>'t-1 DUOS'!Z26</f>
        <v>1330078.9206657561</v>
      </c>
      <c r="AA26" s="397">
        <f>'t-1 DUOS'!AA26</f>
        <v>0</v>
      </c>
      <c r="AB26" s="397">
        <f>'t-1 DUOS'!AB26</f>
        <v>0</v>
      </c>
      <c r="AC26" s="397">
        <f>'t-1 DUOS'!AC26</f>
        <v>0</v>
      </c>
      <c r="AD26" s="397">
        <f>'t-1 DUOS'!AD26</f>
        <v>0</v>
      </c>
      <c r="AE26" s="397">
        <f>'t-1 DUOS'!AE26</f>
        <v>0</v>
      </c>
      <c r="AF26" s="397">
        <f>'t-1 DUOS'!AF26</f>
        <v>1013.2647274553807</v>
      </c>
      <c r="AG26" s="631">
        <f>'t-1 DUOS'!AG26</f>
        <v>925.07534651576327</v>
      </c>
      <c r="AH26" s="398">
        <f>'t-1 DUOS'!AH26</f>
        <v>0</v>
      </c>
      <c r="AJ26" s="754">
        <f>IF('Prop DUOS'!$E$69="cents",D26/100,D26)*IF('Prop DUOS'!$E$71="day",T26*'Prop DUOS'!$D$77,T26)</f>
        <v>0</v>
      </c>
      <c r="AK26" s="755">
        <f>IF('Prop DUOS'!F$69="cents",E26/100,E26)*U26</f>
        <v>0</v>
      </c>
      <c r="AL26" s="755">
        <f>IF('Prop DUOS'!G$69="cents",F26/100,F26)*V26</f>
        <v>0</v>
      </c>
      <c r="AM26" s="755">
        <f>IF('Prop DUOS'!H$69="cents",G26/100,G26)*W26</f>
        <v>5156.7788263001939</v>
      </c>
      <c r="AN26" s="755">
        <f>IF('Prop DUOS'!I$69="cents",H26/100,H26)*X26</f>
        <v>0</v>
      </c>
      <c r="AO26" s="755">
        <f>IF('Prop DUOS'!J$69="cents",I26/100,I26)*Y26</f>
        <v>0</v>
      </c>
      <c r="AP26" s="755">
        <f>IF('Prop DUOS'!K$69="cents",J26/100,J26)*Z26</f>
        <v>6384.3788191956291</v>
      </c>
      <c r="AQ26" s="755">
        <f>IF('Prop DUOS'!L$69="cents",K26/100,K26)*AA26</f>
        <v>0</v>
      </c>
      <c r="AR26" s="755">
        <f>IF('Prop DUOS'!M$69="cents",L26/100,L26)*AB26</f>
        <v>0</v>
      </c>
      <c r="AS26" s="755">
        <f>IF('Prop DUOS'!N$69="cents",M26/100,M26)*AC26</f>
        <v>0</v>
      </c>
      <c r="AT26" s="755">
        <f>IF('Prop DUOS'!O$69="cents",N26/100,N26)*IF('Prop DUOS'!O$71="day",AD26*'Prop DUOS'!$D$77,IF('Prop DUOS'!O$71="month",AD26*12,AD26))</f>
        <v>0</v>
      </c>
      <c r="AU26" s="755">
        <f>IF('Prop DUOS'!P$69="cents",O26/100,O26)*IF('Prop DUOS'!P$71="day",AE26*'Prop DUOS'!$D$77,IF('Prop DUOS'!P$71="month",AE26*12,AE26))</f>
        <v>0</v>
      </c>
      <c r="AV26" s="755">
        <f>IF('Prop DUOS'!Q$69="cents",P26/100,P26)*IF('Prop DUOS'!Q$71="day",AF26*'Prop DUOS'!$D$77,IF('Prop DUOS'!Q$71="month",AF26*12,AF26))</f>
        <v>6584.0928725323183</v>
      </c>
      <c r="AW26" s="755">
        <f>IF('Prop DUOS'!R$69="cents",Q26/100,Q26)*IF('Prop DUOS'!R$71="day",AG26*'Prop DUOS'!$D$77,IF('Prop DUOS'!R$71="month",AG26*12,AG26))</f>
        <v>3901.3202588609288</v>
      </c>
      <c r="AX26" s="755">
        <f>IF('Prop DUOS'!S$69="cents",R26/100,R26)*IF('Prop DUOS'!S$71="day",AH26*'Prop DUOS'!$D$77,IF('Prop DUOS'!S$71="month",AH26*12,AH26))</f>
        <v>0</v>
      </c>
      <c r="AY26" s="743">
        <f t="shared" si="0"/>
        <v>22026.570776889068</v>
      </c>
      <c r="BA26" s="87"/>
      <c r="BB26" s="87"/>
    </row>
    <row r="27" spans="2:54" s="158" customFormat="1">
      <c r="B27" s="360" t="str">
        <f>IF('t-1 DUOS'!B27="","",'t-1 DUOS'!B27)</f>
        <v>Low voltage medium KW time of use (opt-in)</v>
      </c>
      <c r="C27" s="220"/>
      <c r="D27" s="547">
        <v>0</v>
      </c>
      <c r="E27" s="548">
        <v>1</v>
      </c>
      <c r="F27" s="548">
        <v>0</v>
      </c>
      <c r="G27" s="548">
        <v>1</v>
      </c>
      <c r="H27" s="548">
        <v>0</v>
      </c>
      <c r="I27" s="548">
        <v>0</v>
      </c>
      <c r="J27" s="548">
        <v>1</v>
      </c>
      <c r="K27" s="548">
        <v>0</v>
      </c>
      <c r="L27" s="548">
        <v>0</v>
      </c>
      <c r="M27" s="548">
        <v>0</v>
      </c>
      <c r="N27" s="548">
        <v>0</v>
      </c>
      <c r="O27" s="548">
        <v>0</v>
      </c>
      <c r="P27" s="548">
        <v>11.31</v>
      </c>
      <c r="Q27" s="621">
        <v>7.53</v>
      </c>
      <c r="R27" s="549">
        <v>0</v>
      </c>
      <c r="T27" s="396">
        <f>'t-1 DUOS'!T27</f>
        <v>0</v>
      </c>
      <c r="U27" s="397">
        <f>'t-1 DUOS'!U27</f>
        <v>0</v>
      </c>
      <c r="V27" s="397">
        <f>'t-1 DUOS'!V27</f>
        <v>0</v>
      </c>
      <c r="W27" s="397">
        <f>'t-1 DUOS'!W27</f>
        <v>0</v>
      </c>
      <c r="X27" s="397">
        <f>'t-1 DUOS'!X27</f>
        <v>0</v>
      </c>
      <c r="Y27" s="397">
        <f>'t-1 DUOS'!Y27</f>
        <v>0</v>
      </c>
      <c r="Z27" s="397">
        <f>'t-1 DUOS'!Z27</f>
        <v>0</v>
      </c>
      <c r="AA27" s="397">
        <f>'t-1 DUOS'!AA27</f>
        <v>0</v>
      </c>
      <c r="AB27" s="397">
        <f>'t-1 DUOS'!AB27</f>
        <v>0</v>
      </c>
      <c r="AC27" s="397">
        <f>'t-1 DUOS'!AC27</f>
        <v>0</v>
      </c>
      <c r="AD27" s="397">
        <f>'t-1 DUOS'!AD27</f>
        <v>0</v>
      </c>
      <c r="AE27" s="397">
        <f>'t-1 DUOS'!AE27</f>
        <v>0</v>
      </c>
      <c r="AF27" s="397">
        <f>'t-1 DUOS'!AF27</f>
        <v>0</v>
      </c>
      <c r="AG27" s="631">
        <f>'t-1 DUOS'!AG27</f>
        <v>0</v>
      </c>
      <c r="AH27" s="398">
        <f>'t-1 DUOS'!AH27</f>
        <v>0</v>
      </c>
      <c r="AJ27" s="754">
        <f>IF('Prop DUOS'!$E$69="cents",D27/100,D27)*IF('Prop DUOS'!$E$71="day",T27*'Prop DUOS'!$D$77,T27)</f>
        <v>0</v>
      </c>
      <c r="AK27" s="755">
        <f>IF('Prop DUOS'!F$69="cents",E27/100,E27)*U27</f>
        <v>0</v>
      </c>
      <c r="AL27" s="755">
        <f>IF('Prop DUOS'!G$69="cents",F27/100,F27)*V27</f>
        <v>0</v>
      </c>
      <c r="AM27" s="755">
        <f>IF('Prop DUOS'!H$69="cents",G27/100,G27)*W27</f>
        <v>0</v>
      </c>
      <c r="AN27" s="755">
        <f>IF('Prop DUOS'!I$69="cents",H27/100,H27)*X27</f>
        <v>0</v>
      </c>
      <c r="AO27" s="755">
        <f>IF('Prop DUOS'!J$69="cents",I27/100,I27)*Y27</f>
        <v>0</v>
      </c>
      <c r="AP27" s="755">
        <f>IF('Prop DUOS'!K$69="cents",J27/100,J27)*Z27</f>
        <v>0</v>
      </c>
      <c r="AQ27" s="755">
        <f>IF('Prop DUOS'!L$69="cents",K27/100,K27)*AA27</f>
        <v>0</v>
      </c>
      <c r="AR27" s="755">
        <f>IF('Prop DUOS'!M$69="cents",L27/100,L27)*AB27</f>
        <v>0</v>
      </c>
      <c r="AS27" s="755">
        <f>IF('Prop DUOS'!N$69="cents",M27/100,M27)*AC27</f>
        <v>0</v>
      </c>
      <c r="AT27" s="755">
        <f>IF('Prop DUOS'!O$69="cents",N27/100,N27)*IF('Prop DUOS'!O$71="day",AD27*'Prop DUOS'!$D$77,IF('Prop DUOS'!O$71="month",AD27*12,AD27))</f>
        <v>0</v>
      </c>
      <c r="AU27" s="755">
        <f>IF('Prop DUOS'!P$69="cents",O27/100,O27)*IF('Prop DUOS'!P$71="day",AE27*'Prop DUOS'!$D$77,IF('Prop DUOS'!P$71="month",AE27*12,AE27))</f>
        <v>0</v>
      </c>
      <c r="AV27" s="755">
        <f>IF('Prop DUOS'!Q$69="cents",P27/100,P27)*IF('Prop DUOS'!Q$71="day",AF27*'Prop DUOS'!$D$77,IF('Prop DUOS'!Q$71="month",AF27*12,AF27))</f>
        <v>0</v>
      </c>
      <c r="AW27" s="755">
        <f>IF('Prop DUOS'!R$69="cents",Q27/100,Q27)*IF('Prop DUOS'!R$71="day",AG27*'Prop DUOS'!$D$77,IF('Prop DUOS'!R$71="month",AG27*12,AG27))</f>
        <v>0</v>
      </c>
      <c r="AX27" s="755">
        <f>IF('Prop DUOS'!S$69="cents",R27/100,R27)*IF('Prop DUOS'!S$71="day",AH27*'Prop DUOS'!$D$77,IF('Prop DUOS'!S$71="month",AH27*12,AH27))</f>
        <v>0</v>
      </c>
      <c r="AY27" s="743">
        <f t="shared" si="0"/>
        <v>0</v>
      </c>
      <c r="BA27" s="87"/>
      <c r="BB27" s="87"/>
    </row>
    <row r="28" spans="2:54" s="158" customFormat="1">
      <c r="B28" s="360" t="str">
        <f>IF('t-1 DUOS'!B28="","",'t-1 DUOS'!B28)</f>
        <v>Low voltage medium KW 1 rate (mandatory)</v>
      </c>
      <c r="C28" s="220"/>
      <c r="D28" s="547">
        <v>0</v>
      </c>
      <c r="E28" s="548">
        <v>0.97</v>
      </c>
      <c r="F28" s="548">
        <v>0</v>
      </c>
      <c r="G28" s="548">
        <v>0.97</v>
      </c>
      <c r="H28" s="548">
        <v>0</v>
      </c>
      <c r="I28" s="548">
        <v>0</v>
      </c>
      <c r="J28" s="548">
        <v>0.97</v>
      </c>
      <c r="K28" s="548">
        <v>0</v>
      </c>
      <c r="L28" s="548">
        <v>0</v>
      </c>
      <c r="M28" s="548">
        <v>0</v>
      </c>
      <c r="N28" s="548">
        <v>0</v>
      </c>
      <c r="O28" s="548">
        <v>0</v>
      </c>
      <c r="P28" s="548">
        <v>10.9</v>
      </c>
      <c r="Q28" s="621">
        <v>7.26</v>
      </c>
      <c r="R28" s="549">
        <v>0</v>
      </c>
      <c r="T28" s="396">
        <f>'t-1 DUOS'!T28</f>
        <v>7207.5756306128078</v>
      </c>
      <c r="U28" s="397">
        <f>'t-1 DUOS'!U28</f>
        <v>0</v>
      </c>
      <c r="V28" s="397">
        <f>'t-1 DUOS'!V28</f>
        <v>0</v>
      </c>
      <c r="W28" s="397">
        <f>'t-1 DUOS'!W28</f>
        <v>151770514.66848737</v>
      </c>
      <c r="X28" s="397">
        <f>'t-1 DUOS'!X28</f>
        <v>0</v>
      </c>
      <c r="Y28" s="397">
        <f>'t-1 DUOS'!Y28</f>
        <v>0</v>
      </c>
      <c r="Z28" s="397">
        <f>'t-1 DUOS'!Z28</f>
        <v>145426678.6899901</v>
      </c>
      <c r="AA28" s="397">
        <f>'t-1 DUOS'!AA28</f>
        <v>0</v>
      </c>
      <c r="AB28" s="397">
        <f>'t-1 DUOS'!AB28</f>
        <v>0</v>
      </c>
      <c r="AC28" s="397">
        <f>'t-1 DUOS'!AC28</f>
        <v>0</v>
      </c>
      <c r="AD28" s="397">
        <f>'t-1 DUOS'!AD28</f>
        <v>0</v>
      </c>
      <c r="AE28" s="397">
        <f>'t-1 DUOS'!AE28</f>
        <v>0</v>
      </c>
      <c r="AF28" s="397">
        <f>'t-1 DUOS'!AF28</f>
        <v>111196.03700289429</v>
      </c>
      <c r="AG28" s="631">
        <f>'t-1 DUOS'!AG28</f>
        <v>99878.232998803694</v>
      </c>
      <c r="AH28" s="398">
        <f>'t-1 DUOS'!AH28</f>
        <v>0</v>
      </c>
      <c r="AJ28" s="754">
        <f>IF('Prop DUOS'!$E$69="cents",D28/100,D28)*IF('Prop DUOS'!$E$71="day",T28*'Prop DUOS'!$D$77,T28)</f>
        <v>0</v>
      </c>
      <c r="AK28" s="755">
        <f>IF('Prop DUOS'!F$69="cents",E28/100,E28)*U28</f>
        <v>0</v>
      </c>
      <c r="AL28" s="755">
        <f>IF('Prop DUOS'!G$69="cents",F28/100,F28)*V28</f>
        <v>0</v>
      </c>
      <c r="AM28" s="755">
        <f>IF('Prop DUOS'!H$69="cents",G28/100,G28)*W28</f>
        <v>1472173.9922843275</v>
      </c>
      <c r="AN28" s="755">
        <f>IF('Prop DUOS'!I$69="cents",H28/100,H28)*X28</f>
        <v>0</v>
      </c>
      <c r="AO28" s="755">
        <f>IF('Prop DUOS'!J$69="cents",I28/100,I28)*Y28</f>
        <v>0</v>
      </c>
      <c r="AP28" s="755">
        <f>IF('Prop DUOS'!K$69="cents",J28/100,J28)*Z28</f>
        <v>1410638.783292904</v>
      </c>
      <c r="AQ28" s="755">
        <f>IF('Prop DUOS'!L$69="cents",K28/100,K28)*AA28</f>
        <v>0</v>
      </c>
      <c r="AR28" s="755">
        <f>IF('Prop DUOS'!M$69="cents",L28/100,L28)*AB28</f>
        <v>0</v>
      </c>
      <c r="AS28" s="755">
        <f>IF('Prop DUOS'!N$69="cents",M28/100,M28)*AC28</f>
        <v>0</v>
      </c>
      <c r="AT28" s="755">
        <f>IF('Prop DUOS'!O$69="cents",N28/100,N28)*IF('Prop DUOS'!O$71="day",AD28*'Prop DUOS'!$D$77,IF('Prop DUOS'!O$71="month",AD28*12,AD28))</f>
        <v>0</v>
      </c>
      <c r="AU28" s="755">
        <f>IF('Prop DUOS'!P$69="cents",O28/100,O28)*IF('Prop DUOS'!P$71="day",AE28*'Prop DUOS'!$D$77,IF('Prop DUOS'!P$71="month",AE28*12,AE28))</f>
        <v>0</v>
      </c>
      <c r="AV28" s="755">
        <f>IF('Prop DUOS'!Q$69="cents",P28/100,P28)*IF('Prop DUOS'!Q$71="day",AF28*'Prop DUOS'!$D$77,IF('Prop DUOS'!Q$71="month",AF28*12,AF28))</f>
        <v>2193786.6140301013</v>
      </c>
      <c r="AW28" s="755">
        <f>IF('Prop DUOS'!R$69="cents",Q28/100,Q28)*IF('Prop DUOS'!R$71="day",AG28*'Prop DUOS'!$D$77,IF('Prop DUOS'!R$71="month",AG28*12,AG28))</f>
        <v>1312459.9085440796</v>
      </c>
      <c r="AX28" s="755">
        <f>IF('Prop DUOS'!S$69="cents",R28/100,R28)*IF('Prop DUOS'!S$71="day",AH28*'Prop DUOS'!$D$77,IF('Prop DUOS'!S$71="month",AH28*12,AH28))</f>
        <v>0</v>
      </c>
      <c r="AY28" s="743">
        <f t="shared" si="0"/>
        <v>6389059.298151412</v>
      </c>
      <c r="BA28" s="87"/>
      <c r="BB28" s="87"/>
    </row>
    <row r="29" spans="2:54" s="158" customFormat="1">
      <c r="B29" s="360" t="str">
        <f>IF('t-1 DUOS'!B29="","",'t-1 DUOS'!B29)</f>
        <v/>
      </c>
      <c r="C29" s="220"/>
      <c r="D29" s="547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621"/>
      <c r="R29" s="549"/>
      <c r="T29" s="396">
        <f>'t-1 DUOS'!T29</f>
        <v>0</v>
      </c>
      <c r="U29" s="397">
        <f>'t-1 DUOS'!U29</f>
        <v>0</v>
      </c>
      <c r="V29" s="397">
        <f>'t-1 DUOS'!V29</f>
        <v>0</v>
      </c>
      <c r="W29" s="397">
        <f>'t-1 DUOS'!W29</f>
        <v>0</v>
      </c>
      <c r="X29" s="397">
        <f>'t-1 DUOS'!X29</f>
        <v>0</v>
      </c>
      <c r="Y29" s="397">
        <f>'t-1 DUOS'!Y29</f>
        <v>0</v>
      </c>
      <c r="Z29" s="397">
        <f>'t-1 DUOS'!Z29</f>
        <v>0</v>
      </c>
      <c r="AA29" s="397">
        <f>'t-1 DUOS'!AA29</f>
        <v>0</v>
      </c>
      <c r="AB29" s="397">
        <f>'t-1 DUOS'!AB29</f>
        <v>0</v>
      </c>
      <c r="AC29" s="397">
        <f>'t-1 DUOS'!AC29</f>
        <v>0</v>
      </c>
      <c r="AD29" s="397">
        <f>'t-1 DUOS'!AD29</f>
        <v>0</v>
      </c>
      <c r="AE29" s="397">
        <f>'t-1 DUOS'!AE29</f>
        <v>0</v>
      </c>
      <c r="AF29" s="397">
        <f>'t-1 DUOS'!AF29</f>
        <v>0</v>
      </c>
      <c r="AG29" s="631">
        <f>'t-1 DUOS'!AG29</f>
        <v>0</v>
      </c>
      <c r="AH29" s="398">
        <f>'t-1 DUOS'!AH29</f>
        <v>0</v>
      </c>
      <c r="AJ29" s="754">
        <f>IF('Prop DUOS'!$E$69="cents",D29/100,D29)*IF('Prop DUOS'!$E$71="day",T29*'Prop DUOS'!$D$74,T29)</f>
        <v>0</v>
      </c>
      <c r="AK29" s="755">
        <f>IF('Prop DUOS'!F$69="cents",E29/100,E29)*U29</f>
        <v>0</v>
      </c>
      <c r="AL29" s="755">
        <f>IF('Prop DUOS'!G$69="cents",F29/100,F29)*V29</f>
        <v>0</v>
      </c>
      <c r="AM29" s="755">
        <f>IF('Prop DUOS'!H$69="cents",G29/100,G29)*W29</f>
        <v>0</v>
      </c>
      <c r="AN29" s="755">
        <f>IF('Prop DUOS'!I$69="cents",H29/100,H29)*X29</f>
        <v>0</v>
      </c>
      <c r="AO29" s="755">
        <f>IF('Prop DUOS'!J$69="cents",I29/100,I29)*Y29</f>
        <v>0</v>
      </c>
      <c r="AP29" s="755">
        <f>IF('Prop DUOS'!K$69="cents",J29/100,J29)*Z29</f>
        <v>0</v>
      </c>
      <c r="AQ29" s="755">
        <f>IF('Prop DUOS'!L$69="cents",K29/100,K29)*AA29</f>
        <v>0</v>
      </c>
      <c r="AR29" s="755">
        <f>IF('Prop DUOS'!M$69="cents",L29/100,L29)*AB29</f>
        <v>0</v>
      </c>
      <c r="AS29" s="755">
        <f>IF('Prop DUOS'!N$69="cents",M29/100,M29)*AC29</f>
        <v>0</v>
      </c>
      <c r="AT29" s="755">
        <f>IF('Prop DUOS'!O$69="cents",N29/100,N29)*IF('Prop DUOS'!O$71="day",AD29*'Prop DUOS'!$D$74,IF('Prop DUOS'!O$71="month",AD29*12,AD29))</f>
        <v>0</v>
      </c>
      <c r="AU29" s="755">
        <f>IF('Prop DUOS'!P$69="cents",O29/100,O29)*IF('Prop DUOS'!P$71="day",AE29*'Prop DUOS'!$D$74,IF('Prop DUOS'!P$71="month",AE29*12,AE29))</f>
        <v>0</v>
      </c>
      <c r="AV29" s="755">
        <f>IF('Prop DUOS'!Q$69="cents",P29/100,P29)*IF('Prop DUOS'!Q$71="day",AF29*'Prop DUOS'!$D$74,IF('Prop DUOS'!Q$71="month",AF29*12,AF29))</f>
        <v>0</v>
      </c>
      <c r="AW29" s="755">
        <f>IF('Prop DUOS'!R$69="cents",Q29/100,Q29)*IF('Prop DUOS'!R$71="day",AG29*'Prop DUOS'!$D$74,IF('Prop DUOS'!R$71="month",AG29*12,AG29))</f>
        <v>0</v>
      </c>
      <c r="AX29" s="755">
        <f>IF('Prop DUOS'!S$69="cents",R29/100,R29)*IF('Prop DUOS'!S$71="day",AH29*'Prop DUOS'!$D$74,IF('Prop DUOS'!S$71="month",AH29*12,AH29))</f>
        <v>0</v>
      </c>
      <c r="AY29" s="743">
        <f t="shared" si="0"/>
        <v>0</v>
      </c>
      <c r="BA29" s="87"/>
      <c r="BB29" s="87"/>
    </row>
    <row r="30" spans="2:54" s="158" customFormat="1">
      <c r="B30" s="360" t="str">
        <f>IF('t-1 DUOS'!B30="","",'t-1 DUOS'!B30)</f>
        <v/>
      </c>
      <c r="C30" s="220"/>
      <c r="D30" s="547"/>
      <c r="E30" s="548"/>
      <c r="F30" s="548"/>
      <c r="G30" s="548"/>
      <c r="H30" s="548"/>
      <c r="I30" s="548"/>
      <c r="J30" s="548"/>
      <c r="K30" s="548"/>
      <c r="L30" s="548"/>
      <c r="M30" s="548"/>
      <c r="N30" s="548"/>
      <c r="O30" s="548"/>
      <c r="P30" s="548"/>
      <c r="Q30" s="621"/>
      <c r="R30" s="549"/>
      <c r="T30" s="396">
        <f>'t-1 DUOS'!T30</f>
        <v>0</v>
      </c>
      <c r="U30" s="397">
        <f>'t-1 DUOS'!U30</f>
        <v>0</v>
      </c>
      <c r="V30" s="397">
        <f>'t-1 DUOS'!V30</f>
        <v>0</v>
      </c>
      <c r="W30" s="397">
        <f>'t-1 DUOS'!W30</f>
        <v>0</v>
      </c>
      <c r="X30" s="397">
        <f>'t-1 DUOS'!X30</f>
        <v>0</v>
      </c>
      <c r="Y30" s="397">
        <f>'t-1 DUOS'!Y30</f>
        <v>0</v>
      </c>
      <c r="Z30" s="397">
        <f>'t-1 DUOS'!Z30</f>
        <v>0</v>
      </c>
      <c r="AA30" s="397">
        <f>'t-1 DUOS'!AA30</f>
        <v>0</v>
      </c>
      <c r="AB30" s="397">
        <f>'t-1 DUOS'!AB30</f>
        <v>0</v>
      </c>
      <c r="AC30" s="397">
        <f>'t-1 DUOS'!AC30</f>
        <v>0</v>
      </c>
      <c r="AD30" s="397">
        <f>'t-1 DUOS'!AD30</f>
        <v>0</v>
      </c>
      <c r="AE30" s="397">
        <f>'t-1 DUOS'!AE30</f>
        <v>0</v>
      </c>
      <c r="AF30" s="397">
        <f>'t-1 DUOS'!AF30</f>
        <v>0</v>
      </c>
      <c r="AG30" s="631">
        <f>'t-1 DUOS'!AG30</f>
        <v>0</v>
      </c>
      <c r="AH30" s="398">
        <f>'t-1 DUOS'!AH30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  <c r="BA30" s="87"/>
      <c r="BB30" s="87"/>
    </row>
    <row r="31" spans="2:54" s="158" customFormat="1">
      <c r="B31" s="360" t="str">
        <f>IF('t-1 DUOS'!B31="","",'t-1 DUOS'!B31)</f>
        <v/>
      </c>
      <c r="C31" s="220"/>
      <c r="D31" s="547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621"/>
      <c r="R31" s="549"/>
      <c r="T31" s="396">
        <f>'t-1 DUOS'!T31</f>
        <v>0</v>
      </c>
      <c r="U31" s="397">
        <f>'t-1 DUOS'!U31</f>
        <v>0</v>
      </c>
      <c r="V31" s="397">
        <f>'t-1 DUOS'!V31</f>
        <v>0</v>
      </c>
      <c r="W31" s="397">
        <f>'t-1 DUOS'!W31</f>
        <v>0</v>
      </c>
      <c r="X31" s="397">
        <f>'t-1 DUOS'!X31</f>
        <v>0</v>
      </c>
      <c r="Y31" s="397">
        <f>'t-1 DUOS'!Y31</f>
        <v>0</v>
      </c>
      <c r="Z31" s="397">
        <f>'t-1 DUOS'!Z31</f>
        <v>0</v>
      </c>
      <c r="AA31" s="397">
        <f>'t-1 DUOS'!AA31</f>
        <v>0</v>
      </c>
      <c r="AB31" s="397">
        <f>'t-1 DUOS'!AB31</f>
        <v>0</v>
      </c>
      <c r="AC31" s="397">
        <f>'t-1 DUOS'!AC31</f>
        <v>0</v>
      </c>
      <c r="AD31" s="397">
        <f>'t-1 DUOS'!AD31</f>
        <v>0</v>
      </c>
      <c r="AE31" s="397">
        <f>'t-1 DUOS'!AE31</f>
        <v>0</v>
      </c>
      <c r="AF31" s="397">
        <f>'t-1 DUOS'!AF31</f>
        <v>0</v>
      </c>
      <c r="AG31" s="631">
        <f>'t-1 DUOS'!AG31</f>
        <v>0</v>
      </c>
      <c r="AH31" s="398">
        <f>'t-1 DUOS'!AH31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4" s="158" customFormat="1">
      <c r="B32" s="360" t="str">
        <f>IF('t-1 DUOS'!B32="","",'t-1 DUOS'!B32)</f>
        <v/>
      </c>
      <c r="C32" s="220"/>
      <c r="D32" s="547"/>
      <c r="E32" s="548"/>
      <c r="F32" s="548"/>
      <c r="G32" s="548"/>
      <c r="H32" s="548"/>
      <c r="I32" s="548"/>
      <c r="J32" s="548"/>
      <c r="K32" s="548"/>
      <c r="L32" s="548"/>
      <c r="M32" s="548"/>
      <c r="N32" s="548"/>
      <c r="O32" s="548"/>
      <c r="P32" s="548"/>
      <c r="Q32" s="621"/>
      <c r="R32" s="549"/>
      <c r="T32" s="396">
        <f>'t-1 DUOS'!T32</f>
        <v>0</v>
      </c>
      <c r="U32" s="397">
        <f>'t-1 DUOS'!U32</f>
        <v>0</v>
      </c>
      <c r="V32" s="397">
        <f>'t-1 DUOS'!V32</f>
        <v>0</v>
      </c>
      <c r="W32" s="397">
        <f>'t-1 DUOS'!W32</f>
        <v>0</v>
      </c>
      <c r="X32" s="397">
        <f>'t-1 DUOS'!X32</f>
        <v>0</v>
      </c>
      <c r="Y32" s="397">
        <f>'t-1 DUOS'!Y32</f>
        <v>0</v>
      </c>
      <c r="Z32" s="397">
        <f>'t-1 DUOS'!Z32</f>
        <v>0</v>
      </c>
      <c r="AA32" s="397">
        <f>'t-1 DUOS'!AA32</f>
        <v>0</v>
      </c>
      <c r="AB32" s="397">
        <f>'t-1 DUOS'!AB32</f>
        <v>0</v>
      </c>
      <c r="AC32" s="397">
        <f>'t-1 DUOS'!AC32</f>
        <v>0</v>
      </c>
      <c r="AD32" s="397">
        <f>'t-1 DUOS'!AD32</f>
        <v>0</v>
      </c>
      <c r="AE32" s="397">
        <f>'t-1 DUOS'!AE32</f>
        <v>0</v>
      </c>
      <c r="AF32" s="397">
        <f>'t-1 DUOS'!AF32</f>
        <v>0</v>
      </c>
      <c r="AG32" s="631">
        <f>'t-1 DUOS'!AG32</f>
        <v>0</v>
      </c>
      <c r="AH32" s="398">
        <f>'t-1 DUOS'!AH32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360" t="str">
        <f>IF('t-1 DUOS'!B33="","",'t-1 DUOS'!B33)</f>
        <v/>
      </c>
      <c r="C33" s="220"/>
      <c r="D33" s="547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  <c r="Q33" s="621"/>
      <c r="R33" s="549"/>
      <c r="T33" s="396">
        <f>'t-1 DUOS'!T33</f>
        <v>0</v>
      </c>
      <c r="U33" s="397">
        <f>'t-1 DUOS'!U33</f>
        <v>0</v>
      </c>
      <c r="V33" s="397">
        <f>'t-1 DUOS'!V33</f>
        <v>0</v>
      </c>
      <c r="W33" s="397">
        <f>'t-1 DUOS'!W33</f>
        <v>0</v>
      </c>
      <c r="X33" s="397">
        <f>'t-1 DUOS'!X33</f>
        <v>0</v>
      </c>
      <c r="Y33" s="397">
        <f>'t-1 DUOS'!Y33</f>
        <v>0</v>
      </c>
      <c r="Z33" s="397">
        <f>'t-1 DUOS'!Z33</f>
        <v>0</v>
      </c>
      <c r="AA33" s="397">
        <f>'t-1 DUOS'!AA33</f>
        <v>0</v>
      </c>
      <c r="AB33" s="397">
        <f>'t-1 DUOS'!AB33</f>
        <v>0</v>
      </c>
      <c r="AC33" s="397">
        <f>'t-1 DUOS'!AC33</f>
        <v>0</v>
      </c>
      <c r="AD33" s="397">
        <f>'t-1 DUOS'!AD33</f>
        <v>0</v>
      </c>
      <c r="AE33" s="397">
        <f>'t-1 DUOS'!AE33</f>
        <v>0</v>
      </c>
      <c r="AF33" s="397">
        <f>'t-1 DUOS'!AF33</f>
        <v>0</v>
      </c>
      <c r="AG33" s="631">
        <f>'t-1 DUOS'!AG33</f>
        <v>0</v>
      </c>
      <c r="AH33" s="398">
        <f>'t-1 DUOS'!AH33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60" t="str">
        <f>IF('t-1 DUOS'!B34="","",'t-1 DUOS'!B34)</f>
        <v/>
      </c>
      <c r="C34" s="220"/>
      <c r="D34" s="547"/>
      <c r="E34" s="548"/>
      <c r="F34" s="548"/>
      <c r="G34" s="548"/>
      <c r="H34" s="548"/>
      <c r="I34" s="548"/>
      <c r="J34" s="548"/>
      <c r="K34" s="548"/>
      <c r="L34" s="548"/>
      <c r="M34" s="548"/>
      <c r="N34" s="548"/>
      <c r="O34" s="548"/>
      <c r="P34" s="548"/>
      <c r="Q34" s="621"/>
      <c r="R34" s="549"/>
      <c r="T34" s="396">
        <f>'t-1 DUOS'!T34</f>
        <v>0</v>
      </c>
      <c r="U34" s="397">
        <f>'t-1 DUOS'!U34</f>
        <v>0</v>
      </c>
      <c r="V34" s="397">
        <f>'t-1 DUOS'!V34</f>
        <v>0</v>
      </c>
      <c r="W34" s="397">
        <f>'t-1 DUOS'!W34</f>
        <v>0</v>
      </c>
      <c r="X34" s="397">
        <f>'t-1 DUOS'!X34</f>
        <v>0</v>
      </c>
      <c r="Y34" s="397">
        <f>'t-1 DUOS'!Y34</f>
        <v>0</v>
      </c>
      <c r="Z34" s="397">
        <f>'t-1 DUOS'!Z34</f>
        <v>0</v>
      </c>
      <c r="AA34" s="397">
        <f>'t-1 DUOS'!AA34</f>
        <v>0</v>
      </c>
      <c r="AB34" s="397">
        <f>'t-1 DUOS'!AB34</f>
        <v>0</v>
      </c>
      <c r="AC34" s="397">
        <f>'t-1 DUOS'!AC34</f>
        <v>0</v>
      </c>
      <c r="AD34" s="397">
        <f>'t-1 DUOS'!AD34</f>
        <v>0</v>
      </c>
      <c r="AE34" s="397">
        <f>'t-1 DUOS'!AE34</f>
        <v>0</v>
      </c>
      <c r="AF34" s="397">
        <f>'t-1 DUOS'!AF34</f>
        <v>0</v>
      </c>
      <c r="AG34" s="631">
        <f>'t-1 DUOS'!AG34</f>
        <v>0</v>
      </c>
      <c r="AH34" s="398">
        <f>'t-1 DUOS'!AH34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0</v>
      </c>
    </row>
    <row r="35" spans="2:51" s="158" customFormat="1">
      <c r="B35" s="360" t="str">
        <f>IF('t-1 DUOS'!B35="","",'t-1 DUOS'!B35)</f>
        <v/>
      </c>
      <c r="C35" s="220"/>
      <c r="D35" s="547"/>
      <c r="E35" s="548"/>
      <c r="F35" s="548"/>
      <c r="G35" s="548"/>
      <c r="H35" s="548"/>
      <c r="I35" s="548"/>
      <c r="J35" s="548"/>
      <c r="K35" s="548"/>
      <c r="L35" s="548"/>
      <c r="M35" s="548"/>
      <c r="N35" s="548"/>
      <c r="O35" s="548"/>
      <c r="P35" s="548"/>
      <c r="Q35" s="621"/>
      <c r="R35" s="549"/>
      <c r="T35" s="396">
        <f>'t-1 DUOS'!T35</f>
        <v>0</v>
      </c>
      <c r="U35" s="397">
        <f>'t-1 DUOS'!U35</f>
        <v>0</v>
      </c>
      <c r="V35" s="397">
        <f>'t-1 DUOS'!V35</f>
        <v>0</v>
      </c>
      <c r="W35" s="397">
        <f>'t-1 DUOS'!W35</f>
        <v>0</v>
      </c>
      <c r="X35" s="397">
        <f>'t-1 DUOS'!X35</f>
        <v>0</v>
      </c>
      <c r="Y35" s="397">
        <f>'t-1 DUOS'!Y35</f>
        <v>0</v>
      </c>
      <c r="Z35" s="397">
        <f>'t-1 DUOS'!Z35</f>
        <v>0</v>
      </c>
      <c r="AA35" s="397">
        <f>'t-1 DUOS'!AA35</f>
        <v>0</v>
      </c>
      <c r="AB35" s="397">
        <f>'t-1 DUOS'!AB35</f>
        <v>0</v>
      </c>
      <c r="AC35" s="397">
        <f>'t-1 DUOS'!AC35</f>
        <v>0</v>
      </c>
      <c r="AD35" s="397">
        <f>'t-1 DUOS'!AD35</f>
        <v>0</v>
      </c>
      <c r="AE35" s="397">
        <f>'t-1 DUOS'!AE35</f>
        <v>0</v>
      </c>
      <c r="AF35" s="397">
        <f>'t-1 DUOS'!AF35</f>
        <v>0</v>
      </c>
      <c r="AG35" s="631">
        <f>'t-1 DUOS'!AG35</f>
        <v>0</v>
      </c>
      <c r="AH35" s="398">
        <f>'t-1 DUOS'!AH35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0</v>
      </c>
    </row>
    <row r="36" spans="2:51" s="158" customFormat="1">
      <c r="B36" s="360" t="str">
        <f>IF('t-1 DUOS'!B36="","",'t-1 DUOS'!B36)</f>
        <v/>
      </c>
      <c r="C36" s="220"/>
      <c r="D36" s="547"/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621"/>
      <c r="R36" s="549"/>
      <c r="T36" s="396">
        <f>'t-1 DUOS'!T36</f>
        <v>0</v>
      </c>
      <c r="U36" s="397">
        <f>'t-1 DUOS'!U36</f>
        <v>0</v>
      </c>
      <c r="V36" s="397">
        <f>'t-1 DUOS'!V36</f>
        <v>0</v>
      </c>
      <c r="W36" s="397">
        <f>'t-1 DUOS'!W36</f>
        <v>0</v>
      </c>
      <c r="X36" s="397">
        <f>'t-1 DUOS'!X36</f>
        <v>0</v>
      </c>
      <c r="Y36" s="397">
        <f>'t-1 DUOS'!Y36</f>
        <v>0</v>
      </c>
      <c r="Z36" s="397">
        <f>'t-1 DUOS'!Z36</f>
        <v>0</v>
      </c>
      <c r="AA36" s="397">
        <f>'t-1 DUOS'!AA36</f>
        <v>0</v>
      </c>
      <c r="AB36" s="397">
        <f>'t-1 DUOS'!AB36</f>
        <v>0</v>
      </c>
      <c r="AC36" s="397">
        <f>'t-1 DUOS'!AC36</f>
        <v>0</v>
      </c>
      <c r="AD36" s="397">
        <f>'t-1 DUOS'!AD36</f>
        <v>0</v>
      </c>
      <c r="AE36" s="397">
        <f>'t-1 DUOS'!AE36</f>
        <v>0</v>
      </c>
      <c r="AF36" s="397">
        <f>'t-1 DUOS'!AF36</f>
        <v>0</v>
      </c>
      <c r="AG36" s="631">
        <f>'t-1 DUOS'!AG36</f>
        <v>0</v>
      </c>
      <c r="AH36" s="398">
        <f>'t-1 DUOS'!AH36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0</v>
      </c>
    </row>
    <row r="37" spans="2:51" s="158" customFormat="1">
      <c r="B37" s="360" t="str">
        <f>IF('t-1 DUOS'!B37="","",'t-1 DUOS'!B37)</f>
        <v/>
      </c>
      <c r="C37" s="220"/>
      <c r="D37" s="547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621"/>
      <c r="R37" s="549"/>
      <c r="T37" s="396">
        <f>'t-1 DUOS'!T37</f>
        <v>0</v>
      </c>
      <c r="U37" s="397">
        <f>'t-1 DUOS'!U37</f>
        <v>0</v>
      </c>
      <c r="V37" s="397">
        <f>'t-1 DUOS'!V37</f>
        <v>0</v>
      </c>
      <c r="W37" s="397">
        <f>'t-1 DUOS'!W37</f>
        <v>0</v>
      </c>
      <c r="X37" s="397">
        <f>'t-1 DUOS'!X37</f>
        <v>0</v>
      </c>
      <c r="Y37" s="397">
        <f>'t-1 DUOS'!Y37</f>
        <v>0</v>
      </c>
      <c r="Z37" s="397">
        <f>'t-1 DUOS'!Z37</f>
        <v>0</v>
      </c>
      <c r="AA37" s="397">
        <f>'t-1 DUOS'!AA37</f>
        <v>0</v>
      </c>
      <c r="AB37" s="397">
        <f>'t-1 DUOS'!AB37</f>
        <v>0</v>
      </c>
      <c r="AC37" s="397">
        <f>'t-1 DUOS'!AC37</f>
        <v>0</v>
      </c>
      <c r="AD37" s="397">
        <f>'t-1 DUOS'!AD37</f>
        <v>0</v>
      </c>
      <c r="AE37" s="397">
        <f>'t-1 DUOS'!AE37</f>
        <v>0</v>
      </c>
      <c r="AF37" s="397">
        <f>'t-1 DUOS'!AF37</f>
        <v>0</v>
      </c>
      <c r="AG37" s="631">
        <f>'t-1 DUOS'!AG37</f>
        <v>0</v>
      </c>
      <c r="AH37" s="398">
        <f>'t-1 DUOS'!AH37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ref="AY37:AY58" si="1">SUM(AJ37:AX37)</f>
        <v>0</v>
      </c>
    </row>
    <row r="38" spans="2:51" s="158" customFormat="1">
      <c r="B38" s="360" t="str">
        <f>IF('t-1 DUOS'!B38="","",'t-1 DUOS'!B38)</f>
        <v/>
      </c>
      <c r="C38" s="220"/>
      <c r="D38" s="547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621"/>
      <c r="R38" s="549"/>
      <c r="T38" s="396">
        <f>'t-1 DUOS'!T38</f>
        <v>0</v>
      </c>
      <c r="U38" s="397">
        <f>'t-1 DUOS'!U38</f>
        <v>0</v>
      </c>
      <c r="V38" s="397">
        <f>'t-1 DUOS'!V38</f>
        <v>0</v>
      </c>
      <c r="W38" s="397">
        <f>'t-1 DUOS'!W38</f>
        <v>0</v>
      </c>
      <c r="X38" s="397">
        <f>'t-1 DUOS'!X38</f>
        <v>0</v>
      </c>
      <c r="Y38" s="397">
        <f>'t-1 DUOS'!Y38</f>
        <v>0</v>
      </c>
      <c r="Z38" s="397">
        <f>'t-1 DUOS'!Z38</f>
        <v>0</v>
      </c>
      <c r="AA38" s="397">
        <f>'t-1 DUOS'!AA38</f>
        <v>0</v>
      </c>
      <c r="AB38" s="397">
        <f>'t-1 DUOS'!AB38</f>
        <v>0</v>
      </c>
      <c r="AC38" s="397">
        <f>'t-1 DUOS'!AC38</f>
        <v>0</v>
      </c>
      <c r="AD38" s="397">
        <f>'t-1 DUOS'!AD38</f>
        <v>0</v>
      </c>
      <c r="AE38" s="397">
        <f>'t-1 DUOS'!AE38</f>
        <v>0</v>
      </c>
      <c r="AF38" s="397">
        <f>'t-1 DUOS'!AF38</f>
        <v>0</v>
      </c>
      <c r="AG38" s="631">
        <f>'t-1 DUOS'!AG38</f>
        <v>0</v>
      </c>
      <c r="AH38" s="398">
        <f>'t-1 DUOS'!AH38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1"/>
        <v>0</v>
      </c>
    </row>
    <row r="39" spans="2:51" s="158" customFormat="1">
      <c r="B39" s="360" t="str">
        <f>IF('t-1 DUOS'!B39="","",'t-1 DUOS'!B39)</f>
        <v/>
      </c>
      <c r="C39" s="220"/>
      <c r="D39" s="547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621"/>
      <c r="R39" s="549"/>
      <c r="T39" s="396">
        <f>'t-1 DUOS'!T39</f>
        <v>0</v>
      </c>
      <c r="U39" s="397">
        <f>'t-1 DUOS'!U39</f>
        <v>0</v>
      </c>
      <c r="V39" s="397">
        <f>'t-1 DUOS'!V39</f>
        <v>0</v>
      </c>
      <c r="W39" s="397">
        <f>'t-1 DUOS'!W39</f>
        <v>0</v>
      </c>
      <c r="X39" s="397">
        <f>'t-1 DUOS'!X39</f>
        <v>0</v>
      </c>
      <c r="Y39" s="397">
        <f>'t-1 DUOS'!Y39</f>
        <v>0</v>
      </c>
      <c r="Z39" s="397">
        <f>'t-1 DUOS'!Z39</f>
        <v>0</v>
      </c>
      <c r="AA39" s="397">
        <f>'t-1 DUOS'!AA39</f>
        <v>0</v>
      </c>
      <c r="AB39" s="397">
        <f>'t-1 DUOS'!AB39</f>
        <v>0</v>
      </c>
      <c r="AC39" s="397">
        <f>'t-1 DUOS'!AC39</f>
        <v>0</v>
      </c>
      <c r="AD39" s="397">
        <f>'t-1 DUOS'!AD39</f>
        <v>0</v>
      </c>
      <c r="AE39" s="397">
        <f>'t-1 DUOS'!AE39</f>
        <v>0</v>
      </c>
      <c r="AF39" s="397">
        <f>'t-1 DUOS'!AF39</f>
        <v>0</v>
      </c>
      <c r="AG39" s="631">
        <f>'t-1 DUOS'!AG39</f>
        <v>0</v>
      </c>
      <c r="AH39" s="398">
        <f>'t-1 DUOS'!AH39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1"/>
        <v>0</v>
      </c>
    </row>
    <row r="40" spans="2:51" s="158" customFormat="1">
      <c r="B40" s="360" t="str">
        <f>IF('t-1 DUOS'!B40="","",'t-1 DUOS'!B40)</f>
        <v/>
      </c>
      <c r="C40" s="220"/>
      <c r="D40" s="547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621"/>
      <c r="R40" s="549"/>
      <c r="T40" s="396">
        <f>'t-1 DUOS'!T40</f>
        <v>0</v>
      </c>
      <c r="U40" s="397">
        <f>'t-1 DUOS'!U40</f>
        <v>0</v>
      </c>
      <c r="V40" s="397">
        <f>'t-1 DUOS'!V40</f>
        <v>0</v>
      </c>
      <c r="W40" s="397">
        <f>'t-1 DUOS'!W40</f>
        <v>0</v>
      </c>
      <c r="X40" s="397">
        <f>'t-1 DUOS'!X40</f>
        <v>0</v>
      </c>
      <c r="Y40" s="397">
        <f>'t-1 DUOS'!Y40</f>
        <v>0</v>
      </c>
      <c r="Z40" s="397">
        <f>'t-1 DUOS'!Z40</f>
        <v>0</v>
      </c>
      <c r="AA40" s="397">
        <f>'t-1 DUOS'!AA40</f>
        <v>0</v>
      </c>
      <c r="AB40" s="397">
        <f>'t-1 DUOS'!AB40</f>
        <v>0</v>
      </c>
      <c r="AC40" s="397">
        <f>'t-1 DUOS'!AC40</f>
        <v>0</v>
      </c>
      <c r="AD40" s="397">
        <f>'t-1 DUOS'!AD40</f>
        <v>0</v>
      </c>
      <c r="AE40" s="397">
        <f>'t-1 DUOS'!AE40</f>
        <v>0</v>
      </c>
      <c r="AF40" s="397">
        <f>'t-1 DUOS'!AF40</f>
        <v>0</v>
      </c>
      <c r="AG40" s="631">
        <f>'t-1 DUOS'!AG40</f>
        <v>0</v>
      </c>
      <c r="AH40" s="398">
        <f>'t-1 DUOS'!AH40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1"/>
        <v>0</v>
      </c>
    </row>
    <row r="41" spans="2:51" s="158" customFormat="1">
      <c r="B41" s="360" t="str">
        <f>IF('t-1 DUOS'!B41="","",'t-1 DUOS'!B41)</f>
        <v/>
      </c>
      <c r="C41" s="220"/>
      <c r="D41" s="547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621"/>
      <c r="R41" s="549"/>
      <c r="T41" s="396">
        <f>'t-1 DUOS'!T41</f>
        <v>0</v>
      </c>
      <c r="U41" s="397">
        <f>'t-1 DUOS'!U41</f>
        <v>0</v>
      </c>
      <c r="V41" s="397">
        <f>'t-1 DUOS'!V41</f>
        <v>0</v>
      </c>
      <c r="W41" s="397">
        <f>'t-1 DUOS'!W41</f>
        <v>0</v>
      </c>
      <c r="X41" s="397">
        <f>'t-1 DUOS'!X41</f>
        <v>0</v>
      </c>
      <c r="Y41" s="397">
        <f>'t-1 DUOS'!Y41</f>
        <v>0</v>
      </c>
      <c r="Z41" s="397">
        <f>'t-1 DUOS'!Z41</f>
        <v>0</v>
      </c>
      <c r="AA41" s="397">
        <f>'t-1 DUOS'!AA41</f>
        <v>0</v>
      </c>
      <c r="AB41" s="397">
        <f>'t-1 DUOS'!AB41</f>
        <v>0</v>
      </c>
      <c r="AC41" s="397">
        <f>'t-1 DUOS'!AC41</f>
        <v>0</v>
      </c>
      <c r="AD41" s="397">
        <f>'t-1 DUOS'!AD41</f>
        <v>0</v>
      </c>
      <c r="AE41" s="397">
        <f>'t-1 DUOS'!AE41</f>
        <v>0</v>
      </c>
      <c r="AF41" s="397">
        <f>'t-1 DUOS'!AF41</f>
        <v>0</v>
      </c>
      <c r="AG41" s="631">
        <f>'t-1 DUOS'!AG41</f>
        <v>0</v>
      </c>
      <c r="AH41" s="398">
        <f>'t-1 DUOS'!AH41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1"/>
        <v>0</v>
      </c>
    </row>
    <row r="42" spans="2:51" s="158" customFormat="1">
      <c r="B42" s="360" t="str">
        <f>IF('t-1 DUOS'!B42="","",'t-1 DUOS'!B42)</f>
        <v/>
      </c>
      <c r="C42" s="220"/>
      <c r="D42" s="547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621"/>
      <c r="R42" s="549"/>
      <c r="T42" s="396">
        <f>'t-1 DUOS'!T42</f>
        <v>0</v>
      </c>
      <c r="U42" s="397">
        <f>'t-1 DUOS'!U42</f>
        <v>0</v>
      </c>
      <c r="V42" s="397">
        <f>'t-1 DUOS'!V42</f>
        <v>0</v>
      </c>
      <c r="W42" s="397">
        <f>'t-1 DUOS'!W42</f>
        <v>0</v>
      </c>
      <c r="X42" s="397">
        <f>'t-1 DUOS'!X42</f>
        <v>0</v>
      </c>
      <c r="Y42" s="397">
        <f>'t-1 DUOS'!Y42</f>
        <v>0</v>
      </c>
      <c r="Z42" s="397">
        <f>'t-1 DUOS'!Z42</f>
        <v>0</v>
      </c>
      <c r="AA42" s="397">
        <f>'t-1 DUOS'!AA42</f>
        <v>0</v>
      </c>
      <c r="AB42" s="397">
        <f>'t-1 DUOS'!AB42</f>
        <v>0</v>
      </c>
      <c r="AC42" s="397">
        <f>'t-1 DUOS'!AC42</f>
        <v>0</v>
      </c>
      <c r="AD42" s="397">
        <f>'t-1 DUOS'!AD42</f>
        <v>0</v>
      </c>
      <c r="AE42" s="397">
        <f>'t-1 DUOS'!AE42</f>
        <v>0</v>
      </c>
      <c r="AF42" s="397">
        <f>'t-1 DUOS'!AF42</f>
        <v>0</v>
      </c>
      <c r="AG42" s="631">
        <f>'t-1 DUOS'!AG42</f>
        <v>0</v>
      </c>
      <c r="AH42" s="398">
        <f>'t-1 DUOS'!AH42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1"/>
        <v>0</v>
      </c>
    </row>
    <row r="43" spans="2:51" s="158" customFormat="1">
      <c r="B43" s="360" t="str">
        <f>IF('t-1 DUOS'!B43="","",'t-1 DUOS'!B43)</f>
        <v/>
      </c>
      <c r="C43" s="220"/>
      <c r="D43" s="547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621"/>
      <c r="R43" s="549"/>
      <c r="T43" s="396">
        <f>'t-1 DUOS'!T43</f>
        <v>0</v>
      </c>
      <c r="U43" s="397">
        <f>'t-1 DUOS'!U43</f>
        <v>0</v>
      </c>
      <c r="V43" s="397">
        <f>'t-1 DUOS'!V43</f>
        <v>0</v>
      </c>
      <c r="W43" s="397">
        <f>'t-1 DUOS'!W43</f>
        <v>0</v>
      </c>
      <c r="X43" s="397">
        <f>'t-1 DUOS'!X43</f>
        <v>0</v>
      </c>
      <c r="Y43" s="397">
        <f>'t-1 DUOS'!Y43</f>
        <v>0</v>
      </c>
      <c r="Z43" s="397">
        <f>'t-1 DUOS'!Z43</f>
        <v>0</v>
      </c>
      <c r="AA43" s="397">
        <f>'t-1 DUOS'!AA43</f>
        <v>0</v>
      </c>
      <c r="AB43" s="397">
        <f>'t-1 DUOS'!AB43</f>
        <v>0</v>
      </c>
      <c r="AC43" s="397">
        <f>'t-1 DUOS'!AC43</f>
        <v>0</v>
      </c>
      <c r="AD43" s="397">
        <f>'t-1 DUOS'!AD43</f>
        <v>0</v>
      </c>
      <c r="AE43" s="397">
        <f>'t-1 DUOS'!AE43</f>
        <v>0</v>
      </c>
      <c r="AF43" s="397">
        <f>'t-1 DUOS'!AF43</f>
        <v>0</v>
      </c>
      <c r="AG43" s="631">
        <f>'t-1 DUOS'!AG43</f>
        <v>0</v>
      </c>
      <c r="AH43" s="398">
        <f>'t-1 DUOS'!AH43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1"/>
        <v>0</v>
      </c>
    </row>
    <row r="44" spans="2:51" s="158" customFormat="1">
      <c r="B44" s="360" t="str">
        <f>IF('t-1 DUOS'!B44="","",'t-1 DUOS'!B44)</f>
        <v/>
      </c>
      <c r="C44" s="220"/>
      <c r="D44" s="547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621"/>
      <c r="R44" s="549"/>
      <c r="T44" s="396">
        <f>'t-1 DUOS'!T44</f>
        <v>0</v>
      </c>
      <c r="U44" s="397">
        <f>'t-1 DUOS'!U44</f>
        <v>0</v>
      </c>
      <c r="V44" s="397">
        <f>'t-1 DUOS'!V44</f>
        <v>0</v>
      </c>
      <c r="W44" s="397">
        <f>'t-1 DUOS'!W44</f>
        <v>0</v>
      </c>
      <c r="X44" s="397">
        <f>'t-1 DUOS'!X44</f>
        <v>0</v>
      </c>
      <c r="Y44" s="397">
        <f>'t-1 DUOS'!Y44</f>
        <v>0</v>
      </c>
      <c r="Z44" s="397">
        <f>'t-1 DUOS'!Z44</f>
        <v>0</v>
      </c>
      <c r="AA44" s="397">
        <f>'t-1 DUOS'!AA44</f>
        <v>0</v>
      </c>
      <c r="AB44" s="397">
        <f>'t-1 DUOS'!AB44</f>
        <v>0</v>
      </c>
      <c r="AC44" s="397">
        <f>'t-1 DUOS'!AC44</f>
        <v>0</v>
      </c>
      <c r="AD44" s="397">
        <f>'t-1 DUOS'!AD44</f>
        <v>0</v>
      </c>
      <c r="AE44" s="397">
        <f>'t-1 DUOS'!AE44</f>
        <v>0</v>
      </c>
      <c r="AF44" s="397">
        <f>'t-1 DUOS'!AF44</f>
        <v>0</v>
      </c>
      <c r="AG44" s="631">
        <f>'t-1 DUOS'!AG44</f>
        <v>0</v>
      </c>
      <c r="AH44" s="398">
        <f>'t-1 DUOS'!AH44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1"/>
        <v>0</v>
      </c>
    </row>
    <row r="45" spans="2:51" s="158" customFormat="1">
      <c r="B45" s="360" t="str">
        <f>IF('t-1 DUOS'!B45="","",'t-1 DUOS'!B45)</f>
        <v/>
      </c>
      <c r="C45" s="220"/>
      <c r="D45" s="547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621"/>
      <c r="R45" s="549"/>
      <c r="T45" s="396">
        <f>'t-1 DUOS'!T45</f>
        <v>0</v>
      </c>
      <c r="U45" s="397">
        <f>'t-1 DUOS'!U45</f>
        <v>0</v>
      </c>
      <c r="V45" s="397">
        <f>'t-1 DUOS'!V45</f>
        <v>0</v>
      </c>
      <c r="W45" s="397">
        <f>'t-1 DUOS'!W45</f>
        <v>0</v>
      </c>
      <c r="X45" s="397">
        <f>'t-1 DUOS'!X45</f>
        <v>0</v>
      </c>
      <c r="Y45" s="397">
        <f>'t-1 DUOS'!Y45</f>
        <v>0</v>
      </c>
      <c r="Z45" s="397">
        <f>'t-1 DUOS'!Z45</f>
        <v>0</v>
      </c>
      <c r="AA45" s="397">
        <f>'t-1 DUOS'!AA45</f>
        <v>0</v>
      </c>
      <c r="AB45" s="397">
        <f>'t-1 DUOS'!AB45</f>
        <v>0</v>
      </c>
      <c r="AC45" s="397">
        <f>'t-1 DUOS'!AC45</f>
        <v>0</v>
      </c>
      <c r="AD45" s="397">
        <f>'t-1 DUOS'!AD45</f>
        <v>0</v>
      </c>
      <c r="AE45" s="397">
        <f>'t-1 DUOS'!AE45</f>
        <v>0</v>
      </c>
      <c r="AF45" s="397">
        <f>'t-1 DUOS'!AF45</f>
        <v>0</v>
      </c>
      <c r="AG45" s="631">
        <f>'t-1 DUOS'!AG45</f>
        <v>0</v>
      </c>
      <c r="AH45" s="398">
        <f>'t-1 DUOS'!AH45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1"/>
        <v>0</v>
      </c>
    </row>
    <row r="46" spans="2:51" s="158" customFormat="1">
      <c r="B46" s="360" t="str">
        <f>IF('t-1 DUOS'!B46="","",'t-1 DUOS'!B46)</f>
        <v/>
      </c>
      <c r="C46" s="220"/>
      <c r="D46" s="547"/>
      <c r="E46" s="548"/>
      <c r="F46" s="548"/>
      <c r="G46" s="548"/>
      <c r="H46" s="548"/>
      <c r="I46" s="548"/>
      <c r="J46" s="548"/>
      <c r="K46" s="548"/>
      <c r="L46" s="548"/>
      <c r="M46" s="548"/>
      <c r="N46" s="548"/>
      <c r="O46" s="548"/>
      <c r="P46" s="548"/>
      <c r="Q46" s="621"/>
      <c r="R46" s="549"/>
      <c r="T46" s="396">
        <f>'t-1 DUOS'!T46</f>
        <v>0</v>
      </c>
      <c r="U46" s="397">
        <f>'t-1 DUOS'!U46</f>
        <v>0</v>
      </c>
      <c r="V46" s="397">
        <f>'t-1 DUOS'!V46</f>
        <v>0</v>
      </c>
      <c r="W46" s="397">
        <f>'t-1 DUOS'!W46</f>
        <v>0</v>
      </c>
      <c r="X46" s="397">
        <f>'t-1 DUOS'!X46</f>
        <v>0</v>
      </c>
      <c r="Y46" s="397">
        <f>'t-1 DUOS'!Y46</f>
        <v>0</v>
      </c>
      <c r="Z46" s="397">
        <f>'t-1 DUOS'!Z46</f>
        <v>0</v>
      </c>
      <c r="AA46" s="397">
        <f>'t-1 DUOS'!AA46</f>
        <v>0</v>
      </c>
      <c r="AB46" s="397">
        <f>'t-1 DUOS'!AB46</f>
        <v>0</v>
      </c>
      <c r="AC46" s="397">
        <f>'t-1 DUOS'!AC46</f>
        <v>0</v>
      </c>
      <c r="AD46" s="397">
        <f>'t-1 DUOS'!AD46</f>
        <v>0</v>
      </c>
      <c r="AE46" s="397">
        <f>'t-1 DUOS'!AE46</f>
        <v>0</v>
      </c>
      <c r="AF46" s="397">
        <f>'t-1 DUOS'!AF46</f>
        <v>0</v>
      </c>
      <c r="AG46" s="631">
        <f>'t-1 DUOS'!AG46</f>
        <v>0</v>
      </c>
      <c r="AH46" s="398">
        <f>'t-1 DUOS'!AH46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1"/>
        <v>0</v>
      </c>
    </row>
    <row r="47" spans="2:51" s="158" customFormat="1">
      <c r="B47" s="360" t="str">
        <f>IF('t-1 DUOS'!B47="","",'t-1 DUOS'!B47)</f>
        <v/>
      </c>
      <c r="C47" s="220"/>
      <c r="D47" s="547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621"/>
      <c r="R47" s="549"/>
      <c r="T47" s="396">
        <f>'t-1 DUOS'!T47</f>
        <v>0</v>
      </c>
      <c r="U47" s="397">
        <f>'t-1 DUOS'!U47</f>
        <v>0</v>
      </c>
      <c r="V47" s="397">
        <f>'t-1 DUOS'!V47</f>
        <v>0</v>
      </c>
      <c r="W47" s="397">
        <f>'t-1 DUOS'!W47</f>
        <v>0</v>
      </c>
      <c r="X47" s="397">
        <f>'t-1 DUOS'!X47</f>
        <v>0</v>
      </c>
      <c r="Y47" s="397">
        <f>'t-1 DUOS'!Y47</f>
        <v>0</v>
      </c>
      <c r="Z47" s="397">
        <f>'t-1 DUOS'!Z47</f>
        <v>0</v>
      </c>
      <c r="AA47" s="397">
        <f>'t-1 DUOS'!AA47</f>
        <v>0</v>
      </c>
      <c r="AB47" s="397">
        <f>'t-1 DUOS'!AB47</f>
        <v>0</v>
      </c>
      <c r="AC47" s="397">
        <f>'t-1 DUOS'!AC47</f>
        <v>0</v>
      </c>
      <c r="AD47" s="397">
        <f>'t-1 DUOS'!AD47</f>
        <v>0</v>
      </c>
      <c r="AE47" s="397">
        <f>'t-1 DUOS'!AE47</f>
        <v>0</v>
      </c>
      <c r="AF47" s="397">
        <f>'t-1 DUOS'!AF47</f>
        <v>0</v>
      </c>
      <c r="AG47" s="631">
        <f>'t-1 DUOS'!AG47</f>
        <v>0</v>
      </c>
      <c r="AH47" s="398">
        <f>'t-1 DUOS'!AH47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1"/>
        <v>0</v>
      </c>
    </row>
    <row r="48" spans="2:51" s="158" customFormat="1">
      <c r="B48" s="360" t="str">
        <f>IF('t-1 DUOS'!B48="","",'t-1 DUOS'!B48)</f>
        <v/>
      </c>
      <c r="C48" s="220"/>
      <c r="D48" s="547"/>
      <c r="E48" s="548"/>
      <c r="F48" s="548"/>
      <c r="G48" s="548"/>
      <c r="H48" s="548"/>
      <c r="I48" s="548"/>
      <c r="J48" s="548"/>
      <c r="K48" s="548"/>
      <c r="L48" s="548"/>
      <c r="M48" s="548"/>
      <c r="N48" s="548"/>
      <c r="O48" s="548"/>
      <c r="P48" s="548"/>
      <c r="Q48" s="621"/>
      <c r="R48" s="549"/>
      <c r="T48" s="396">
        <f>'t-1 DUOS'!T48</f>
        <v>0</v>
      </c>
      <c r="U48" s="397">
        <f>'t-1 DUOS'!U48</f>
        <v>0</v>
      </c>
      <c r="V48" s="397">
        <f>'t-1 DUOS'!V48</f>
        <v>0</v>
      </c>
      <c r="W48" s="397">
        <f>'t-1 DUOS'!W48</f>
        <v>0</v>
      </c>
      <c r="X48" s="397">
        <f>'t-1 DUOS'!X48</f>
        <v>0</v>
      </c>
      <c r="Y48" s="397">
        <f>'t-1 DUOS'!Y48</f>
        <v>0</v>
      </c>
      <c r="Z48" s="397">
        <f>'t-1 DUOS'!Z48</f>
        <v>0</v>
      </c>
      <c r="AA48" s="397">
        <f>'t-1 DUOS'!AA48</f>
        <v>0</v>
      </c>
      <c r="AB48" s="397">
        <f>'t-1 DUOS'!AB48</f>
        <v>0</v>
      </c>
      <c r="AC48" s="397">
        <f>'t-1 DUOS'!AC48</f>
        <v>0</v>
      </c>
      <c r="AD48" s="397">
        <f>'t-1 DUOS'!AD48</f>
        <v>0</v>
      </c>
      <c r="AE48" s="397">
        <f>'t-1 DUOS'!AE48</f>
        <v>0</v>
      </c>
      <c r="AF48" s="397">
        <f>'t-1 DUOS'!AF48</f>
        <v>0</v>
      </c>
      <c r="AG48" s="631">
        <f>'t-1 DUOS'!AG48</f>
        <v>0</v>
      </c>
      <c r="AH48" s="398">
        <f>'t-1 DUOS'!AH48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1"/>
        <v>0</v>
      </c>
    </row>
    <row r="49" spans="2:51" s="158" customFormat="1">
      <c r="B49" s="360" t="str">
        <f>IF('t-1 DUOS'!B49="","",'t-1 DUOS'!B49)</f>
        <v/>
      </c>
      <c r="C49" s="220"/>
      <c r="D49" s="547"/>
      <c r="E49" s="548"/>
      <c r="F49" s="548"/>
      <c r="G49" s="548"/>
      <c r="H49" s="548"/>
      <c r="I49" s="548"/>
      <c r="J49" s="548"/>
      <c r="K49" s="548"/>
      <c r="L49" s="548"/>
      <c r="M49" s="548"/>
      <c r="N49" s="548"/>
      <c r="O49" s="548"/>
      <c r="P49" s="548"/>
      <c r="Q49" s="621"/>
      <c r="R49" s="549"/>
      <c r="T49" s="396">
        <f>'t-1 DUOS'!T49</f>
        <v>0</v>
      </c>
      <c r="U49" s="397">
        <f>'t-1 DUOS'!U49</f>
        <v>0</v>
      </c>
      <c r="V49" s="397">
        <f>'t-1 DUOS'!V49</f>
        <v>0</v>
      </c>
      <c r="W49" s="397">
        <f>'t-1 DUOS'!W49</f>
        <v>0</v>
      </c>
      <c r="X49" s="397">
        <f>'t-1 DUOS'!X49</f>
        <v>0</v>
      </c>
      <c r="Y49" s="397">
        <f>'t-1 DUOS'!Y49</f>
        <v>0</v>
      </c>
      <c r="Z49" s="397">
        <f>'t-1 DUOS'!Z49</f>
        <v>0</v>
      </c>
      <c r="AA49" s="397">
        <f>'t-1 DUOS'!AA49</f>
        <v>0</v>
      </c>
      <c r="AB49" s="397">
        <f>'t-1 DUOS'!AB49</f>
        <v>0</v>
      </c>
      <c r="AC49" s="397">
        <f>'t-1 DUOS'!AC49</f>
        <v>0</v>
      </c>
      <c r="AD49" s="397">
        <f>'t-1 DUOS'!AD49</f>
        <v>0</v>
      </c>
      <c r="AE49" s="397">
        <f>'t-1 DUOS'!AE49</f>
        <v>0</v>
      </c>
      <c r="AF49" s="397">
        <f>'t-1 DUOS'!AF49</f>
        <v>0</v>
      </c>
      <c r="AG49" s="631">
        <f>'t-1 DUOS'!AG49</f>
        <v>0</v>
      </c>
      <c r="AH49" s="398">
        <f>'t-1 DUOS'!AH49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1"/>
        <v>0</v>
      </c>
    </row>
    <row r="50" spans="2:51" s="158" customFormat="1">
      <c r="B50" s="360" t="str">
        <f>IF('t-1 DUOS'!B50="","",'t-1 DUOS'!B50)</f>
        <v/>
      </c>
      <c r="C50" s="220"/>
      <c r="D50" s="547"/>
      <c r="E50" s="548"/>
      <c r="F50" s="548"/>
      <c r="G50" s="548"/>
      <c r="H50" s="548"/>
      <c r="I50" s="548"/>
      <c r="J50" s="548"/>
      <c r="K50" s="548"/>
      <c r="L50" s="548"/>
      <c r="M50" s="548"/>
      <c r="N50" s="548"/>
      <c r="O50" s="548"/>
      <c r="P50" s="548"/>
      <c r="Q50" s="621"/>
      <c r="R50" s="549"/>
      <c r="T50" s="396">
        <f>'t-1 DUOS'!T50</f>
        <v>0</v>
      </c>
      <c r="U50" s="397">
        <f>'t-1 DUOS'!U50</f>
        <v>0</v>
      </c>
      <c r="V50" s="397">
        <f>'t-1 DUOS'!V50</f>
        <v>0</v>
      </c>
      <c r="W50" s="397">
        <f>'t-1 DUOS'!W50</f>
        <v>0</v>
      </c>
      <c r="X50" s="397">
        <f>'t-1 DUOS'!X50</f>
        <v>0</v>
      </c>
      <c r="Y50" s="397">
        <f>'t-1 DUOS'!Y50</f>
        <v>0</v>
      </c>
      <c r="Z50" s="397">
        <f>'t-1 DUOS'!Z50</f>
        <v>0</v>
      </c>
      <c r="AA50" s="397">
        <f>'t-1 DUOS'!AA50</f>
        <v>0</v>
      </c>
      <c r="AB50" s="397">
        <f>'t-1 DUOS'!AB50</f>
        <v>0</v>
      </c>
      <c r="AC50" s="397">
        <f>'t-1 DUOS'!AC50</f>
        <v>0</v>
      </c>
      <c r="AD50" s="397">
        <f>'t-1 DUOS'!AD50</f>
        <v>0</v>
      </c>
      <c r="AE50" s="397">
        <f>'t-1 DUOS'!AE50</f>
        <v>0</v>
      </c>
      <c r="AF50" s="397">
        <f>'t-1 DUOS'!AF50</f>
        <v>0</v>
      </c>
      <c r="AG50" s="631">
        <f>'t-1 DUOS'!AG50</f>
        <v>0</v>
      </c>
      <c r="AH50" s="398">
        <f>'t-1 DUOS'!AH50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1"/>
        <v>0</v>
      </c>
    </row>
    <row r="51" spans="2:51" s="158" customFormat="1">
      <c r="B51" s="360" t="str">
        <f>IF('t-1 DUOS'!B51="","",'t-1 DUOS'!B51)</f>
        <v/>
      </c>
      <c r="C51" s="220"/>
      <c r="D51" s="547"/>
      <c r="E51" s="548"/>
      <c r="F51" s="548"/>
      <c r="G51" s="548"/>
      <c r="H51" s="548"/>
      <c r="I51" s="548"/>
      <c r="J51" s="548"/>
      <c r="K51" s="548"/>
      <c r="L51" s="548"/>
      <c r="M51" s="548"/>
      <c r="N51" s="548"/>
      <c r="O51" s="548"/>
      <c r="P51" s="548"/>
      <c r="Q51" s="621"/>
      <c r="R51" s="549"/>
      <c r="T51" s="396">
        <f>'t-1 DUOS'!T51</f>
        <v>0</v>
      </c>
      <c r="U51" s="397">
        <f>'t-1 DUOS'!U51</f>
        <v>0</v>
      </c>
      <c r="V51" s="397">
        <f>'t-1 DUOS'!V51</f>
        <v>0</v>
      </c>
      <c r="W51" s="397">
        <f>'t-1 DUOS'!W51</f>
        <v>0</v>
      </c>
      <c r="X51" s="397">
        <f>'t-1 DUOS'!X51</f>
        <v>0</v>
      </c>
      <c r="Y51" s="397">
        <f>'t-1 DUOS'!Y51</f>
        <v>0</v>
      </c>
      <c r="Z51" s="397">
        <f>'t-1 DUOS'!Z51</f>
        <v>0</v>
      </c>
      <c r="AA51" s="397">
        <f>'t-1 DUOS'!AA51</f>
        <v>0</v>
      </c>
      <c r="AB51" s="397">
        <f>'t-1 DUOS'!AB51</f>
        <v>0</v>
      </c>
      <c r="AC51" s="397">
        <f>'t-1 DUOS'!AC51</f>
        <v>0</v>
      </c>
      <c r="AD51" s="397">
        <f>'t-1 DUOS'!AD51</f>
        <v>0</v>
      </c>
      <c r="AE51" s="397">
        <f>'t-1 DUOS'!AE51</f>
        <v>0</v>
      </c>
      <c r="AF51" s="397">
        <f>'t-1 DUOS'!AF51</f>
        <v>0</v>
      </c>
      <c r="AG51" s="631">
        <f>'t-1 DUOS'!AG51</f>
        <v>0</v>
      </c>
      <c r="AH51" s="398">
        <f>'t-1 DUOS'!AH51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1"/>
        <v>0</v>
      </c>
    </row>
    <row r="52" spans="2:51" s="158" customFormat="1">
      <c r="B52" s="360" t="str">
        <f>IF('t-1 DUOS'!B52="","",'t-1 DUOS'!B52)</f>
        <v/>
      </c>
      <c r="C52" s="220"/>
      <c r="D52" s="547"/>
      <c r="E52" s="548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621"/>
      <c r="R52" s="549"/>
      <c r="T52" s="396">
        <f>'t-1 DUOS'!T52</f>
        <v>0</v>
      </c>
      <c r="U52" s="397">
        <f>'t-1 DUOS'!U52</f>
        <v>0</v>
      </c>
      <c r="V52" s="397">
        <f>'t-1 DUOS'!V52</f>
        <v>0</v>
      </c>
      <c r="W52" s="397">
        <f>'t-1 DUOS'!W52</f>
        <v>0</v>
      </c>
      <c r="X52" s="397">
        <f>'t-1 DUOS'!X52</f>
        <v>0</v>
      </c>
      <c r="Y52" s="397">
        <f>'t-1 DUOS'!Y52</f>
        <v>0</v>
      </c>
      <c r="Z52" s="397">
        <f>'t-1 DUOS'!Z52</f>
        <v>0</v>
      </c>
      <c r="AA52" s="397">
        <f>'t-1 DUOS'!AA52</f>
        <v>0</v>
      </c>
      <c r="AB52" s="397">
        <f>'t-1 DUOS'!AB52</f>
        <v>0</v>
      </c>
      <c r="AC52" s="397">
        <f>'t-1 DUOS'!AC52</f>
        <v>0</v>
      </c>
      <c r="AD52" s="397">
        <f>'t-1 DUOS'!AD52</f>
        <v>0</v>
      </c>
      <c r="AE52" s="397">
        <f>'t-1 DUOS'!AE52</f>
        <v>0</v>
      </c>
      <c r="AF52" s="397">
        <f>'t-1 DUOS'!AF52</f>
        <v>0</v>
      </c>
      <c r="AG52" s="631">
        <f>'t-1 DUOS'!AG52</f>
        <v>0</v>
      </c>
      <c r="AH52" s="398">
        <f>'t-1 DUOS'!AH52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1"/>
        <v>0</v>
      </c>
    </row>
    <row r="53" spans="2:51" s="158" customFormat="1">
      <c r="B53" s="360" t="str">
        <f>IF('t-1 DUOS'!B53="","",'t-1 DUOS'!B53)</f>
        <v/>
      </c>
      <c r="C53" s="220"/>
      <c r="D53" s="547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621"/>
      <c r="R53" s="549"/>
      <c r="T53" s="396">
        <f>'t-1 DUOS'!T53</f>
        <v>0</v>
      </c>
      <c r="U53" s="397">
        <f>'t-1 DUOS'!U53</f>
        <v>0</v>
      </c>
      <c r="V53" s="397">
        <f>'t-1 DUOS'!V53</f>
        <v>0</v>
      </c>
      <c r="W53" s="397">
        <f>'t-1 DUOS'!W53</f>
        <v>0</v>
      </c>
      <c r="X53" s="397">
        <f>'t-1 DUOS'!X53</f>
        <v>0</v>
      </c>
      <c r="Y53" s="397">
        <f>'t-1 DUOS'!Y53</f>
        <v>0</v>
      </c>
      <c r="Z53" s="397">
        <f>'t-1 DUOS'!Z53</f>
        <v>0</v>
      </c>
      <c r="AA53" s="397">
        <f>'t-1 DUOS'!AA53</f>
        <v>0</v>
      </c>
      <c r="AB53" s="397">
        <f>'t-1 DUOS'!AB53</f>
        <v>0</v>
      </c>
      <c r="AC53" s="397">
        <f>'t-1 DUOS'!AC53</f>
        <v>0</v>
      </c>
      <c r="AD53" s="397">
        <f>'t-1 DUOS'!AD53</f>
        <v>0</v>
      </c>
      <c r="AE53" s="397">
        <f>'t-1 DUOS'!AE53</f>
        <v>0</v>
      </c>
      <c r="AF53" s="397">
        <f>'t-1 DUOS'!AF53</f>
        <v>0</v>
      </c>
      <c r="AG53" s="631">
        <f>'t-1 DUOS'!AG53</f>
        <v>0</v>
      </c>
      <c r="AH53" s="398">
        <f>'t-1 DUOS'!AH53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1"/>
        <v>0</v>
      </c>
    </row>
    <row r="54" spans="2:51" s="158" customFormat="1">
      <c r="B54" s="360" t="str">
        <f>IF('t-1 DUOS'!B54="","",'t-1 DUOS'!B54)</f>
        <v/>
      </c>
      <c r="C54" s="220"/>
      <c r="D54" s="547"/>
      <c r="E54" s="548"/>
      <c r="F54" s="548"/>
      <c r="G54" s="548"/>
      <c r="H54" s="548"/>
      <c r="I54" s="548"/>
      <c r="J54" s="548"/>
      <c r="K54" s="548"/>
      <c r="L54" s="548"/>
      <c r="M54" s="548"/>
      <c r="N54" s="548"/>
      <c r="O54" s="548"/>
      <c r="P54" s="548"/>
      <c r="Q54" s="621"/>
      <c r="R54" s="549"/>
      <c r="T54" s="396">
        <f>'t-1 DUOS'!T54</f>
        <v>0</v>
      </c>
      <c r="U54" s="397">
        <f>'t-1 DUOS'!U54</f>
        <v>0</v>
      </c>
      <c r="V54" s="397">
        <f>'t-1 DUOS'!V54</f>
        <v>0</v>
      </c>
      <c r="W54" s="397">
        <f>'t-1 DUOS'!W54</f>
        <v>0</v>
      </c>
      <c r="X54" s="397">
        <f>'t-1 DUOS'!X54</f>
        <v>0</v>
      </c>
      <c r="Y54" s="397">
        <f>'t-1 DUOS'!Y54</f>
        <v>0</v>
      </c>
      <c r="Z54" s="397">
        <f>'t-1 DUOS'!Z54</f>
        <v>0</v>
      </c>
      <c r="AA54" s="397">
        <f>'t-1 DUOS'!AA54</f>
        <v>0</v>
      </c>
      <c r="AB54" s="397">
        <f>'t-1 DUOS'!AB54</f>
        <v>0</v>
      </c>
      <c r="AC54" s="397">
        <f>'t-1 DUOS'!AC54</f>
        <v>0</v>
      </c>
      <c r="AD54" s="397">
        <f>'t-1 DUOS'!AD54</f>
        <v>0</v>
      </c>
      <c r="AE54" s="397">
        <f>'t-1 DUOS'!AE54</f>
        <v>0</v>
      </c>
      <c r="AF54" s="397">
        <f>'t-1 DUOS'!AF54</f>
        <v>0</v>
      </c>
      <c r="AG54" s="631">
        <f>'t-1 DUOS'!AG54</f>
        <v>0</v>
      </c>
      <c r="AH54" s="398">
        <f>'t-1 DUOS'!AH54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1"/>
        <v>0</v>
      </c>
    </row>
    <row r="55" spans="2:51" s="158" customFormat="1">
      <c r="B55" s="360" t="str">
        <f>IF('t-1 DUOS'!B55="","",'t-1 DUOS'!B55)</f>
        <v/>
      </c>
      <c r="C55" s="220"/>
      <c r="D55" s="547"/>
      <c r="E55" s="548"/>
      <c r="F55" s="548"/>
      <c r="G55" s="548"/>
      <c r="H55" s="548"/>
      <c r="I55" s="548"/>
      <c r="J55" s="548"/>
      <c r="K55" s="548"/>
      <c r="L55" s="548"/>
      <c r="M55" s="548"/>
      <c r="N55" s="548"/>
      <c r="O55" s="548"/>
      <c r="P55" s="548"/>
      <c r="Q55" s="621"/>
      <c r="R55" s="549"/>
      <c r="T55" s="396">
        <f>'t-1 DUOS'!T55</f>
        <v>0</v>
      </c>
      <c r="U55" s="397">
        <f>'t-1 DUOS'!U55</f>
        <v>0</v>
      </c>
      <c r="V55" s="397">
        <f>'t-1 DUOS'!V55</f>
        <v>0</v>
      </c>
      <c r="W55" s="397">
        <f>'t-1 DUOS'!W55</f>
        <v>0</v>
      </c>
      <c r="X55" s="397">
        <f>'t-1 DUOS'!X55</f>
        <v>0</v>
      </c>
      <c r="Y55" s="397">
        <f>'t-1 DUOS'!Y55</f>
        <v>0</v>
      </c>
      <c r="Z55" s="397">
        <f>'t-1 DUOS'!Z55</f>
        <v>0</v>
      </c>
      <c r="AA55" s="397">
        <f>'t-1 DUOS'!AA55</f>
        <v>0</v>
      </c>
      <c r="AB55" s="397">
        <f>'t-1 DUOS'!AB55</f>
        <v>0</v>
      </c>
      <c r="AC55" s="397">
        <f>'t-1 DUOS'!AC55</f>
        <v>0</v>
      </c>
      <c r="AD55" s="397">
        <f>'t-1 DUOS'!AD55</f>
        <v>0</v>
      </c>
      <c r="AE55" s="397">
        <f>'t-1 DUOS'!AE55</f>
        <v>0</v>
      </c>
      <c r="AF55" s="397">
        <f>'t-1 DUOS'!AF55</f>
        <v>0</v>
      </c>
      <c r="AG55" s="631">
        <f>'t-1 DUOS'!AG55</f>
        <v>0</v>
      </c>
      <c r="AH55" s="398">
        <f>'t-1 DUOS'!AH55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1"/>
        <v>0</v>
      </c>
    </row>
    <row r="56" spans="2:51" s="158" customFormat="1">
      <c r="B56" s="360" t="str">
        <f>IF('t-1 DUOS'!B56="","",'t-1 DUOS'!B56)</f>
        <v/>
      </c>
      <c r="C56" s="220"/>
      <c r="D56" s="547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621"/>
      <c r="R56" s="549"/>
      <c r="T56" s="396">
        <f>'t-1 DUOS'!T56</f>
        <v>0</v>
      </c>
      <c r="U56" s="397">
        <f>'t-1 DUOS'!U56</f>
        <v>0</v>
      </c>
      <c r="V56" s="397">
        <f>'t-1 DUOS'!V56</f>
        <v>0</v>
      </c>
      <c r="W56" s="397">
        <f>'t-1 DUOS'!W56</f>
        <v>0</v>
      </c>
      <c r="X56" s="397">
        <f>'t-1 DUOS'!X56</f>
        <v>0</v>
      </c>
      <c r="Y56" s="397">
        <f>'t-1 DUOS'!Y56</f>
        <v>0</v>
      </c>
      <c r="Z56" s="397">
        <f>'t-1 DUOS'!Z56</f>
        <v>0</v>
      </c>
      <c r="AA56" s="397">
        <f>'t-1 DUOS'!AA56</f>
        <v>0</v>
      </c>
      <c r="AB56" s="397">
        <f>'t-1 DUOS'!AB56</f>
        <v>0</v>
      </c>
      <c r="AC56" s="397">
        <f>'t-1 DUOS'!AC56</f>
        <v>0</v>
      </c>
      <c r="AD56" s="397">
        <f>'t-1 DUOS'!AD56</f>
        <v>0</v>
      </c>
      <c r="AE56" s="397">
        <f>'t-1 DUOS'!AE56</f>
        <v>0</v>
      </c>
      <c r="AF56" s="397">
        <f>'t-1 DUOS'!AF56</f>
        <v>0</v>
      </c>
      <c r="AG56" s="631">
        <f>'t-1 DUOS'!AG56</f>
        <v>0</v>
      </c>
      <c r="AH56" s="398">
        <f>'t-1 DUOS'!AH56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1"/>
        <v>0</v>
      </c>
    </row>
    <row r="57" spans="2:51" s="158" customFormat="1">
      <c r="B57" s="360" t="str">
        <f>IF('t-1 DUOS'!B57="","",'t-1 DUOS'!B57)</f>
        <v/>
      </c>
      <c r="C57" s="220"/>
      <c r="D57" s="547"/>
      <c r="E57" s="548"/>
      <c r="F57" s="548"/>
      <c r="G57" s="548"/>
      <c r="H57" s="548"/>
      <c r="I57" s="548"/>
      <c r="J57" s="548"/>
      <c r="K57" s="548"/>
      <c r="L57" s="548"/>
      <c r="M57" s="548"/>
      <c r="N57" s="548"/>
      <c r="O57" s="548"/>
      <c r="P57" s="548"/>
      <c r="Q57" s="621"/>
      <c r="R57" s="549"/>
      <c r="T57" s="396">
        <f>'t-1 DUOS'!T57</f>
        <v>0</v>
      </c>
      <c r="U57" s="397">
        <f>'t-1 DUOS'!U57</f>
        <v>0</v>
      </c>
      <c r="V57" s="397">
        <f>'t-1 DUOS'!V57</f>
        <v>0</v>
      </c>
      <c r="W57" s="397">
        <f>'t-1 DUOS'!W57</f>
        <v>0</v>
      </c>
      <c r="X57" s="397">
        <f>'t-1 DUOS'!X57</f>
        <v>0</v>
      </c>
      <c r="Y57" s="397">
        <f>'t-1 DUOS'!Y57</f>
        <v>0</v>
      </c>
      <c r="Z57" s="397">
        <f>'t-1 DUOS'!Z57</f>
        <v>0</v>
      </c>
      <c r="AA57" s="397">
        <f>'t-1 DUOS'!AA57</f>
        <v>0</v>
      </c>
      <c r="AB57" s="397">
        <f>'t-1 DUOS'!AB57</f>
        <v>0</v>
      </c>
      <c r="AC57" s="397">
        <f>'t-1 DUOS'!AC57</f>
        <v>0</v>
      </c>
      <c r="AD57" s="397">
        <f>'t-1 DUOS'!AD57</f>
        <v>0</v>
      </c>
      <c r="AE57" s="397">
        <f>'t-1 DUOS'!AE57</f>
        <v>0</v>
      </c>
      <c r="AF57" s="397">
        <f>'t-1 DUOS'!AF57</f>
        <v>0</v>
      </c>
      <c r="AG57" s="631">
        <f>'t-1 DUOS'!AG57</f>
        <v>0</v>
      </c>
      <c r="AH57" s="398">
        <f>'t-1 DUOS'!AH57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1"/>
        <v>0</v>
      </c>
    </row>
    <row r="58" spans="2:51" s="158" customFormat="1">
      <c r="B58" s="360" t="str">
        <f>IF('t-1 DUOS'!B58="","",'t-1 DUOS'!B58)</f>
        <v/>
      </c>
      <c r="C58" s="220"/>
      <c r="D58" s="547"/>
      <c r="E58" s="548"/>
      <c r="F58" s="548"/>
      <c r="G58" s="548"/>
      <c r="H58" s="548"/>
      <c r="I58" s="548"/>
      <c r="J58" s="548"/>
      <c r="K58" s="548"/>
      <c r="L58" s="548"/>
      <c r="M58" s="548"/>
      <c r="N58" s="548"/>
      <c r="O58" s="548"/>
      <c r="P58" s="548"/>
      <c r="Q58" s="621"/>
      <c r="R58" s="549"/>
      <c r="T58" s="396">
        <f>'t-1 DUOS'!T58</f>
        <v>0</v>
      </c>
      <c r="U58" s="397">
        <f>'t-1 DUOS'!U58</f>
        <v>0</v>
      </c>
      <c r="V58" s="397">
        <f>'t-1 DUOS'!V58</f>
        <v>0</v>
      </c>
      <c r="W58" s="397">
        <f>'t-1 DUOS'!W58</f>
        <v>0</v>
      </c>
      <c r="X58" s="397">
        <f>'t-1 DUOS'!X58</f>
        <v>0</v>
      </c>
      <c r="Y58" s="397">
        <f>'t-1 DUOS'!Y58</f>
        <v>0</v>
      </c>
      <c r="Z58" s="397">
        <f>'t-1 DUOS'!Z58</f>
        <v>0</v>
      </c>
      <c r="AA58" s="397">
        <f>'t-1 DUOS'!AA58</f>
        <v>0</v>
      </c>
      <c r="AB58" s="397">
        <f>'t-1 DUOS'!AB58</f>
        <v>0</v>
      </c>
      <c r="AC58" s="397">
        <f>'t-1 DUOS'!AC58</f>
        <v>0</v>
      </c>
      <c r="AD58" s="397">
        <f>'t-1 DUOS'!AD58</f>
        <v>0</v>
      </c>
      <c r="AE58" s="397">
        <f>'t-1 DUOS'!AE58</f>
        <v>0</v>
      </c>
      <c r="AF58" s="397">
        <f>'t-1 DUOS'!AF58</f>
        <v>0</v>
      </c>
      <c r="AG58" s="631">
        <f>'t-1 DUOS'!AG58</f>
        <v>0</v>
      </c>
      <c r="AH58" s="398">
        <f>'t-1 DUOS'!AH58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1"/>
        <v>0</v>
      </c>
    </row>
    <row r="59" spans="2:51" s="158" customFormat="1">
      <c r="B59" s="360" t="str">
        <f>IF('t-1 DUOS'!B59="","",'t-1 DUOS'!B59)</f>
        <v/>
      </c>
      <c r="C59" s="220"/>
      <c r="D59" s="553"/>
      <c r="E59" s="554"/>
      <c r="F59" s="554"/>
      <c r="G59" s="554"/>
      <c r="H59" s="554"/>
      <c r="I59" s="554"/>
      <c r="J59" s="554"/>
      <c r="K59" s="554"/>
      <c r="L59" s="554"/>
      <c r="M59" s="554"/>
      <c r="N59" s="554"/>
      <c r="O59" s="554"/>
      <c r="P59" s="554"/>
      <c r="Q59" s="623"/>
      <c r="R59" s="555"/>
      <c r="T59" s="396">
        <f>'t-1 DUOS'!T59</f>
        <v>0</v>
      </c>
      <c r="U59" s="397">
        <f>'t-1 DUOS'!U59</f>
        <v>0</v>
      </c>
      <c r="V59" s="397">
        <f>'t-1 DUOS'!V59</f>
        <v>0</v>
      </c>
      <c r="W59" s="397">
        <f>'t-1 DUOS'!W59</f>
        <v>0</v>
      </c>
      <c r="X59" s="397">
        <f>'t-1 DUOS'!X59</f>
        <v>0</v>
      </c>
      <c r="Y59" s="397">
        <f>'t-1 DUOS'!Y59</f>
        <v>0</v>
      </c>
      <c r="Z59" s="397">
        <f>'t-1 DUOS'!Z59</f>
        <v>0</v>
      </c>
      <c r="AA59" s="397">
        <f>'t-1 DUOS'!AA59</f>
        <v>0</v>
      </c>
      <c r="AB59" s="397">
        <f>'t-1 DUOS'!AB59</f>
        <v>0</v>
      </c>
      <c r="AC59" s="397">
        <f>'t-1 DUOS'!AC59</f>
        <v>0</v>
      </c>
      <c r="AD59" s="397">
        <f>'t-1 DUOS'!AD59</f>
        <v>0</v>
      </c>
      <c r="AE59" s="397">
        <f>'t-1 DUOS'!AE59</f>
        <v>0</v>
      </c>
      <c r="AF59" s="397">
        <f>'t-1 DUOS'!AF59</f>
        <v>0</v>
      </c>
      <c r="AG59" s="631">
        <f>'t-1 DUOS'!AG59</f>
        <v>0</v>
      </c>
      <c r="AH59" s="398">
        <f>'t-1 DUOS'!AH59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60" t="str">
        <f>IF('t-1 DUOS'!B60="","",'t-1 DUOS'!B60)</f>
        <v/>
      </c>
      <c r="C60" s="220"/>
      <c r="D60" s="553"/>
      <c r="E60" s="554"/>
      <c r="F60" s="554"/>
      <c r="G60" s="554"/>
      <c r="H60" s="554"/>
      <c r="I60" s="554"/>
      <c r="J60" s="554"/>
      <c r="K60" s="554"/>
      <c r="L60" s="554"/>
      <c r="M60" s="554"/>
      <c r="N60" s="554"/>
      <c r="O60" s="554"/>
      <c r="P60" s="554"/>
      <c r="Q60" s="623"/>
      <c r="R60" s="555"/>
      <c r="T60" s="396">
        <f>'t-1 DUOS'!T60</f>
        <v>0</v>
      </c>
      <c r="U60" s="397">
        <f>'t-1 DUOS'!U60</f>
        <v>0</v>
      </c>
      <c r="V60" s="397">
        <f>'t-1 DUOS'!V60</f>
        <v>0</v>
      </c>
      <c r="W60" s="397">
        <f>'t-1 DUOS'!W60</f>
        <v>0</v>
      </c>
      <c r="X60" s="397">
        <f>'t-1 DUOS'!X60</f>
        <v>0</v>
      </c>
      <c r="Y60" s="397">
        <f>'t-1 DUOS'!Y60</f>
        <v>0</v>
      </c>
      <c r="Z60" s="397">
        <f>'t-1 DUOS'!Z60</f>
        <v>0</v>
      </c>
      <c r="AA60" s="397">
        <f>'t-1 DUOS'!AA60</f>
        <v>0</v>
      </c>
      <c r="AB60" s="397">
        <f>'t-1 DUOS'!AB60</f>
        <v>0</v>
      </c>
      <c r="AC60" s="397">
        <f>'t-1 DUOS'!AC60</f>
        <v>0</v>
      </c>
      <c r="AD60" s="397">
        <f>'t-1 DUOS'!AD60</f>
        <v>0</v>
      </c>
      <c r="AE60" s="397">
        <f>'t-1 DUOS'!AE60</f>
        <v>0</v>
      </c>
      <c r="AF60" s="397">
        <f>'t-1 DUOS'!AF60</f>
        <v>0</v>
      </c>
      <c r="AG60" s="631">
        <f>'t-1 DUOS'!AG60</f>
        <v>0</v>
      </c>
      <c r="AH60" s="398">
        <f>'t-1 DUOS'!AH60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60" t="str">
        <f>IF('t-1 DUOS'!B61="","",'t-1 DUOS'!B61)</f>
        <v/>
      </c>
      <c r="C61" s="220"/>
      <c r="D61" s="553"/>
      <c r="E61" s="554"/>
      <c r="F61" s="554"/>
      <c r="G61" s="554"/>
      <c r="H61" s="554"/>
      <c r="I61" s="554"/>
      <c r="J61" s="554"/>
      <c r="K61" s="554"/>
      <c r="L61" s="554"/>
      <c r="M61" s="554"/>
      <c r="N61" s="554"/>
      <c r="O61" s="554"/>
      <c r="P61" s="554"/>
      <c r="Q61" s="623"/>
      <c r="R61" s="555"/>
      <c r="T61" s="396">
        <f>'t-1 DUOS'!T61</f>
        <v>0</v>
      </c>
      <c r="U61" s="397">
        <f>'t-1 DUOS'!U61</f>
        <v>0</v>
      </c>
      <c r="V61" s="397">
        <f>'t-1 DUOS'!V61</f>
        <v>0</v>
      </c>
      <c r="W61" s="397">
        <f>'t-1 DUOS'!W61</f>
        <v>0</v>
      </c>
      <c r="X61" s="397">
        <f>'t-1 DUOS'!X61</f>
        <v>0</v>
      </c>
      <c r="Y61" s="397">
        <f>'t-1 DUOS'!Y61</f>
        <v>0</v>
      </c>
      <c r="Z61" s="397">
        <f>'t-1 DUOS'!Z61</f>
        <v>0</v>
      </c>
      <c r="AA61" s="397">
        <f>'t-1 DUOS'!AA61</f>
        <v>0</v>
      </c>
      <c r="AB61" s="397">
        <f>'t-1 DUOS'!AB61</f>
        <v>0</v>
      </c>
      <c r="AC61" s="397">
        <f>'t-1 DUOS'!AC61</f>
        <v>0</v>
      </c>
      <c r="AD61" s="397">
        <f>'t-1 DUOS'!AD61</f>
        <v>0</v>
      </c>
      <c r="AE61" s="397">
        <f>'t-1 DUOS'!AE61</f>
        <v>0</v>
      </c>
      <c r="AF61" s="397">
        <f>'t-1 DUOS'!AF61</f>
        <v>0</v>
      </c>
      <c r="AG61" s="631">
        <f>'t-1 DUOS'!AG61</f>
        <v>0</v>
      </c>
      <c r="AH61" s="398">
        <f>'t-1 DUOS'!AH61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60" t="str">
        <f>IF('t-1 DUOS'!B62="","",'t-1 DUOS'!B62)</f>
        <v/>
      </c>
      <c r="C62" s="220"/>
      <c r="D62" s="553"/>
      <c r="E62" s="554"/>
      <c r="F62" s="554"/>
      <c r="G62" s="554"/>
      <c r="H62" s="554"/>
      <c r="I62" s="554"/>
      <c r="J62" s="554"/>
      <c r="K62" s="554"/>
      <c r="L62" s="554"/>
      <c r="M62" s="554"/>
      <c r="N62" s="554"/>
      <c r="O62" s="554"/>
      <c r="P62" s="554"/>
      <c r="Q62" s="623"/>
      <c r="R62" s="555"/>
      <c r="T62" s="396">
        <f>'t-1 DUOS'!T62</f>
        <v>0</v>
      </c>
      <c r="U62" s="397">
        <f>'t-1 DUOS'!U62</f>
        <v>0</v>
      </c>
      <c r="V62" s="397">
        <f>'t-1 DUOS'!V62</f>
        <v>0</v>
      </c>
      <c r="W62" s="397">
        <f>'t-1 DUOS'!W62</f>
        <v>0</v>
      </c>
      <c r="X62" s="397">
        <f>'t-1 DUOS'!X62</f>
        <v>0</v>
      </c>
      <c r="Y62" s="397">
        <f>'t-1 DUOS'!Y62</f>
        <v>0</v>
      </c>
      <c r="Z62" s="397">
        <f>'t-1 DUOS'!Z62</f>
        <v>0</v>
      </c>
      <c r="AA62" s="397">
        <f>'t-1 DUOS'!AA62</f>
        <v>0</v>
      </c>
      <c r="AB62" s="397">
        <f>'t-1 DUOS'!AB62</f>
        <v>0</v>
      </c>
      <c r="AC62" s="397">
        <f>'t-1 DUOS'!AC62</f>
        <v>0</v>
      </c>
      <c r="AD62" s="397">
        <f>'t-1 DUOS'!AD62</f>
        <v>0</v>
      </c>
      <c r="AE62" s="397">
        <f>'t-1 DUOS'!AE62</f>
        <v>0</v>
      </c>
      <c r="AF62" s="397">
        <f>'t-1 DUOS'!AF62</f>
        <v>0</v>
      </c>
      <c r="AG62" s="631">
        <f>'t-1 DUOS'!AG62</f>
        <v>0</v>
      </c>
      <c r="AH62" s="398">
        <f>'t-1 DUOS'!AH62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60" t="str">
        <f>IF('t-1 DUOS'!B63="","",'t-1 DUOS'!B63)</f>
        <v/>
      </c>
      <c r="C63" s="220"/>
      <c r="D63" s="553"/>
      <c r="E63" s="554"/>
      <c r="F63" s="554"/>
      <c r="G63" s="554"/>
      <c r="H63" s="554"/>
      <c r="I63" s="554"/>
      <c r="J63" s="554"/>
      <c r="K63" s="554"/>
      <c r="L63" s="554"/>
      <c r="M63" s="554"/>
      <c r="N63" s="554"/>
      <c r="O63" s="554"/>
      <c r="P63" s="554"/>
      <c r="Q63" s="623"/>
      <c r="R63" s="555"/>
      <c r="T63" s="396">
        <f>'t-1 DUOS'!T63</f>
        <v>0</v>
      </c>
      <c r="U63" s="397">
        <f>'t-1 DUOS'!U63</f>
        <v>0</v>
      </c>
      <c r="V63" s="397">
        <f>'t-1 DUOS'!V63</f>
        <v>0</v>
      </c>
      <c r="W63" s="397">
        <f>'t-1 DUOS'!W63</f>
        <v>0</v>
      </c>
      <c r="X63" s="397">
        <f>'t-1 DUOS'!X63</f>
        <v>0</v>
      </c>
      <c r="Y63" s="397">
        <f>'t-1 DUOS'!Y63</f>
        <v>0</v>
      </c>
      <c r="Z63" s="397">
        <f>'t-1 DUOS'!Z63</f>
        <v>0</v>
      </c>
      <c r="AA63" s="397">
        <f>'t-1 DUOS'!AA63</f>
        <v>0</v>
      </c>
      <c r="AB63" s="397">
        <f>'t-1 DUOS'!AB63</f>
        <v>0</v>
      </c>
      <c r="AC63" s="397">
        <f>'t-1 DUOS'!AC63</f>
        <v>0</v>
      </c>
      <c r="AD63" s="397">
        <f>'t-1 DUOS'!AD63</f>
        <v>0</v>
      </c>
      <c r="AE63" s="397">
        <f>'t-1 DUOS'!AE63</f>
        <v>0</v>
      </c>
      <c r="AF63" s="397">
        <f>'t-1 DUOS'!AF63</f>
        <v>0</v>
      </c>
      <c r="AG63" s="631">
        <f>'t-1 DUOS'!AG63</f>
        <v>0</v>
      </c>
      <c r="AH63" s="398">
        <f>'t-1 DUOS'!AH63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60" t="str">
        <f>IF('t-1 DUOS'!B64="","",'t-1 DUOS'!B64)</f>
        <v/>
      </c>
      <c r="C64" s="220"/>
      <c r="D64" s="553"/>
      <c r="E64" s="554"/>
      <c r="F64" s="554"/>
      <c r="G64" s="554"/>
      <c r="H64" s="554"/>
      <c r="I64" s="554"/>
      <c r="J64" s="554"/>
      <c r="K64" s="554"/>
      <c r="L64" s="554"/>
      <c r="M64" s="554"/>
      <c r="N64" s="554"/>
      <c r="O64" s="554"/>
      <c r="P64" s="554"/>
      <c r="Q64" s="623"/>
      <c r="R64" s="555"/>
      <c r="T64" s="396">
        <f>'t-1 DUOS'!T64</f>
        <v>0</v>
      </c>
      <c r="U64" s="397">
        <f>'t-1 DUOS'!U64</f>
        <v>0</v>
      </c>
      <c r="V64" s="397">
        <f>'t-1 DUOS'!V64</f>
        <v>0</v>
      </c>
      <c r="W64" s="397">
        <f>'t-1 DUOS'!W64</f>
        <v>0</v>
      </c>
      <c r="X64" s="397">
        <f>'t-1 DUOS'!X64</f>
        <v>0</v>
      </c>
      <c r="Y64" s="397">
        <f>'t-1 DUOS'!Y64</f>
        <v>0</v>
      </c>
      <c r="Z64" s="397">
        <f>'t-1 DUOS'!Z64</f>
        <v>0</v>
      </c>
      <c r="AA64" s="397">
        <f>'t-1 DUOS'!AA64</f>
        <v>0</v>
      </c>
      <c r="AB64" s="397">
        <f>'t-1 DUOS'!AB64</f>
        <v>0</v>
      </c>
      <c r="AC64" s="397">
        <f>'t-1 DUOS'!AC64</f>
        <v>0</v>
      </c>
      <c r="AD64" s="397">
        <f>'t-1 DUOS'!AD64</f>
        <v>0</v>
      </c>
      <c r="AE64" s="397">
        <f>'t-1 DUOS'!AE64</f>
        <v>0</v>
      </c>
      <c r="AF64" s="397">
        <f>'t-1 DUOS'!AF64</f>
        <v>0</v>
      </c>
      <c r="AG64" s="631">
        <f>'t-1 DUOS'!AG64</f>
        <v>0</v>
      </c>
      <c r="AH64" s="398">
        <f>'t-1 DUOS'!AH64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60" t="str">
        <f>IF('t-1 DUOS'!B65="","",'t-1 DUOS'!B65)</f>
        <v/>
      </c>
      <c r="C65" s="220"/>
      <c r="D65" s="553"/>
      <c r="E65" s="554"/>
      <c r="F65" s="554"/>
      <c r="G65" s="554"/>
      <c r="H65" s="554"/>
      <c r="I65" s="554"/>
      <c r="J65" s="554"/>
      <c r="K65" s="554"/>
      <c r="L65" s="554"/>
      <c r="M65" s="554"/>
      <c r="N65" s="554"/>
      <c r="O65" s="554"/>
      <c r="P65" s="554"/>
      <c r="Q65" s="623"/>
      <c r="R65" s="555"/>
      <c r="T65" s="396">
        <f>'t-1 DUOS'!T65</f>
        <v>0</v>
      </c>
      <c r="U65" s="397">
        <f>'t-1 DUOS'!U65</f>
        <v>0</v>
      </c>
      <c r="V65" s="397">
        <f>'t-1 DUOS'!V65</f>
        <v>0</v>
      </c>
      <c r="W65" s="397">
        <f>'t-1 DUOS'!W65</f>
        <v>0</v>
      </c>
      <c r="X65" s="397">
        <f>'t-1 DUOS'!X65</f>
        <v>0</v>
      </c>
      <c r="Y65" s="397">
        <f>'t-1 DUOS'!Y65</f>
        <v>0</v>
      </c>
      <c r="Z65" s="397">
        <f>'t-1 DUOS'!Z65</f>
        <v>0</v>
      </c>
      <c r="AA65" s="397">
        <f>'t-1 DUOS'!AA65</f>
        <v>0</v>
      </c>
      <c r="AB65" s="397">
        <f>'t-1 DUOS'!AB65</f>
        <v>0</v>
      </c>
      <c r="AC65" s="397">
        <f>'t-1 DUOS'!AC65</f>
        <v>0</v>
      </c>
      <c r="AD65" s="397">
        <f>'t-1 DUOS'!AD65</f>
        <v>0</v>
      </c>
      <c r="AE65" s="397">
        <f>'t-1 DUOS'!AE65</f>
        <v>0</v>
      </c>
      <c r="AF65" s="397">
        <f>'t-1 DUOS'!AF65</f>
        <v>0</v>
      </c>
      <c r="AG65" s="631">
        <f>'t-1 DUOS'!AG65</f>
        <v>0</v>
      </c>
      <c r="AH65" s="398">
        <f>'t-1 DUOS'!AH65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62" t="str">
        <f>IF('t-1 DUOS'!B66="","",'t-1 DUOS'!B66)</f>
        <v/>
      </c>
      <c r="C66" s="224"/>
      <c r="D66" s="556"/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557"/>
      <c r="Q66" s="624"/>
      <c r="R66" s="558"/>
      <c r="T66" s="399">
        <f>'t-1 DUOS'!T66</f>
        <v>0</v>
      </c>
      <c r="U66" s="400">
        <f>'t-1 DUOS'!U66</f>
        <v>0</v>
      </c>
      <c r="V66" s="400">
        <f>'t-1 DUOS'!V66</f>
        <v>0</v>
      </c>
      <c r="W66" s="400">
        <f>'t-1 DUOS'!W66</f>
        <v>0</v>
      </c>
      <c r="X66" s="400">
        <f>'t-1 DUOS'!X66</f>
        <v>0</v>
      </c>
      <c r="Y66" s="400">
        <f>'t-1 DUOS'!Y66</f>
        <v>0</v>
      </c>
      <c r="Z66" s="400">
        <f>'t-1 DUOS'!Z66</f>
        <v>0</v>
      </c>
      <c r="AA66" s="400">
        <f>'t-1 DUOS'!AA66</f>
        <v>0</v>
      </c>
      <c r="AB66" s="400">
        <f>'t-1 DUOS'!AB66</f>
        <v>0</v>
      </c>
      <c r="AC66" s="400">
        <f>'t-1 DUOS'!AC66</f>
        <v>0</v>
      </c>
      <c r="AD66" s="400">
        <f>'t-1 DUOS'!AD66</f>
        <v>0</v>
      </c>
      <c r="AE66" s="400">
        <f>'t-1 DUOS'!AE66</f>
        <v>0</v>
      </c>
      <c r="AF66" s="400">
        <f>'t-1 DUOS'!AF66</f>
        <v>0</v>
      </c>
      <c r="AG66" s="632">
        <f>'t-1 DUOS'!AG66</f>
        <v>0</v>
      </c>
      <c r="AH66" s="401">
        <f>'t-1 DUOS'!AH66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T67" s="104">
        <f t="shared" ref="T67:AF67" si="2">SUM(T7:T66)</f>
        <v>766963.09069204866</v>
      </c>
      <c r="U67" s="104">
        <f t="shared" si="2"/>
        <v>665702463.90841091</v>
      </c>
      <c r="V67" s="104">
        <f t="shared" si="2"/>
        <v>9379608.41650513</v>
      </c>
      <c r="W67" s="104">
        <f t="shared" si="2"/>
        <v>593303532.52327466</v>
      </c>
      <c r="X67" s="104">
        <f t="shared" si="2"/>
        <v>738171061.31989205</v>
      </c>
      <c r="Y67" s="104">
        <f t="shared" si="2"/>
        <v>0</v>
      </c>
      <c r="Z67" s="104">
        <f t="shared" si="2"/>
        <v>578055496.1339345</v>
      </c>
      <c r="AA67" s="104">
        <f t="shared" si="2"/>
        <v>1123247601.5772774</v>
      </c>
      <c r="AB67" s="104">
        <f t="shared" ref="AB67" si="3">SUM(AB7:AB66)</f>
        <v>12189854.74420516</v>
      </c>
      <c r="AC67" s="104">
        <f t="shared" si="2"/>
        <v>0</v>
      </c>
      <c r="AD67" s="104">
        <f t="shared" si="2"/>
        <v>1170782.0580771735</v>
      </c>
      <c r="AE67" s="104">
        <f t="shared" si="2"/>
        <v>430049.13928453001</v>
      </c>
      <c r="AF67" s="104">
        <f t="shared" si="2"/>
        <v>112209.30173034966</v>
      </c>
      <c r="AG67" s="104">
        <f t="shared" ref="AG67:AH67" si="4">SUM(AG7:AG66)</f>
        <v>100803.30834531946</v>
      </c>
      <c r="AH67" s="104">
        <f t="shared" si="4"/>
        <v>0</v>
      </c>
      <c r="AJ67" s="104">
        <f t="shared" ref="AJ67:AP67" si="5">SUM(AJ7:AJ66)</f>
        <v>0</v>
      </c>
      <c r="AK67" s="104">
        <f t="shared" si="5"/>
        <v>14487587.70284027</v>
      </c>
      <c r="AL67" s="104">
        <f t="shared" si="5"/>
        <v>327026.58726678917</v>
      </c>
      <c r="AM67" s="104">
        <f t="shared" si="5"/>
        <v>6905592.377442183</v>
      </c>
      <c r="AN67" s="104">
        <f t="shared" si="5"/>
        <v>16045771.176921489</v>
      </c>
      <c r="AO67" s="104">
        <f t="shared" si="5"/>
        <v>0</v>
      </c>
      <c r="AP67" s="104">
        <f t="shared" si="5"/>
        <v>6928281.4631341826</v>
      </c>
      <c r="AQ67" s="104">
        <f t="shared" ref="AQ67:AY67" si="6">SUM(AQ7:AQ66)</f>
        <v>0</v>
      </c>
      <c r="AR67" s="104">
        <f t="shared" ref="AR67" si="7">SUM(AR7:AR66)</f>
        <v>428275.49237957539</v>
      </c>
      <c r="AS67" s="104">
        <f t="shared" si="6"/>
        <v>0</v>
      </c>
      <c r="AT67" s="104">
        <f t="shared" si="6"/>
        <v>10919874.170787387</v>
      </c>
      <c r="AU67" s="104">
        <f t="shared" si="6"/>
        <v>5137065.0770022599</v>
      </c>
      <c r="AV67" s="104">
        <f t="shared" si="6"/>
        <v>2200370.7069026339</v>
      </c>
      <c r="AW67" s="104">
        <f t="shared" ref="AW67:AX67" si="8">SUM(AW7:AW66)</f>
        <v>1316361.2288029406</v>
      </c>
      <c r="AX67" s="104">
        <f t="shared" si="8"/>
        <v>0</v>
      </c>
      <c r="AY67" s="104">
        <f t="shared" si="6"/>
        <v>64696205.983479694</v>
      </c>
    </row>
    <row r="68" spans="2:51" ht="13.5" thickTop="1">
      <c r="B68" s="103"/>
      <c r="C68" s="70"/>
    </row>
    <row r="69" spans="2:51">
      <c r="B69" s="103"/>
      <c r="C69" s="70"/>
      <c r="AC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26" max="6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39997558519241921"/>
  </sheetPr>
  <dimension ref="A2:AD74"/>
  <sheetViews>
    <sheetView showGridLines="0" zoomScale="80" zoomScaleNormal="80" workbookViewId="0">
      <selection activeCell="C30" sqref="C30"/>
    </sheetView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8.140625" style="4" customWidth="1"/>
    <col min="5" max="5" width="61.140625" style="4" customWidth="1"/>
    <col min="6" max="6" width="7" style="4" customWidth="1"/>
    <col min="7" max="8" width="18.140625" style="5" customWidth="1"/>
    <col min="9" max="10" width="18.140625" style="4" customWidth="1"/>
    <col min="11" max="14" width="9.140625" style="4" customWidth="1"/>
    <col min="15" max="18" width="9.140625" style="4"/>
    <col min="19" max="19" width="9.140625" style="4" customWidth="1"/>
    <col min="20" max="253" width="9.140625" style="4"/>
    <col min="254" max="254" width="2.7109375" style="4" customWidth="1"/>
    <col min="255" max="255" width="114.42578125" style="4" customWidth="1"/>
    <col min="256" max="256" width="0" style="4" hidden="1" customWidth="1"/>
    <col min="257" max="257" width="27.5703125" style="4" customWidth="1"/>
    <col min="258" max="258" width="20" style="4" customWidth="1"/>
    <col min="259" max="259" width="18.28515625" style="4" customWidth="1"/>
    <col min="260" max="260" width="20.140625" style="4" customWidth="1"/>
    <col min="261" max="261" width="10.7109375" style="4" customWidth="1"/>
    <col min="262" max="262" width="14.42578125" style="4" bestFit="1" customWidth="1"/>
    <col min="263" max="263" width="10.7109375" style="4" customWidth="1"/>
    <col min="264" max="264" width="12.7109375" style="4" bestFit="1" customWidth="1"/>
    <col min="265" max="267" width="8.42578125" style="4" customWidth="1"/>
    <col min="268" max="270" width="13" style="4" customWidth="1"/>
    <col min="271" max="274" width="9.140625" style="4"/>
    <col min="275" max="275" width="8.7109375" style="4" customWidth="1"/>
    <col min="276" max="509" width="9.140625" style="4"/>
    <col min="510" max="510" width="2.7109375" style="4" customWidth="1"/>
    <col min="511" max="511" width="114.42578125" style="4" customWidth="1"/>
    <col min="512" max="512" width="0" style="4" hidden="1" customWidth="1"/>
    <col min="513" max="513" width="27.5703125" style="4" customWidth="1"/>
    <col min="514" max="514" width="20" style="4" customWidth="1"/>
    <col min="515" max="515" width="18.28515625" style="4" customWidth="1"/>
    <col min="516" max="516" width="20.140625" style="4" customWidth="1"/>
    <col min="517" max="517" width="10.7109375" style="4" customWidth="1"/>
    <col min="518" max="518" width="14.42578125" style="4" bestFit="1" customWidth="1"/>
    <col min="519" max="519" width="10.7109375" style="4" customWidth="1"/>
    <col min="520" max="520" width="12.7109375" style="4" bestFit="1" customWidth="1"/>
    <col min="521" max="523" width="8.42578125" style="4" customWidth="1"/>
    <col min="524" max="526" width="13" style="4" customWidth="1"/>
    <col min="527" max="530" width="9.140625" style="4"/>
    <col min="531" max="531" width="8.7109375" style="4" customWidth="1"/>
    <col min="532" max="765" width="9.140625" style="4"/>
    <col min="766" max="766" width="2.7109375" style="4" customWidth="1"/>
    <col min="767" max="767" width="114.42578125" style="4" customWidth="1"/>
    <col min="768" max="768" width="0" style="4" hidden="1" customWidth="1"/>
    <col min="769" max="769" width="27.5703125" style="4" customWidth="1"/>
    <col min="770" max="770" width="20" style="4" customWidth="1"/>
    <col min="771" max="771" width="18.28515625" style="4" customWidth="1"/>
    <col min="772" max="772" width="20.140625" style="4" customWidth="1"/>
    <col min="773" max="773" width="10.7109375" style="4" customWidth="1"/>
    <col min="774" max="774" width="14.42578125" style="4" bestFit="1" customWidth="1"/>
    <col min="775" max="775" width="10.7109375" style="4" customWidth="1"/>
    <col min="776" max="776" width="12.7109375" style="4" bestFit="1" customWidth="1"/>
    <col min="777" max="779" width="8.42578125" style="4" customWidth="1"/>
    <col min="780" max="782" width="13" style="4" customWidth="1"/>
    <col min="783" max="786" width="9.140625" style="4"/>
    <col min="787" max="787" width="8.7109375" style="4" customWidth="1"/>
    <col min="788" max="1021" width="9.140625" style="4"/>
    <col min="1022" max="1022" width="2.7109375" style="4" customWidth="1"/>
    <col min="1023" max="1023" width="114.42578125" style="4" customWidth="1"/>
    <col min="1024" max="1024" width="0" style="4" hidden="1" customWidth="1"/>
    <col min="1025" max="1025" width="27.5703125" style="4" customWidth="1"/>
    <col min="1026" max="1026" width="20" style="4" customWidth="1"/>
    <col min="1027" max="1027" width="18.28515625" style="4" customWidth="1"/>
    <col min="1028" max="1028" width="20.140625" style="4" customWidth="1"/>
    <col min="1029" max="1029" width="10.7109375" style="4" customWidth="1"/>
    <col min="1030" max="1030" width="14.42578125" style="4" bestFit="1" customWidth="1"/>
    <col min="1031" max="1031" width="10.7109375" style="4" customWidth="1"/>
    <col min="1032" max="1032" width="12.7109375" style="4" bestFit="1" customWidth="1"/>
    <col min="1033" max="1035" width="8.42578125" style="4" customWidth="1"/>
    <col min="1036" max="1038" width="13" style="4" customWidth="1"/>
    <col min="1039" max="1042" width="9.140625" style="4"/>
    <col min="1043" max="1043" width="8.7109375" style="4" customWidth="1"/>
    <col min="1044" max="1277" width="9.140625" style="4"/>
    <col min="1278" max="1278" width="2.7109375" style="4" customWidth="1"/>
    <col min="1279" max="1279" width="114.42578125" style="4" customWidth="1"/>
    <col min="1280" max="1280" width="0" style="4" hidden="1" customWidth="1"/>
    <col min="1281" max="1281" width="27.5703125" style="4" customWidth="1"/>
    <col min="1282" max="1282" width="20" style="4" customWidth="1"/>
    <col min="1283" max="1283" width="18.28515625" style="4" customWidth="1"/>
    <col min="1284" max="1284" width="20.140625" style="4" customWidth="1"/>
    <col min="1285" max="1285" width="10.7109375" style="4" customWidth="1"/>
    <col min="1286" max="1286" width="14.42578125" style="4" bestFit="1" customWidth="1"/>
    <col min="1287" max="1287" width="10.7109375" style="4" customWidth="1"/>
    <col min="1288" max="1288" width="12.7109375" style="4" bestFit="1" customWidth="1"/>
    <col min="1289" max="1291" width="8.42578125" style="4" customWidth="1"/>
    <col min="1292" max="1294" width="13" style="4" customWidth="1"/>
    <col min="1295" max="1298" width="9.140625" style="4"/>
    <col min="1299" max="1299" width="8.7109375" style="4" customWidth="1"/>
    <col min="1300" max="1533" width="9.140625" style="4"/>
    <col min="1534" max="1534" width="2.7109375" style="4" customWidth="1"/>
    <col min="1535" max="1535" width="114.42578125" style="4" customWidth="1"/>
    <col min="1536" max="1536" width="0" style="4" hidden="1" customWidth="1"/>
    <col min="1537" max="1537" width="27.5703125" style="4" customWidth="1"/>
    <col min="1538" max="1538" width="20" style="4" customWidth="1"/>
    <col min="1539" max="1539" width="18.28515625" style="4" customWidth="1"/>
    <col min="1540" max="1540" width="20.140625" style="4" customWidth="1"/>
    <col min="1541" max="1541" width="10.7109375" style="4" customWidth="1"/>
    <col min="1542" max="1542" width="14.42578125" style="4" bestFit="1" customWidth="1"/>
    <col min="1543" max="1543" width="10.7109375" style="4" customWidth="1"/>
    <col min="1544" max="1544" width="12.7109375" style="4" bestFit="1" customWidth="1"/>
    <col min="1545" max="1547" width="8.42578125" style="4" customWidth="1"/>
    <col min="1548" max="1550" width="13" style="4" customWidth="1"/>
    <col min="1551" max="1554" width="9.140625" style="4"/>
    <col min="1555" max="1555" width="8.7109375" style="4" customWidth="1"/>
    <col min="1556" max="1789" width="9.140625" style="4"/>
    <col min="1790" max="1790" width="2.7109375" style="4" customWidth="1"/>
    <col min="1791" max="1791" width="114.42578125" style="4" customWidth="1"/>
    <col min="1792" max="1792" width="0" style="4" hidden="1" customWidth="1"/>
    <col min="1793" max="1793" width="27.5703125" style="4" customWidth="1"/>
    <col min="1794" max="1794" width="20" style="4" customWidth="1"/>
    <col min="1795" max="1795" width="18.28515625" style="4" customWidth="1"/>
    <col min="1796" max="1796" width="20.140625" style="4" customWidth="1"/>
    <col min="1797" max="1797" width="10.7109375" style="4" customWidth="1"/>
    <col min="1798" max="1798" width="14.42578125" style="4" bestFit="1" customWidth="1"/>
    <col min="1799" max="1799" width="10.7109375" style="4" customWidth="1"/>
    <col min="1800" max="1800" width="12.7109375" style="4" bestFit="1" customWidth="1"/>
    <col min="1801" max="1803" width="8.42578125" style="4" customWidth="1"/>
    <col min="1804" max="1806" width="13" style="4" customWidth="1"/>
    <col min="1807" max="1810" width="9.140625" style="4"/>
    <col min="1811" max="1811" width="8.7109375" style="4" customWidth="1"/>
    <col min="1812" max="2045" width="9.140625" style="4"/>
    <col min="2046" max="2046" width="2.7109375" style="4" customWidth="1"/>
    <col min="2047" max="2047" width="114.42578125" style="4" customWidth="1"/>
    <col min="2048" max="2048" width="0" style="4" hidden="1" customWidth="1"/>
    <col min="2049" max="2049" width="27.5703125" style="4" customWidth="1"/>
    <col min="2050" max="2050" width="20" style="4" customWidth="1"/>
    <col min="2051" max="2051" width="18.28515625" style="4" customWidth="1"/>
    <col min="2052" max="2052" width="20.140625" style="4" customWidth="1"/>
    <col min="2053" max="2053" width="10.7109375" style="4" customWidth="1"/>
    <col min="2054" max="2054" width="14.42578125" style="4" bestFit="1" customWidth="1"/>
    <col min="2055" max="2055" width="10.7109375" style="4" customWidth="1"/>
    <col min="2056" max="2056" width="12.7109375" style="4" bestFit="1" customWidth="1"/>
    <col min="2057" max="2059" width="8.42578125" style="4" customWidth="1"/>
    <col min="2060" max="2062" width="13" style="4" customWidth="1"/>
    <col min="2063" max="2066" width="9.140625" style="4"/>
    <col min="2067" max="2067" width="8.7109375" style="4" customWidth="1"/>
    <col min="2068" max="2301" width="9.140625" style="4"/>
    <col min="2302" max="2302" width="2.7109375" style="4" customWidth="1"/>
    <col min="2303" max="2303" width="114.42578125" style="4" customWidth="1"/>
    <col min="2304" max="2304" width="0" style="4" hidden="1" customWidth="1"/>
    <col min="2305" max="2305" width="27.5703125" style="4" customWidth="1"/>
    <col min="2306" max="2306" width="20" style="4" customWidth="1"/>
    <col min="2307" max="2307" width="18.28515625" style="4" customWidth="1"/>
    <col min="2308" max="2308" width="20.140625" style="4" customWidth="1"/>
    <col min="2309" max="2309" width="10.7109375" style="4" customWidth="1"/>
    <col min="2310" max="2310" width="14.42578125" style="4" bestFit="1" customWidth="1"/>
    <col min="2311" max="2311" width="10.7109375" style="4" customWidth="1"/>
    <col min="2312" max="2312" width="12.7109375" style="4" bestFit="1" customWidth="1"/>
    <col min="2313" max="2315" width="8.42578125" style="4" customWidth="1"/>
    <col min="2316" max="2318" width="13" style="4" customWidth="1"/>
    <col min="2319" max="2322" width="9.140625" style="4"/>
    <col min="2323" max="2323" width="8.7109375" style="4" customWidth="1"/>
    <col min="2324" max="2557" width="9.140625" style="4"/>
    <col min="2558" max="2558" width="2.7109375" style="4" customWidth="1"/>
    <col min="2559" max="2559" width="114.42578125" style="4" customWidth="1"/>
    <col min="2560" max="2560" width="0" style="4" hidden="1" customWidth="1"/>
    <col min="2561" max="2561" width="27.5703125" style="4" customWidth="1"/>
    <col min="2562" max="2562" width="20" style="4" customWidth="1"/>
    <col min="2563" max="2563" width="18.28515625" style="4" customWidth="1"/>
    <col min="2564" max="2564" width="20.140625" style="4" customWidth="1"/>
    <col min="2565" max="2565" width="10.7109375" style="4" customWidth="1"/>
    <col min="2566" max="2566" width="14.42578125" style="4" bestFit="1" customWidth="1"/>
    <col min="2567" max="2567" width="10.7109375" style="4" customWidth="1"/>
    <col min="2568" max="2568" width="12.7109375" style="4" bestFit="1" customWidth="1"/>
    <col min="2569" max="2571" width="8.42578125" style="4" customWidth="1"/>
    <col min="2572" max="2574" width="13" style="4" customWidth="1"/>
    <col min="2575" max="2578" width="9.140625" style="4"/>
    <col min="2579" max="2579" width="8.7109375" style="4" customWidth="1"/>
    <col min="2580" max="2813" width="9.140625" style="4"/>
    <col min="2814" max="2814" width="2.7109375" style="4" customWidth="1"/>
    <col min="2815" max="2815" width="114.42578125" style="4" customWidth="1"/>
    <col min="2816" max="2816" width="0" style="4" hidden="1" customWidth="1"/>
    <col min="2817" max="2817" width="27.5703125" style="4" customWidth="1"/>
    <col min="2818" max="2818" width="20" style="4" customWidth="1"/>
    <col min="2819" max="2819" width="18.28515625" style="4" customWidth="1"/>
    <col min="2820" max="2820" width="20.140625" style="4" customWidth="1"/>
    <col min="2821" max="2821" width="10.7109375" style="4" customWidth="1"/>
    <col min="2822" max="2822" width="14.42578125" style="4" bestFit="1" customWidth="1"/>
    <col min="2823" max="2823" width="10.7109375" style="4" customWidth="1"/>
    <col min="2824" max="2824" width="12.7109375" style="4" bestFit="1" customWidth="1"/>
    <col min="2825" max="2827" width="8.42578125" style="4" customWidth="1"/>
    <col min="2828" max="2830" width="13" style="4" customWidth="1"/>
    <col min="2831" max="2834" width="9.140625" style="4"/>
    <col min="2835" max="2835" width="8.7109375" style="4" customWidth="1"/>
    <col min="2836" max="3069" width="9.140625" style="4"/>
    <col min="3070" max="3070" width="2.7109375" style="4" customWidth="1"/>
    <col min="3071" max="3071" width="114.42578125" style="4" customWidth="1"/>
    <col min="3072" max="3072" width="0" style="4" hidden="1" customWidth="1"/>
    <col min="3073" max="3073" width="27.5703125" style="4" customWidth="1"/>
    <col min="3074" max="3074" width="20" style="4" customWidth="1"/>
    <col min="3075" max="3075" width="18.28515625" style="4" customWidth="1"/>
    <col min="3076" max="3076" width="20.140625" style="4" customWidth="1"/>
    <col min="3077" max="3077" width="10.7109375" style="4" customWidth="1"/>
    <col min="3078" max="3078" width="14.42578125" style="4" bestFit="1" customWidth="1"/>
    <col min="3079" max="3079" width="10.7109375" style="4" customWidth="1"/>
    <col min="3080" max="3080" width="12.7109375" style="4" bestFit="1" customWidth="1"/>
    <col min="3081" max="3083" width="8.42578125" style="4" customWidth="1"/>
    <col min="3084" max="3086" width="13" style="4" customWidth="1"/>
    <col min="3087" max="3090" width="9.140625" style="4"/>
    <col min="3091" max="3091" width="8.7109375" style="4" customWidth="1"/>
    <col min="3092" max="3325" width="9.140625" style="4"/>
    <col min="3326" max="3326" width="2.7109375" style="4" customWidth="1"/>
    <col min="3327" max="3327" width="114.42578125" style="4" customWidth="1"/>
    <col min="3328" max="3328" width="0" style="4" hidden="1" customWidth="1"/>
    <col min="3329" max="3329" width="27.5703125" style="4" customWidth="1"/>
    <col min="3330" max="3330" width="20" style="4" customWidth="1"/>
    <col min="3331" max="3331" width="18.28515625" style="4" customWidth="1"/>
    <col min="3332" max="3332" width="20.140625" style="4" customWidth="1"/>
    <col min="3333" max="3333" width="10.7109375" style="4" customWidth="1"/>
    <col min="3334" max="3334" width="14.42578125" style="4" bestFit="1" customWidth="1"/>
    <col min="3335" max="3335" width="10.7109375" style="4" customWidth="1"/>
    <col min="3336" max="3336" width="12.7109375" style="4" bestFit="1" customWidth="1"/>
    <col min="3337" max="3339" width="8.42578125" style="4" customWidth="1"/>
    <col min="3340" max="3342" width="13" style="4" customWidth="1"/>
    <col min="3343" max="3346" width="9.140625" style="4"/>
    <col min="3347" max="3347" width="8.7109375" style="4" customWidth="1"/>
    <col min="3348" max="3581" width="9.140625" style="4"/>
    <col min="3582" max="3582" width="2.7109375" style="4" customWidth="1"/>
    <col min="3583" max="3583" width="114.42578125" style="4" customWidth="1"/>
    <col min="3584" max="3584" width="0" style="4" hidden="1" customWidth="1"/>
    <col min="3585" max="3585" width="27.5703125" style="4" customWidth="1"/>
    <col min="3586" max="3586" width="20" style="4" customWidth="1"/>
    <col min="3587" max="3587" width="18.28515625" style="4" customWidth="1"/>
    <col min="3588" max="3588" width="20.140625" style="4" customWidth="1"/>
    <col min="3589" max="3589" width="10.7109375" style="4" customWidth="1"/>
    <col min="3590" max="3590" width="14.42578125" style="4" bestFit="1" customWidth="1"/>
    <col min="3591" max="3591" width="10.7109375" style="4" customWidth="1"/>
    <col min="3592" max="3592" width="12.7109375" style="4" bestFit="1" customWidth="1"/>
    <col min="3593" max="3595" width="8.42578125" style="4" customWidth="1"/>
    <col min="3596" max="3598" width="13" style="4" customWidth="1"/>
    <col min="3599" max="3602" width="9.140625" style="4"/>
    <col min="3603" max="3603" width="8.7109375" style="4" customWidth="1"/>
    <col min="3604" max="3837" width="9.140625" style="4"/>
    <col min="3838" max="3838" width="2.7109375" style="4" customWidth="1"/>
    <col min="3839" max="3839" width="114.42578125" style="4" customWidth="1"/>
    <col min="3840" max="3840" width="0" style="4" hidden="1" customWidth="1"/>
    <col min="3841" max="3841" width="27.5703125" style="4" customWidth="1"/>
    <col min="3842" max="3842" width="20" style="4" customWidth="1"/>
    <col min="3843" max="3843" width="18.28515625" style="4" customWidth="1"/>
    <col min="3844" max="3844" width="20.140625" style="4" customWidth="1"/>
    <col min="3845" max="3845" width="10.7109375" style="4" customWidth="1"/>
    <col min="3846" max="3846" width="14.42578125" style="4" bestFit="1" customWidth="1"/>
    <col min="3847" max="3847" width="10.7109375" style="4" customWidth="1"/>
    <col min="3848" max="3848" width="12.7109375" style="4" bestFit="1" customWidth="1"/>
    <col min="3849" max="3851" width="8.42578125" style="4" customWidth="1"/>
    <col min="3852" max="3854" width="13" style="4" customWidth="1"/>
    <col min="3855" max="3858" width="9.140625" style="4"/>
    <col min="3859" max="3859" width="8.7109375" style="4" customWidth="1"/>
    <col min="3860" max="4093" width="9.140625" style="4"/>
    <col min="4094" max="4094" width="2.7109375" style="4" customWidth="1"/>
    <col min="4095" max="4095" width="114.42578125" style="4" customWidth="1"/>
    <col min="4096" max="4096" width="0" style="4" hidden="1" customWidth="1"/>
    <col min="4097" max="4097" width="27.5703125" style="4" customWidth="1"/>
    <col min="4098" max="4098" width="20" style="4" customWidth="1"/>
    <col min="4099" max="4099" width="18.28515625" style="4" customWidth="1"/>
    <col min="4100" max="4100" width="20.140625" style="4" customWidth="1"/>
    <col min="4101" max="4101" width="10.7109375" style="4" customWidth="1"/>
    <col min="4102" max="4102" width="14.42578125" style="4" bestFit="1" customWidth="1"/>
    <col min="4103" max="4103" width="10.7109375" style="4" customWidth="1"/>
    <col min="4104" max="4104" width="12.7109375" style="4" bestFit="1" customWidth="1"/>
    <col min="4105" max="4107" width="8.42578125" style="4" customWidth="1"/>
    <col min="4108" max="4110" width="13" style="4" customWidth="1"/>
    <col min="4111" max="4114" width="9.140625" style="4"/>
    <col min="4115" max="4115" width="8.7109375" style="4" customWidth="1"/>
    <col min="4116" max="4349" width="9.140625" style="4"/>
    <col min="4350" max="4350" width="2.7109375" style="4" customWidth="1"/>
    <col min="4351" max="4351" width="114.42578125" style="4" customWidth="1"/>
    <col min="4352" max="4352" width="0" style="4" hidden="1" customWidth="1"/>
    <col min="4353" max="4353" width="27.5703125" style="4" customWidth="1"/>
    <col min="4354" max="4354" width="20" style="4" customWidth="1"/>
    <col min="4355" max="4355" width="18.28515625" style="4" customWidth="1"/>
    <col min="4356" max="4356" width="20.140625" style="4" customWidth="1"/>
    <col min="4357" max="4357" width="10.7109375" style="4" customWidth="1"/>
    <col min="4358" max="4358" width="14.42578125" style="4" bestFit="1" customWidth="1"/>
    <col min="4359" max="4359" width="10.7109375" style="4" customWidth="1"/>
    <col min="4360" max="4360" width="12.7109375" style="4" bestFit="1" customWidth="1"/>
    <col min="4361" max="4363" width="8.42578125" style="4" customWidth="1"/>
    <col min="4364" max="4366" width="13" style="4" customWidth="1"/>
    <col min="4367" max="4370" width="9.140625" style="4"/>
    <col min="4371" max="4371" width="8.7109375" style="4" customWidth="1"/>
    <col min="4372" max="4605" width="9.140625" style="4"/>
    <col min="4606" max="4606" width="2.7109375" style="4" customWidth="1"/>
    <col min="4607" max="4607" width="114.42578125" style="4" customWidth="1"/>
    <col min="4608" max="4608" width="0" style="4" hidden="1" customWidth="1"/>
    <col min="4609" max="4609" width="27.5703125" style="4" customWidth="1"/>
    <col min="4610" max="4610" width="20" style="4" customWidth="1"/>
    <col min="4611" max="4611" width="18.28515625" style="4" customWidth="1"/>
    <col min="4612" max="4612" width="20.140625" style="4" customWidth="1"/>
    <col min="4613" max="4613" width="10.7109375" style="4" customWidth="1"/>
    <col min="4614" max="4614" width="14.42578125" style="4" bestFit="1" customWidth="1"/>
    <col min="4615" max="4615" width="10.7109375" style="4" customWidth="1"/>
    <col min="4616" max="4616" width="12.7109375" style="4" bestFit="1" customWidth="1"/>
    <col min="4617" max="4619" width="8.42578125" style="4" customWidth="1"/>
    <col min="4620" max="4622" width="13" style="4" customWidth="1"/>
    <col min="4623" max="4626" width="9.140625" style="4"/>
    <col min="4627" max="4627" width="8.7109375" style="4" customWidth="1"/>
    <col min="4628" max="4861" width="9.140625" style="4"/>
    <col min="4862" max="4862" width="2.7109375" style="4" customWidth="1"/>
    <col min="4863" max="4863" width="114.42578125" style="4" customWidth="1"/>
    <col min="4864" max="4864" width="0" style="4" hidden="1" customWidth="1"/>
    <col min="4865" max="4865" width="27.5703125" style="4" customWidth="1"/>
    <col min="4866" max="4866" width="20" style="4" customWidth="1"/>
    <col min="4867" max="4867" width="18.28515625" style="4" customWidth="1"/>
    <col min="4868" max="4868" width="20.140625" style="4" customWidth="1"/>
    <col min="4869" max="4869" width="10.7109375" style="4" customWidth="1"/>
    <col min="4870" max="4870" width="14.42578125" style="4" bestFit="1" customWidth="1"/>
    <col min="4871" max="4871" width="10.7109375" style="4" customWidth="1"/>
    <col min="4872" max="4872" width="12.7109375" style="4" bestFit="1" customWidth="1"/>
    <col min="4873" max="4875" width="8.42578125" style="4" customWidth="1"/>
    <col min="4876" max="4878" width="13" style="4" customWidth="1"/>
    <col min="4879" max="4882" width="9.140625" style="4"/>
    <col min="4883" max="4883" width="8.7109375" style="4" customWidth="1"/>
    <col min="4884" max="5117" width="9.140625" style="4"/>
    <col min="5118" max="5118" width="2.7109375" style="4" customWidth="1"/>
    <col min="5119" max="5119" width="114.42578125" style="4" customWidth="1"/>
    <col min="5120" max="5120" width="0" style="4" hidden="1" customWidth="1"/>
    <col min="5121" max="5121" width="27.5703125" style="4" customWidth="1"/>
    <col min="5122" max="5122" width="20" style="4" customWidth="1"/>
    <col min="5123" max="5123" width="18.28515625" style="4" customWidth="1"/>
    <col min="5124" max="5124" width="20.140625" style="4" customWidth="1"/>
    <col min="5125" max="5125" width="10.7109375" style="4" customWidth="1"/>
    <col min="5126" max="5126" width="14.42578125" style="4" bestFit="1" customWidth="1"/>
    <col min="5127" max="5127" width="10.7109375" style="4" customWidth="1"/>
    <col min="5128" max="5128" width="12.7109375" style="4" bestFit="1" customWidth="1"/>
    <col min="5129" max="5131" width="8.42578125" style="4" customWidth="1"/>
    <col min="5132" max="5134" width="13" style="4" customWidth="1"/>
    <col min="5135" max="5138" width="9.140625" style="4"/>
    <col min="5139" max="5139" width="8.7109375" style="4" customWidth="1"/>
    <col min="5140" max="5373" width="9.140625" style="4"/>
    <col min="5374" max="5374" width="2.7109375" style="4" customWidth="1"/>
    <col min="5375" max="5375" width="114.42578125" style="4" customWidth="1"/>
    <col min="5376" max="5376" width="0" style="4" hidden="1" customWidth="1"/>
    <col min="5377" max="5377" width="27.5703125" style="4" customWidth="1"/>
    <col min="5378" max="5378" width="20" style="4" customWidth="1"/>
    <col min="5379" max="5379" width="18.28515625" style="4" customWidth="1"/>
    <col min="5380" max="5380" width="20.140625" style="4" customWidth="1"/>
    <col min="5381" max="5381" width="10.7109375" style="4" customWidth="1"/>
    <col min="5382" max="5382" width="14.42578125" style="4" bestFit="1" customWidth="1"/>
    <col min="5383" max="5383" width="10.7109375" style="4" customWidth="1"/>
    <col min="5384" max="5384" width="12.7109375" style="4" bestFit="1" customWidth="1"/>
    <col min="5385" max="5387" width="8.42578125" style="4" customWidth="1"/>
    <col min="5388" max="5390" width="13" style="4" customWidth="1"/>
    <col min="5391" max="5394" width="9.140625" style="4"/>
    <col min="5395" max="5395" width="8.7109375" style="4" customWidth="1"/>
    <col min="5396" max="5629" width="9.140625" style="4"/>
    <col min="5630" max="5630" width="2.7109375" style="4" customWidth="1"/>
    <col min="5631" max="5631" width="114.42578125" style="4" customWidth="1"/>
    <col min="5632" max="5632" width="0" style="4" hidden="1" customWidth="1"/>
    <col min="5633" max="5633" width="27.5703125" style="4" customWidth="1"/>
    <col min="5634" max="5634" width="20" style="4" customWidth="1"/>
    <col min="5635" max="5635" width="18.28515625" style="4" customWidth="1"/>
    <col min="5636" max="5636" width="20.140625" style="4" customWidth="1"/>
    <col min="5637" max="5637" width="10.7109375" style="4" customWidth="1"/>
    <col min="5638" max="5638" width="14.42578125" style="4" bestFit="1" customWidth="1"/>
    <col min="5639" max="5639" width="10.7109375" style="4" customWidth="1"/>
    <col min="5640" max="5640" width="12.7109375" style="4" bestFit="1" customWidth="1"/>
    <col min="5641" max="5643" width="8.42578125" style="4" customWidth="1"/>
    <col min="5644" max="5646" width="13" style="4" customWidth="1"/>
    <col min="5647" max="5650" width="9.140625" style="4"/>
    <col min="5651" max="5651" width="8.7109375" style="4" customWidth="1"/>
    <col min="5652" max="5885" width="9.140625" style="4"/>
    <col min="5886" max="5886" width="2.7109375" style="4" customWidth="1"/>
    <col min="5887" max="5887" width="114.42578125" style="4" customWidth="1"/>
    <col min="5888" max="5888" width="0" style="4" hidden="1" customWidth="1"/>
    <col min="5889" max="5889" width="27.5703125" style="4" customWidth="1"/>
    <col min="5890" max="5890" width="20" style="4" customWidth="1"/>
    <col min="5891" max="5891" width="18.28515625" style="4" customWidth="1"/>
    <col min="5892" max="5892" width="20.140625" style="4" customWidth="1"/>
    <col min="5893" max="5893" width="10.7109375" style="4" customWidth="1"/>
    <col min="5894" max="5894" width="14.42578125" style="4" bestFit="1" customWidth="1"/>
    <col min="5895" max="5895" width="10.7109375" style="4" customWidth="1"/>
    <col min="5896" max="5896" width="12.7109375" style="4" bestFit="1" customWidth="1"/>
    <col min="5897" max="5899" width="8.42578125" style="4" customWidth="1"/>
    <col min="5900" max="5902" width="13" style="4" customWidth="1"/>
    <col min="5903" max="5906" width="9.140625" style="4"/>
    <col min="5907" max="5907" width="8.7109375" style="4" customWidth="1"/>
    <col min="5908" max="6141" width="9.140625" style="4"/>
    <col min="6142" max="6142" width="2.7109375" style="4" customWidth="1"/>
    <col min="6143" max="6143" width="114.42578125" style="4" customWidth="1"/>
    <col min="6144" max="6144" width="0" style="4" hidden="1" customWidth="1"/>
    <col min="6145" max="6145" width="27.5703125" style="4" customWidth="1"/>
    <col min="6146" max="6146" width="20" style="4" customWidth="1"/>
    <col min="6147" max="6147" width="18.28515625" style="4" customWidth="1"/>
    <col min="6148" max="6148" width="20.140625" style="4" customWidth="1"/>
    <col min="6149" max="6149" width="10.7109375" style="4" customWidth="1"/>
    <col min="6150" max="6150" width="14.42578125" style="4" bestFit="1" customWidth="1"/>
    <col min="6151" max="6151" width="10.7109375" style="4" customWidth="1"/>
    <col min="6152" max="6152" width="12.7109375" style="4" bestFit="1" customWidth="1"/>
    <col min="6153" max="6155" width="8.42578125" style="4" customWidth="1"/>
    <col min="6156" max="6158" width="13" style="4" customWidth="1"/>
    <col min="6159" max="6162" width="9.140625" style="4"/>
    <col min="6163" max="6163" width="8.7109375" style="4" customWidth="1"/>
    <col min="6164" max="6397" width="9.140625" style="4"/>
    <col min="6398" max="6398" width="2.7109375" style="4" customWidth="1"/>
    <col min="6399" max="6399" width="114.42578125" style="4" customWidth="1"/>
    <col min="6400" max="6400" width="0" style="4" hidden="1" customWidth="1"/>
    <col min="6401" max="6401" width="27.5703125" style="4" customWidth="1"/>
    <col min="6402" max="6402" width="20" style="4" customWidth="1"/>
    <col min="6403" max="6403" width="18.28515625" style="4" customWidth="1"/>
    <col min="6404" max="6404" width="20.140625" style="4" customWidth="1"/>
    <col min="6405" max="6405" width="10.7109375" style="4" customWidth="1"/>
    <col min="6406" max="6406" width="14.42578125" style="4" bestFit="1" customWidth="1"/>
    <col min="6407" max="6407" width="10.7109375" style="4" customWidth="1"/>
    <col min="6408" max="6408" width="12.7109375" style="4" bestFit="1" customWidth="1"/>
    <col min="6409" max="6411" width="8.42578125" style="4" customWidth="1"/>
    <col min="6412" max="6414" width="13" style="4" customWidth="1"/>
    <col min="6415" max="6418" width="9.140625" style="4"/>
    <col min="6419" max="6419" width="8.7109375" style="4" customWidth="1"/>
    <col min="6420" max="6653" width="9.140625" style="4"/>
    <col min="6654" max="6654" width="2.7109375" style="4" customWidth="1"/>
    <col min="6655" max="6655" width="114.42578125" style="4" customWidth="1"/>
    <col min="6656" max="6656" width="0" style="4" hidden="1" customWidth="1"/>
    <col min="6657" max="6657" width="27.5703125" style="4" customWidth="1"/>
    <col min="6658" max="6658" width="20" style="4" customWidth="1"/>
    <col min="6659" max="6659" width="18.28515625" style="4" customWidth="1"/>
    <col min="6660" max="6660" width="20.140625" style="4" customWidth="1"/>
    <col min="6661" max="6661" width="10.7109375" style="4" customWidth="1"/>
    <col min="6662" max="6662" width="14.42578125" style="4" bestFit="1" customWidth="1"/>
    <col min="6663" max="6663" width="10.7109375" style="4" customWidth="1"/>
    <col min="6664" max="6664" width="12.7109375" style="4" bestFit="1" customWidth="1"/>
    <col min="6665" max="6667" width="8.42578125" style="4" customWidth="1"/>
    <col min="6668" max="6670" width="13" style="4" customWidth="1"/>
    <col min="6671" max="6674" width="9.140625" style="4"/>
    <col min="6675" max="6675" width="8.7109375" style="4" customWidth="1"/>
    <col min="6676" max="6909" width="9.140625" style="4"/>
    <col min="6910" max="6910" width="2.7109375" style="4" customWidth="1"/>
    <col min="6911" max="6911" width="114.42578125" style="4" customWidth="1"/>
    <col min="6912" max="6912" width="0" style="4" hidden="1" customWidth="1"/>
    <col min="6913" max="6913" width="27.5703125" style="4" customWidth="1"/>
    <col min="6914" max="6914" width="20" style="4" customWidth="1"/>
    <col min="6915" max="6915" width="18.28515625" style="4" customWidth="1"/>
    <col min="6916" max="6916" width="20.140625" style="4" customWidth="1"/>
    <col min="6917" max="6917" width="10.7109375" style="4" customWidth="1"/>
    <col min="6918" max="6918" width="14.42578125" style="4" bestFit="1" customWidth="1"/>
    <col min="6919" max="6919" width="10.7109375" style="4" customWidth="1"/>
    <col min="6920" max="6920" width="12.7109375" style="4" bestFit="1" customWidth="1"/>
    <col min="6921" max="6923" width="8.42578125" style="4" customWidth="1"/>
    <col min="6924" max="6926" width="13" style="4" customWidth="1"/>
    <col min="6927" max="6930" width="9.140625" style="4"/>
    <col min="6931" max="6931" width="8.7109375" style="4" customWidth="1"/>
    <col min="6932" max="7165" width="9.140625" style="4"/>
    <col min="7166" max="7166" width="2.7109375" style="4" customWidth="1"/>
    <col min="7167" max="7167" width="114.42578125" style="4" customWidth="1"/>
    <col min="7168" max="7168" width="0" style="4" hidden="1" customWidth="1"/>
    <col min="7169" max="7169" width="27.5703125" style="4" customWidth="1"/>
    <col min="7170" max="7170" width="20" style="4" customWidth="1"/>
    <col min="7171" max="7171" width="18.28515625" style="4" customWidth="1"/>
    <col min="7172" max="7172" width="20.140625" style="4" customWidth="1"/>
    <col min="7173" max="7173" width="10.7109375" style="4" customWidth="1"/>
    <col min="7174" max="7174" width="14.42578125" style="4" bestFit="1" customWidth="1"/>
    <col min="7175" max="7175" width="10.7109375" style="4" customWidth="1"/>
    <col min="7176" max="7176" width="12.7109375" style="4" bestFit="1" customWidth="1"/>
    <col min="7177" max="7179" width="8.42578125" style="4" customWidth="1"/>
    <col min="7180" max="7182" width="13" style="4" customWidth="1"/>
    <col min="7183" max="7186" width="9.140625" style="4"/>
    <col min="7187" max="7187" width="8.7109375" style="4" customWidth="1"/>
    <col min="7188" max="7421" width="9.140625" style="4"/>
    <col min="7422" max="7422" width="2.7109375" style="4" customWidth="1"/>
    <col min="7423" max="7423" width="114.42578125" style="4" customWidth="1"/>
    <col min="7424" max="7424" width="0" style="4" hidden="1" customWidth="1"/>
    <col min="7425" max="7425" width="27.5703125" style="4" customWidth="1"/>
    <col min="7426" max="7426" width="20" style="4" customWidth="1"/>
    <col min="7427" max="7427" width="18.28515625" style="4" customWidth="1"/>
    <col min="7428" max="7428" width="20.140625" style="4" customWidth="1"/>
    <col min="7429" max="7429" width="10.7109375" style="4" customWidth="1"/>
    <col min="7430" max="7430" width="14.42578125" style="4" bestFit="1" customWidth="1"/>
    <col min="7431" max="7431" width="10.7109375" style="4" customWidth="1"/>
    <col min="7432" max="7432" width="12.7109375" style="4" bestFit="1" customWidth="1"/>
    <col min="7433" max="7435" width="8.42578125" style="4" customWidth="1"/>
    <col min="7436" max="7438" width="13" style="4" customWidth="1"/>
    <col min="7439" max="7442" width="9.140625" style="4"/>
    <col min="7443" max="7443" width="8.7109375" style="4" customWidth="1"/>
    <col min="7444" max="7677" width="9.140625" style="4"/>
    <col min="7678" max="7678" width="2.7109375" style="4" customWidth="1"/>
    <col min="7679" max="7679" width="114.42578125" style="4" customWidth="1"/>
    <col min="7680" max="7680" width="0" style="4" hidden="1" customWidth="1"/>
    <col min="7681" max="7681" width="27.5703125" style="4" customWidth="1"/>
    <col min="7682" max="7682" width="20" style="4" customWidth="1"/>
    <col min="7683" max="7683" width="18.28515625" style="4" customWidth="1"/>
    <col min="7684" max="7684" width="20.140625" style="4" customWidth="1"/>
    <col min="7685" max="7685" width="10.7109375" style="4" customWidth="1"/>
    <col min="7686" max="7686" width="14.42578125" style="4" bestFit="1" customWidth="1"/>
    <col min="7687" max="7687" width="10.7109375" style="4" customWidth="1"/>
    <col min="7688" max="7688" width="12.7109375" style="4" bestFit="1" customWidth="1"/>
    <col min="7689" max="7691" width="8.42578125" style="4" customWidth="1"/>
    <col min="7692" max="7694" width="13" style="4" customWidth="1"/>
    <col min="7695" max="7698" width="9.140625" style="4"/>
    <col min="7699" max="7699" width="8.7109375" style="4" customWidth="1"/>
    <col min="7700" max="7933" width="9.140625" style="4"/>
    <col min="7934" max="7934" width="2.7109375" style="4" customWidth="1"/>
    <col min="7935" max="7935" width="114.42578125" style="4" customWidth="1"/>
    <col min="7936" max="7936" width="0" style="4" hidden="1" customWidth="1"/>
    <col min="7937" max="7937" width="27.5703125" style="4" customWidth="1"/>
    <col min="7938" max="7938" width="20" style="4" customWidth="1"/>
    <col min="7939" max="7939" width="18.28515625" style="4" customWidth="1"/>
    <col min="7940" max="7940" width="20.140625" style="4" customWidth="1"/>
    <col min="7941" max="7941" width="10.7109375" style="4" customWidth="1"/>
    <col min="7942" max="7942" width="14.42578125" style="4" bestFit="1" customWidth="1"/>
    <col min="7943" max="7943" width="10.7109375" style="4" customWidth="1"/>
    <col min="7944" max="7944" width="12.7109375" style="4" bestFit="1" customWidth="1"/>
    <col min="7945" max="7947" width="8.42578125" style="4" customWidth="1"/>
    <col min="7948" max="7950" width="13" style="4" customWidth="1"/>
    <col min="7951" max="7954" width="9.140625" style="4"/>
    <col min="7955" max="7955" width="8.7109375" style="4" customWidth="1"/>
    <col min="7956" max="8189" width="9.140625" style="4"/>
    <col min="8190" max="8190" width="2.7109375" style="4" customWidth="1"/>
    <col min="8191" max="8191" width="114.42578125" style="4" customWidth="1"/>
    <col min="8192" max="8192" width="0" style="4" hidden="1" customWidth="1"/>
    <col min="8193" max="8193" width="27.5703125" style="4" customWidth="1"/>
    <col min="8194" max="8194" width="20" style="4" customWidth="1"/>
    <col min="8195" max="8195" width="18.28515625" style="4" customWidth="1"/>
    <col min="8196" max="8196" width="20.140625" style="4" customWidth="1"/>
    <col min="8197" max="8197" width="10.7109375" style="4" customWidth="1"/>
    <col min="8198" max="8198" width="14.42578125" style="4" bestFit="1" customWidth="1"/>
    <col min="8199" max="8199" width="10.7109375" style="4" customWidth="1"/>
    <col min="8200" max="8200" width="12.7109375" style="4" bestFit="1" customWidth="1"/>
    <col min="8201" max="8203" width="8.42578125" style="4" customWidth="1"/>
    <col min="8204" max="8206" width="13" style="4" customWidth="1"/>
    <col min="8207" max="8210" width="9.140625" style="4"/>
    <col min="8211" max="8211" width="8.7109375" style="4" customWidth="1"/>
    <col min="8212" max="8445" width="9.140625" style="4"/>
    <col min="8446" max="8446" width="2.7109375" style="4" customWidth="1"/>
    <col min="8447" max="8447" width="114.42578125" style="4" customWidth="1"/>
    <col min="8448" max="8448" width="0" style="4" hidden="1" customWidth="1"/>
    <col min="8449" max="8449" width="27.5703125" style="4" customWidth="1"/>
    <col min="8450" max="8450" width="20" style="4" customWidth="1"/>
    <col min="8451" max="8451" width="18.28515625" style="4" customWidth="1"/>
    <col min="8452" max="8452" width="20.140625" style="4" customWidth="1"/>
    <col min="8453" max="8453" width="10.7109375" style="4" customWidth="1"/>
    <col min="8454" max="8454" width="14.42578125" style="4" bestFit="1" customWidth="1"/>
    <col min="8455" max="8455" width="10.7109375" style="4" customWidth="1"/>
    <col min="8456" max="8456" width="12.7109375" style="4" bestFit="1" customWidth="1"/>
    <col min="8457" max="8459" width="8.42578125" style="4" customWidth="1"/>
    <col min="8460" max="8462" width="13" style="4" customWidth="1"/>
    <col min="8463" max="8466" width="9.140625" style="4"/>
    <col min="8467" max="8467" width="8.7109375" style="4" customWidth="1"/>
    <col min="8468" max="8701" width="9.140625" style="4"/>
    <col min="8702" max="8702" width="2.7109375" style="4" customWidth="1"/>
    <col min="8703" max="8703" width="114.42578125" style="4" customWidth="1"/>
    <col min="8704" max="8704" width="0" style="4" hidden="1" customWidth="1"/>
    <col min="8705" max="8705" width="27.5703125" style="4" customWidth="1"/>
    <col min="8706" max="8706" width="20" style="4" customWidth="1"/>
    <col min="8707" max="8707" width="18.28515625" style="4" customWidth="1"/>
    <col min="8708" max="8708" width="20.140625" style="4" customWidth="1"/>
    <col min="8709" max="8709" width="10.7109375" style="4" customWidth="1"/>
    <col min="8710" max="8710" width="14.42578125" style="4" bestFit="1" customWidth="1"/>
    <col min="8711" max="8711" width="10.7109375" style="4" customWidth="1"/>
    <col min="8712" max="8712" width="12.7109375" style="4" bestFit="1" customWidth="1"/>
    <col min="8713" max="8715" width="8.42578125" style="4" customWidth="1"/>
    <col min="8716" max="8718" width="13" style="4" customWidth="1"/>
    <col min="8719" max="8722" width="9.140625" style="4"/>
    <col min="8723" max="8723" width="8.7109375" style="4" customWidth="1"/>
    <col min="8724" max="8957" width="9.140625" style="4"/>
    <col min="8958" max="8958" width="2.7109375" style="4" customWidth="1"/>
    <col min="8959" max="8959" width="114.42578125" style="4" customWidth="1"/>
    <col min="8960" max="8960" width="0" style="4" hidden="1" customWidth="1"/>
    <col min="8961" max="8961" width="27.5703125" style="4" customWidth="1"/>
    <col min="8962" max="8962" width="20" style="4" customWidth="1"/>
    <col min="8963" max="8963" width="18.28515625" style="4" customWidth="1"/>
    <col min="8964" max="8964" width="20.140625" style="4" customWidth="1"/>
    <col min="8965" max="8965" width="10.7109375" style="4" customWidth="1"/>
    <col min="8966" max="8966" width="14.42578125" style="4" bestFit="1" customWidth="1"/>
    <col min="8967" max="8967" width="10.7109375" style="4" customWidth="1"/>
    <col min="8968" max="8968" width="12.7109375" style="4" bestFit="1" customWidth="1"/>
    <col min="8969" max="8971" width="8.42578125" style="4" customWidth="1"/>
    <col min="8972" max="8974" width="13" style="4" customWidth="1"/>
    <col min="8975" max="8978" width="9.140625" style="4"/>
    <col min="8979" max="8979" width="8.7109375" style="4" customWidth="1"/>
    <col min="8980" max="9213" width="9.140625" style="4"/>
    <col min="9214" max="9214" width="2.7109375" style="4" customWidth="1"/>
    <col min="9215" max="9215" width="114.42578125" style="4" customWidth="1"/>
    <col min="9216" max="9216" width="0" style="4" hidden="1" customWidth="1"/>
    <col min="9217" max="9217" width="27.5703125" style="4" customWidth="1"/>
    <col min="9218" max="9218" width="20" style="4" customWidth="1"/>
    <col min="9219" max="9219" width="18.28515625" style="4" customWidth="1"/>
    <col min="9220" max="9220" width="20.140625" style="4" customWidth="1"/>
    <col min="9221" max="9221" width="10.7109375" style="4" customWidth="1"/>
    <col min="9222" max="9222" width="14.42578125" style="4" bestFit="1" customWidth="1"/>
    <col min="9223" max="9223" width="10.7109375" style="4" customWidth="1"/>
    <col min="9224" max="9224" width="12.7109375" style="4" bestFit="1" customWidth="1"/>
    <col min="9225" max="9227" width="8.42578125" style="4" customWidth="1"/>
    <col min="9228" max="9230" width="13" style="4" customWidth="1"/>
    <col min="9231" max="9234" width="9.140625" style="4"/>
    <col min="9235" max="9235" width="8.7109375" style="4" customWidth="1"/>
    <col min="9236" max="9469" width="9.140625" style="4"/>
    <col min="9470" max="9470" width="2.7109375" style="4" customWidth="1"/>
    <col min="9471" max="9471" width="114.42578125" style="4" customWidth="1"/>
    <col min="9472" max="9472" width="0" style="4" hidden="1" customWidth="1"/>
    <col min="9473" max="9473" width="27.5703125" style="4" customWidth="1"/>
    <col min="9474" max="9474" width="20" style="4" customWidth="1"/>
    <col min="9475" max="9475" width="18.28515625" style="4" customWidth="1"/>
    <col min="9476" max="9476" width="20.140625" style="4" customWidth="1"/>
    <col min="9477" max="9477" width="10.7109375" style="4" customWidth="1"/>
    <col min="9478" max="9478" width="14.42578125" style="4" bestFit="1" customWidth="1"/>
    <col min="9479" max="9479" width="10.7109375" style="4" customWidth="1"/>
    <col min="9480" max="9480" width="12.7109375" style="4" bestFit="1" customWidth="1"/>
    <col min="9481" max="9483" width="8.42578125" style="4" customWidth="1"/>
    <col min="9484" max="9486" width="13" style="4" customWidth="1"/>
    <col min="9487" max="9490" width="9.140625" style="4"/>
    <col min="9491" max="9491" width="8.7109375" style="4" customWidth="1"/>
    <col min="9492" max="9725" width="9.140625" style="4"/>
    <col min="9726" max="9726" width="2.7109375" style="4" customWidth="1"/>
    <col min="9727" max="9727" width="114.42578125" style="4" customWidth="1"/>
    <col min="9728" max="9728" width="0" style="4" hidden="1" customWidth="1"/>
    <col min="9729" max="9729" width="27.5703125" style="4" customWidth="1"/>
    <col min="9730" max="9730" width="20" style="4" customWidth="1"/>
    <col min="9731" max="9731" width="18.28515625" style="4" customWidth="1"/>
    <col min="9732" max="9732" width="20.140625" style="4" customWidth="1"/>
    <col min="9733" max="9733" width="10.7109375" style="4" customWidth="1"/>
    <col min="9734" max="9734" width="14.42578125" style="4" bestFit="1" customWidth="1"/>
    <col min="9735" max="9735" width="10.7109375" style="4" customWidth="1"/>
    <col min="9736" max="9736" width="12.7109375" style="4" bestFit="1" customWidth="1"/>
    <col min="9737" max="9739" width="8.42578125" style="4" customWidth="1"/>
    <col min="9740" max="9742" width="13" style="4" customWidth="1"/>
    <col min="9743" max="9746" width="9.140625" style="4"/>
    <col min="9747" max="9747" width="8.7109375" style="4" customWidth="1"/>
    <col min="9748" max="9981" width="9.140625" style="4"/>
    <col min="9982" max="9982" width="2.7109375" style="4" customWidth="1"/>
    <col min="9983" max="9983" width="114.42578125" style="4" customWidth="1"/>
    <col min="9984" max="9984" width="0" style="4" hidden="1" customWidth="1"/>
    <col min="9985" max="9985" width="27.5703125" style="4" customWidth="1"/>
    <col min="9986" max="9986" width="20" style="4" customWidth="1"/>
    <col min="9987" max="9987" width="18.28515625" style="4" customWidth="1"/>
    <col min="9988" max="9988" width="20.140625" style="4" customWidth="1"/>
    <col min="9989" max="9989" width="10.7109375" style="4" customWidth="1"/>
    <col min="9990" max="9990" width="14.42578125" style="4" bestFit="1" customWidth="1"/>
    <col min="9991" max="9991" width="10.7109375" style="4" customWidth="1"/>
    <col min="9992" max="9992" width="12.7109375" style="4" bestFit="1" customWidth="1"/>
    <col min="9993" max="9995" width="8.42578125" style="4" customWidth="1"/>
    <col min="9996" max="9998" width="13" style="4" customWidth="1"/>
    <col min="9999" max="10002" width="9.140625" style="4"/>
    <col min="10003" max="10003" width="8.7109375" style="4" customWidth="1"/>
    <col min="10004" max="10237" width="9.140625" style="4"/>
    <col min="10238" max="10238" width="2.7109375" style="4" customWidth="1"/>
    <col min="10239" max="10239" width="114.42578125" style="4" customWidth="1"/>
    <col min="10240" max="10240" width="0" style="4" hidden="1" customWidth="1"/>
    <col min="10241" max="10241" width="27.5703125" style="4" customWidth="1"/>
    <col min="10242" max="10242" width="20" style="4" customWidth="1"/>
    <col min="10243" max="10243" width="18.28515625" style="4" customWidth="1"/>
    <col min="10244" max="10244" width="20.140625" style="4" customWidth="1"/>
    <col min="10245" max="10245" width="10.7109375" style="4" customWidth="1"/>
    <col min="10246" max="10246" width="14.42578125" style="4" bestFit="1" customWidth="1"/>
    <col min="10247" max="10247" width="10.7109375" style="4" customWidth="1"/>
    <col min="10248" max="10248" width="12.7109375" style="4" bestFit="1" customWidth="1"/>
    <col min="10249" max="10251" width="8.42578125" style="4" customWidth="1"/>
    <col min="10252" max="10254" width="13" style="4" customWidth="1"/>
    <col min="10255" max="10258" width="9.140625" style="4"/>
    <col min="10259" max="10259" width="8.7109375" style="4" customWidth="1"/>
    <col min="10260" max="10493" width="9.140625" style="4"/>
    <col min="10494" max="10494" width="2.7109375" style="4" customWidth="1"/>
    <col min="10495" max="10495" width="114.42578125" style="4" customWidth="1"/>
    <col min="10496" max="10496" width="0" style="4" hidden="1" customWidth="1"/>
    <col min="10497" max="10497" width="27.5703125" style="4" customWidth="1"/>
    <col min="10498" max="10498" width="20" style="4" customWidth="1"/>
    <col min="10499" max="10499" width="18.28515625" style="4" customWidth="1"/>
    <col min="10500" max="10500" width="20.140625" style="4" customWidth="1"/>
    <col min="10501" max="10501" width="10.7109375" style="4" customWidth="1"/>
    <col min="10502" max="10502" width="14.42578125" style="4" bestFit="1" customWidth="1"/>
    <col min="10503" max="10503" width="10.7109375" style="4" customWidth="1"/>
    <col min="10504" max="10504" width="12.7109375" style="4" bestFit="1" customWidth="1"/>
    <col min="10505" max="10507" width="8.42578125" style="4" customWidth="1"/>
    <col min="10508" max="10510" width="13" style="4" customWidth="1"/>
    <col min="10511" max="10514" width="9.140625" style="4"/>
    <col min="10515" max="10515" width="8.7109375" style="4" customWidth="1"/>
    <col min="10516" max="10749" width="9.140625" style="4"/>
    <col min="10750" max="10750" width="2.7109375" style="4" customWidth="1"/>
    <col min="10751" max="10751" width="114.42578125" style="4" customWidth="1"/>
    <col min="10752" max="10752" width="0" style="4" hidden="1" customWidth="1"/>
    <col min="10753" max="10753" width="27.5703125" style="4" customWidth="1"/>
    <col min="10754" max="10754" width="20" style="4" customWidth="1"/>
    <col min="10755" max="10755" width="18.28515625" style="4" customWidth="1"/>
    <col min="10756" max="10756" width="20.140625" style="4" customWidth="1"/>
    <col min="10757" max="10757" width="10.7109375" style="4" customWidth="1"/>
    <col min="10758" max="10758" width="14.42578125" style="4" bestFit="1" customWidth="1"/>
    <col min="10759" max="10759" width="10.7109375" style="4" customWidth="1"/>
    <col min="10760" max="10760" width="12.7109375" style="4" bestFit="1" customWidth="1"/>
    <col min="10761" max="10763" width="8.42578125" style="4" customWidth="1"/>
    <col min="10764" max="10766" width="13" style="4" customWidth="1"/>
    <col min="10767" max="10770" width="9.140625" style="4"/>
    <col min="10771" max="10771" width="8.7109375" style="4" customWidth="1"/>
    <col min="10772" max="11005" width="9.140625" style="4"/>
    <col min="11006" max="11006" width="2.7109375" style="4" customWidth="1"/>
    <col min="11007" max="11007" width="114.42578125" style="4" customWidth="1"/>
    <col min="11008" max="11008" width="0" style="4" hidden="1" customWidth="1"/>
    <col min="11009" max="11009" width="27.5703125" style="4" customWidth="1"/>
    <col min="11010" max="11010" width="20" style="4" customWidth="1"/>
    <col min="11011" max="11011" width="18.28515625" style="4" customWidth="1"/>
    <col min="11012" max="11012" width="20.140625" style="4" customWidth="1"/>
    <col min="11013" max="11013" width="10.7109375" style="4" customWidth="1"/>
    <col min="11014" max="11014" width="14.42578125" style="4" bestFit="1" customWidth="1"/>
    <col min="11015" max="11015" width="10.7109375" style="4" customWidth="1"/>
    <col min="11016" max="11016" width="12.7109375" style="4" bestFit="1" customWidth="1"/>
    <col min="11017" max="11019" width="8.42578125" style="4" customWidth="1"/>
    <col min="11020" max="11022" width="13" style="4" customWidth="1"/>
    <col min="11023" max="11026" width="9.140625" style="4"/>
    <col min="11027" max="11027" width="8.7109375" style="4" customWidth="1"/>
    <col min="11028" max="11261" width="9.140625" style="4"/>
    <col min="11262" max="11262" width="2.7109375" style="4" customWidth="1"/>
    <col min="11263" max="11263" width="114.42578125" style="4" customWidth="1"/>
    <col min="11264" max="11264" width="0" style="4" hidden="1" customWidth="1"/>
    <col min="11265" max="11265" width="27.5703125" style="4" customWidth="1"/>
    <col min="11266" max="11266" width="20" style="4" customWidth="1"/>
    <col min="11267" max="11267" width="18.28515625" style="4" customWidth="1"/>
    <col min="11268" max="11268" width="20.140625" style="4" customWidth="1"/>
    <col min="11269" max="11269" width="10.7109375" style="4" customWidth="1"/>
    <col min="11270" max="11270" width="14.42578125" style="4" bestFit="1" customWidth="1"/>
    <col min="11271" max="11271" width="10.7109375" style="4" customWidth="1"/>
    <col min="11272" max="11272" width="12.7109375" style="4" bestFit="1" customWidth="1"/>
    <col min="11273" max="11275" width="8.42578125" style="4" customWidth="1"/>
    <col min="11276" max="11278" width="13" style="4" customWidth="1"/>
    <col min="11279" max="11282" width="9.140625" style="4"/>
    <col min="11283" max="11283" width="8.7109375" style="4" customWidth="1"/>
    <col min="11284" max="11517" width="9.140625" style="4"/>
    <col min="11518" max="11518" width="2.7109375" style="4" customWidth="1"/>
    <col min="11519" max="11519" width="114.42578125" style="4" customWidth="1"/>
    <col min="11520" max="11520" width="0" style="4" hidden="1" customWidth="1"/>
    <col min="11521" max="11521" width="27.5703125" style="4" customWidth="1"/>
    <col min="11522" max="11522" width="20" style="4" customWidth="1"/>
    <col min="11523" max="11523" width="18.28515625" style="4" customWidth="1"/>
    <col min="11524" max="11524" width="20.140625" style="4" customWidth="1"/>
    <col min="11525" max="11525" width="10.7109375" style="4" customWidth="1"/>
    <col min="11526" max="11526" width="14.42578125" style="4" bestFit="1" customWidth="1"/>
    <col min="11527" max="11527" width="10.7109375" style="4" customWidth="1"/>
    <col min="11528" max="11528" width="12.7109375" style="4" bestFit="1" customWidth="1"/>
    <col min="11529" max="11531" width="8.42578125" style="4" customWidth="1"/>
    <col min="11532" max="11534" width="13" style="4" customWidth="1"/>
    <col min="11535" max="11538" width="9.140625" style="4"/>
    <col min="11539" max="11539" width="8.7109375" style="4" customWidth="1"/>
    <col min="11540" max="11773" width="9.140625" style="4"/>
    <col min="11774" max="11774" width="2.7109375" style="4" customWidth="1"/>
    <col min="11775" max="11775" width="114.42578125" style="4" customWidth="1"/>
    <col min="11776" max="11776" width="0" style="4" hidden="1" customWidth="1"/>
    <col min="11777" max="11777" width="27.5703125" style="4" customWidth="1"/>
    <col min="11778" max="11778" width="20" style="4" customWidth="1"/>
    <col min="11779" max="11779" width="18.28515625" style="4" customWidth="1"/>
    <col min="11780" max="11780" width="20.140625" style="4" customWidth="1"/>
    <col min="11781" max="11781" width="10.7109375" style="4" customWidth="1"/>
    <col min="11782" max="11782" width="14.42578125" style="4" bestFit="1" customWidth="1"/>
    <col min="11783" max="11783" width="10.7109375" style="4" customWidth="1"/>
    <col min="11784" max="11784" width="12.7109375" style="4" bestFit="1" customWidth="1"/>
    <col min="11785" max="11787" width="8.42578125" style="4" customWidth="1"/>
    <col min="11788" max="11790" width="13" style="4" customWidth="1"/>
    <col min="11791" max="11794" width="9.140625" style="4"/>
    <col min="11795" max="11795" width="8.7109375" style="4" customWidth="1"/>
    <col min="11796" max="12029" width="9.140625" style="4"/>
    <col min="12030" max="12030" width="2.7109375" style="4" customWidth="1"/>
    <col min="12031" max="12031" width="114.42578125" style="4" customWidth="1"/>
    <col min="12032" max="12032" width="0" style="4" hidden="1" customWidth="1"/>
    <col min="12033" max="12033" width="27.5703125" style="4" customWidth="1"/>
    <col min="12034" max="12034" width="20" style="4" customWidth="1"/>
    <col min="12035" max="12035" width="18.28515625" style="4" customWidth="1"/>
    <col min="12036" max="12036" width="20.140625" style="4" customWidth="1"/>
    <col min="12037" max="12037" width="10.7109375" style="4" customWidth="1"/>
    <col min="12038" max="12038" width="14.42578125" style="4" bestFit="1" customWidth="1"/>
    <col min="12039" max="12039" width="10.7109375" style="4" customWidth="1"/>
    <col min="12040" max="12040" width="12.7109375" style="4" bestFit="1" customWidth="1"/>
    <col min="12041" max="12043" width="8.42578125" style="4" customWidth="1"/>
    <col min="12044" max="12046" width="13" style="4" customWidth="1"/>
    <col min="12047" max="12050" width="9.140625" style="4"/>
    <col min="12051" max="12051" width="8.7109375" style="4" customWidth="1"/>
    <col min="12052" max="12285" width="9.140625" style="4"/>
    <col min="12286" max="12286" width="2.7109375" style="4" customWidth="1"/>
    <col min="12287" max="12287" width="114.42578125" style="4" customWidth="1"/>
    <col min="12288" max="12288" width="0" style="4" hidden="1" customWidth="1"/>
    <col min="12289" max="12289" width="27.5703125" style="4" customWidth="1"/>
    <col min="12290" max="12290" width="20" style="4" customWidth="1"/>
    <col min="12291" max="12291" width="18.28515625" style="4" customWidth="1"/>
    <col min="12292" max="12292" width="20.140625" style="4" customWidth="1"/>
    <col min="12293" max="12293" width="10.7109375" style="4" customWidth="1"/>
    <col min="12294" max="12294" width="14.42578125" style="4" bestFit="1" customWidth="1"/>
    <col min="12295" max="12295" width="10.7109375" style="4" customWidth="1"/>
    <col min="12296" max="12296" width="12.7109375" style="4" bestFit="1" customWidth="1"/>
    <col min="12297" max="12299" width="8.42578125" style="4" customWidth="1"/>
    <col min="12300" max="12302" width="13" style="4" customWidth="1"/>
    <col min="12303" max="12306" width="9.140625" style="4"/>
    <col min="12307" max="12307" width="8.7109375" style="4" customWidth="1"/>
    <col min="12308" max="12541" width="9.140625" style="4"/>
    <col min="12542" max="12542" width="2.7109375" style="4" customWidth="1"/>
    <col min="12543" max="12543" width="114.42578125" style="4" customWidth="1"/>
    <col min="12544" max="12544" width="0" style="4" hidden="1" customWidth="1"/>
    <col min="12545" max="12545" width="27.5703125" style="4" customWidth="1"/>
    <col min="12546" max="12546" width="20" style="4" customWidth="1"/>
    <col min="12547" max="12547" width="18.28515625" style="4" customWidth="1"/>
    <col min="12548" max="12548" width="20.140625" style="4" customWidth="1"/>
    <col min="12549" max="12549" width="10.7109375" style="4" customWidth="1"/>
    <col min="12550" max="12550" width="14.42578125" style="4" bestFit="1" customWidth="1"/>
    <col min="12551" max="12551" width="10.7109375" style="4" customWidth="1"/>
    <col min="12552" max="12552" width="12.7109375" style="4" bestFit="1" customWidth="1"/>
    <col min="12553" max="12555" width="8.42578125" style="4" customWidth="1"/>
    <col min="12556" max="12558" width="13" style="4" customWidth="1"/>
    <col min="12559" max="12562" width="9.140625" style="4"/>
    <col min="12563" max="12563" width="8.7109375" style="4" customWidth="1"/>
    <col min="12564" max="12797" width="9.140625" style="4"/>
    <col min="12798" max="12798" width="2.7109375" style="4" customWidth="1"/>
    <col min="12799" max="12799" width="114.42578125" style="4" customWidth="1"/>
    <col min="12800" max="12800" width="0" style="4" hidden="1" customWidth="1"/>
    <col min="12801" max="12801" width="27.5703125" style="4" customWidth="1"/>
    <col min="12802" max="12802" width="20" style="4" customWidth="1"/>
    <col min="12803" max="12803" width="18.28515625" style="4" customWidth="1"/>
    <col min="12804" max="12804" width="20.140625" style="4" customWidth="1"/>
    <col min="12805" max="12805" width="10.7109375" style="4" customWidth="1"/>
    <col min="12806" max="12806" width="14.42578125" style="4" bestFit="1" customWidth="1"/>
    <col min="12807" max="12807" width="10.7109375" style="4" customWidth="1"/>
    <col min="12808" max="12808" width="12.7109375" style="4" bestFit="1" customWidth="1"/>
    <col min="12809" max="12811" width="8.42578125" style="4" customWidth="1"/>
    <col min="12812" max="12814" width="13" style="4" customWidth="1"/>
    <col min="12815" max="12818" width="9.140625" style="4"/>
    <col min="12819" max="12819" width="8.7109375" style="4" customWidth="1"/>
    <col min="12820" max="13053" width="9.140625" style="4"/>
    <col min="13054" max="13054" width="2.7109375" style="4" customWidth="1"/>
    <col min="13055" max="13055" width="114.42578125" style="4" customWidth="1"/>
    <col min="13056" max="13056" width="0" style="4" hidden="1" customWidth="1"/>
    <col min="13057" max="13057" width="27.5703125" style="4" customWidth="1"/>
    <col min="13058" max="13058" width="20" style="4" customWidth="1"/>
    <col min="13059" max="13059" width="18.28515625" style="4" customWidth="1"/>
    <col min="13060" max="13060" width="20.140625" style="4" customWidth="1"/>
    <col min="13061" max="13061" width="10.7109375" style="4" customWidth="1"/>
    <col min="13062" max="13062" width="14.42578125" style="4" bestFit="1" customWidth="1"/>
    <col min="13063" max="13063" width="10.7109375" style="4" customWidth="1"/>
    <col min="13064" max="13064" width="12.7109375" style="4" bestFit="1" customWidth="1"/>
    <col min="13065" max="13067" width="8.42578125" style="4" customWidth="1"/>
    <col min="13068" max="13070" width="13" style="4" customWidth="1"/>
    <col min="13071" max="13074" width="9.140625" style="4"/>
    <col min="13075" max="13075" width="8.7109375" style="4" customWidth="1"/>
    <col min="13076" max="13309" width="9.140625" style="4"/>
    <col min="13310" max="13310" width="2.7109375" style="4" customWidth="1"/>
    <col min="13311" max="13311" width="114.42578125" style="4" customWidth="1"/>
    <col min="13312" max="13312" width="0" style="4" hidden="1" customWidth="1"/>
    <col min="13313" max="13313" width="27.5703125" style="4" customWidth="1"/>
    <col min="13314" max="13314" width="20" style="4" customWidth="1"/>
    <col min="13315" max="13315" width="18.28515625" style="4" customWidth="1"/>
    <col min="13316" max="13316" width="20.140625" style="4" customWidth="1"/>
    <col min="13317" max="13317" width="10.7109375" style="4" customWidth="1"/>
    <col min="13318" max="13318" width="14.42578125" style="4" bestFit="1" customWidth="1"/>
    <col min="13319" max="13319" width="10.7109375" style="4" customWidth="1"/>
    <col min="13320" max="13320" width="12.7109375" style="4" bestFit="1" customWidth="1"/>
    <col min="13321" max="13323" width="8.42578125" style="4" customWidth="1"/>
    <col min="13324" max="13326" width="13" style="4" customWidth="1"/>
    <col min="13327" max="13330" width="9.140625" style="4"/>
    <col min="13331" max="13331" width="8.7109375" style="4" customWidth="1"/>
    <col min="13332" max="13565" width="9.140625" style="4"/>
    <col min="13566" max="13566" width="2.7109375" style="4" customWidth="1"/>
    <col min="13567" max="13567" width="114.42578125" style="4" customWidth="1"/>
    <col min="13568" max="13568" width="0" style="4" hidden="1" customWidth="1"/>
    <col min="13569" max="13569" width="27.5703125" style="4" customWidth="1"/>
    <col min="13570" max="13570" width="20" style="4" customWidth="1"/>
    <col min="13571" max="13571" width="18.28515625" style="4" customWidth="1"/>
    <col min="13572" max="13572" width="20.140625" style="4" customWidth="1"/>
    <col min="13573" max="13573" width="10.7109375" style="4" customWidth="1"/>
    <col min="13574" max="13574" width="14.42578125" style="4" bestFit="1" customWidth="1"/>
    <col min="13575" max="13575" width="10.7109375" style="4" customWidth="1"/>
    <col min="13576" max="13576" width="12.7109375" style="4" bestFit="1" customWidth="1"/>
    <col min="13577" max="13579" width="8.42578125" style="4" customWidth="1"/>
    <col min="13580" max="13582" width="13" style="4" customWidth="1"/>
    <col min="13583" max="13586" width="9.140625" style="4"/>
    <col min="13587" max="13587" width="8.7109375" style="4" customWidth="1"/>
    <col min="13588" max="13821" width="9.140625" style="4"/>
    <col min="13822" max="13822" width="2.7109375" style="4" customWidth="1"/>
    <col min="13823" max="13823" width="114.42578125" style="4" customWidth="1"/>
    <col min="13824" max="13824" width="0" style="4" hidden="1" customWidth="1"/>
    <col min="13825" max="13825" width="27.5703125" style="4" customWidth="1"/>
    <col min="13826" max="13826" width="20" style="4" customWidth="1"/>
    <col min="13827" max="13827" width="18.28515625" style="4" customWidth="1"/>
    <col min="13828" max="13828" width="20.140625" style="4" customWidth="1"/>
    <col min="13829" max="13829" width="10.7109375" style="4" customWidth="1"/>
    <col min="13830" max="13830" width="14.42578125" style="4" bestFit="1" customWidth="1"/>
    <col min="13831" max="13831" width="10.7109375" style="4" customWidth="1"/>
    <col min="13832" max="13832" width="12.7109375" style="4" bestFit="1" customWidth="1"/>
    <col min="13833" max="13835" width="8.42578125" style="4" customWidth="1"/>
    <col min="13836" max="13838" width="13" style="4" customWidth="1"/>
    <col min="13839" max="13842" width="9.140625" style="4"/>
    <col min="13843" max="13843" width="8.7109375" style="4" customWidth="1"/>
    <col min="13844" max="14077" width="9.140625" style="4"/>
    <col min="14078" max="14078" width="2.7109375" style="4" customWidth="1"/>
    <col min="14079" max="14079" width="114.42578125" style="4" customWidth="1"/>
    <col min="14080" max="14080" width="0" style="4" hidden="1" customWidth="1"/>
    <col min="14081" max="14081" width="27.5703125" style="4" customWidth="1"/>
    <col min="14082" max="14082" width="20" style="4" customWidth="1"/>
    <col min="14083" max="14083" width="18.28515625" style="4" customWidth="1"/>
    <col min="14084" max="14084" width="20.140625" style="4" customWidth="1"/>
    <col min="14085" max="14085" width="10.7109375" style="4" customWidth="1"/>
    <col min="14086" max="14086" width="14.42578125" style="4" bestFit="1" customWidth="1"/>
    <col min="14087" max="14087" width="10.7109375" style="4" customWidth="1"/>
    <col min="14088" max="14088" width="12.7109375" style="4" bestFit="1" customWidth="1"/>
    <col min="14089" max="14091" width="8.42578125" style="4" customWidth="1"/>
    <col min="14092" max="14094" width="13" style="4" customWidth="1"/>
    <col min="14095" max="14098" width="9.140625" style="4"/>
    <col min="14099" max="14099" width="8.7109375" style="4" customWidth="1"/>
    <col min="14100" max="14333" width="9.140625" style="4"/>
    <col min="14334" max="14334" width="2.7109375" style="4" customWidth="1"/>
    <col min="14335" max="14335" width="114.42578125" style="4" customWidth="1"/>
    <col min="14336" max="14336" width="0" style="4" hidden="1" customWidth="1"/>
    <col min="14337" max="14337" width="27.5703125" style="4" customWidth="1"/>
    <col min="14338" max="14338" width="20" style="4" customWidth="1"/>
    <col min="14339" max="14339" width="18.28515625" style="4" customWidth="1"/>
    <col min="14340" max="14340" width="20.140625" style="4" customWidth="1"/>
    <col min="14341" max="14341" width="10.7109375" style="4" customWidth="1"/>
    <col min="14342" max="14342" width="14.42578125" style="4" bestFit="1" customWidth="1"/>
    <col min="14343" max="14343" width="10.7109375" style="4" customWidth="1"/>
    <col min="14344" max="14344" width="12.7109375" style="4" bestFit="1" customWidth="1"/>
    <col min="14345" max="14347" width="8.42578125" style="4" customWidth="1"/>
    <col min="14348" max="14350" width="13" style="4" customWidth="1"/>
    <col min="14351" max="14354" width="9.140625" style="4"/>
    <col min="14355" max="14355" width="8.7109375" style="4" customWidth="1"/>
    <col min="14356" max="14589" width="9.140625" style="4"/>
    <col min="14590" max="14590" width="2.7109375" style="4" customWidth="1"/>
    <col min="14591" max="14591" width="114.42578125" style="4" customWidth="1"/>
    <col min="14592" max="14592" width="0" style="4" hidden="1" customWidth="1"/>
    <col min="14593" max="14593" width="27.5703125" style="4" customWidth="1"/>
    <col min="14594" max="14594" width="20" style="4" customWidth="1"/>
    <col min="14595" max="14595" width="18.28515625" style="4" customWidth="1"/>
    <col min="14596" max="14596" width="20.140625" style="4" customWidth="1"/>
    <col min="14597" max="14597" width="10.7109375" style="4" customWidth="1"/>
    <col min="14598" max="14598" width="14.42578125" style="4" bestFit="1" customWidth="1"/>
    <col min="14599" max="14599" width="10.7109375" style="4" customWidth="1"/>
    <col min="14600" max="14600" width="12.7109375" style="4" bestFit="1" customWidth="1"/>
    <col min="14601" max="14603" width="8.42578125" style="4" customWidth="1"/>
    <col min="14604" max="14606" width="13" style="4" customWidth="1"/>
    <col min="14607" max="14610" width="9.140625" style="4"/>
    <col min="14611" max="14611" width="8.7109375" style="4" customWidth="1"/>
    <col min="14612" max="14845" width="9.140625" style="4"/>
    <col min="14846" max="14846" width="2.7109375" style="4" customWidth="1"/>
    <col min="14847" max="14847" width="114.42578125" style="4" customWidth="1"/>
    <col min="14848" max="14848" width="0" style="4" hidden="1" customWidth="1"/>
    <col min="14849" max="14849" width="27.5703125" style="4" customWidth="1"/>
    <col min="14850" max="14850" width="20" style="4" customWidth="1"/>
    <col min="14851" max="14851" width="18.28515625" style="4" customWidth="1"/>
    <col min="14852" max="14852" width="20.140625" style="4" customWidth="1"/>
    <col min="14853" max="14853" width="10.7109375" style="4" customWidth="1"/>
    <col min="14854" max="14854" width="14.42578125" style="4" bestFit="1" customWidth="1"/>
    <col min="14855" max="14855" width="10.7109375" style="4" customWidth="1"/>
    <col min="14856" max="14856" width="12.7109375" style="4" bestFit="1" customWidth="1"/>
    <col min="14857" max="14859" width="8.42578125" style="4" customWidth="1"/>
    <col min="14860" max="14862" width="13" style="4" customWidth="1"/>
    <col min="14863" max="14866" width="9.140625" style="4"/>
    <col min="14867" max="14867" width="8.7109375" style="4" customWidth="1"/>
    <col min="14868" max="15101" width="9.140625" style="4"/>
    <col min="15102" max="15102" width="2.7109375" style="4" customWidth="1"/>
    <col min="15103" max="15103" width="114.42578125" style="4" customWidth="1"/>
    <col min="15104" max="15104" width="0" style="4" hidden="1" customWidth="1"/>
    <col min="15105" max="15105" width="27.5703125" style="4" customWidth="1"/>
    <col min="15106" max="15106" width="20" style="4" customWidth="1"/>
    <col min="15107" max="15107" width="18.28515625" style="4" customWidth="1"/>
    <col min="15108" max="15108" width="20.140625" style="4" customWidth="1"/>
    <col min="15109" max="15109" width="10.7109375" style="4" customWidth="1"/>
    <col min="15110" max="15110" width="14.42578125" style="4" bestFit="1" customWidth="1"/>
    <col min="15111" max="15111" width="10.7109375" style="4" customWidth="1"/>
    <col min="15112" max="15112" width="12.7109375" style="4" bestFit="1" customWidth="1"/>
    <col min="15113" max="15115" width="8.42578125" style="4" customWidth="1"/>
    <col min="15116" max="15118" width="13" style="4" customWidth="1"/>
    <col min="15119" max="15122" width="9.140625" style="4"/>
    <col min="15123" max="15123" width="8.7109375" style="4" customWidth="1"/>
    <col min="15124" max="15357" width="9.140625" style="4"/>
    <col min="15358" max="15358" width="2.7109375" style="4" customWidth="1"/>
    <col min="15359" max="15359" width="114.42578125" style="4" customWidth="1"/>
    <col min="15360" max="15360" width="0" style="4" hidden="1" customWidth="1"/>
    <col min="15361" max="15361" width="27.5703125" style="4" customWidth="1"/>
    <col min="15362" max="15362" width="20" style="4" customWidth="1"/>
    <col min="15363" max="15363" width="18.28515625" style="4" customWidth="1"/>
    <col min="15364" max="15364" width="20.140625" style="4" customWidth="1"/>
    <col min="15365" max="15365" width="10.7109375" style="4" customWidth="1"/>
    <col min="15366" max="15366" width="14.42578125" style="4" bestFit="1" customWidth="1"/>
    <col min="15367" max="15367" width="10.7109375" style="4" customWidth="1"/>
    <col min="15368" max="15368" width="12.7109375" style="4" bestFit="1" customWidth="1"/>
    <col min="15369" max="15371" width="8.42578125" style="4" customWidth="1"/>
    <col min="15372" max="15374" width="13" style="4" customWidth="1"/>
    <col min="15375" max="15378" width="9.140625" style="4"/>
    <col min="15379" max="15379" width="8.7109375" style="4" customWidth="1"/>
    <col min="15380" max="15613" width="9.140625" style="4"/>
    <col min="15614" max="15614" width="2.7109375" style="4" customWidth="1"/>
    <col min="15615" max="15615" width="114.42578125" style="4" customWidth="1"/>
    <col min="15616" max="15616" width="0" style="4" hidden="1" customWidth="1"/>
    <col min="15617" max="15617" width="27.5703125" style="4" customWidth="1"/>
    <col min="15618" max="15618" width="20" style="4" customWidth="1"/>
    <col min="15619" max="15619" width="18.28515625" style="4" customWidth="1"/>
    <col min="15620" max="15620" width="20.140625" style="4" customWidth="1"/>
    <col min="15621" max="15621" width="10.7109375" style="4" customWidth="1"/>
    <col min="15622" max="15622" width="14.42578125" style="4" bestFit="1" customWidth="1"/>
    <col min="15623" max="15623" width="10.7109375" style="4" customWidth="1"/>
    <col min="15624" max="15624" width="12.7109375" style="4" bestFit="1" customWidth="1"/>
    <col min="15625" max="15627" width="8.42578125" style="4" customWidth="1"/>
    <col min="15628" max="15630" width="13" style="4" customWidth="1"/>
    <col min="15631" max="15634" width="9.140625" style="4"/>
    <col min="15635" max="15635" width="8.7109375" style="4" customWidth="1"/>
    <col min="15636" max="15869" width="9.140625" style="4"/>
    <col min="15870" max="15870" width="2.7109375" style="4" customWidth="1"/>
    <col min="15871" max="15871" width="114.42578125" style="4" customWidth="1"/>
    <col min="15872" max="15872" width="0" style="4" hidden="1" customWidth="1"/>
    <col min="15873" max="15873" width="27.5703125" style="4" customWidth="1"/>
    <col min="15874" max="15874" width="20" style="4" customWidth="1"/>
    <col min="15875" max="15875" width="18.28515625" style="4" customWidth="1"/>
    <col min="15876" max="15876" width="20.140625" style="4" customWidth="1"/>
    <col min="15877" max="15877" width="10.7109375" style="4" customWidth="1"/>
    <col min="15878" max="15878" width="14.42578125" style="4" bestFit="1" customWidth="1"/>
    <col min="15879" max="15879" width="10.7109375" style="4" customWidth="1"/>
    <col min="15880" max="15880" width="12.7109375" style="4" bestFit="1" customWidth="1"/>
    <col min="15881" max="15883" width="8.42578125" style="4" customWidth="1"/>
    <col min="15884" max="15886" width="13" style="4" customWidth="1"/>
    <col min="15887" max="15890" width="9.140625" style="4"/>
    <col min="15891" max="15891" width="8.7109375" style="4" customWidth="1"/>
    <col min="15892" max="16125" width="9.140625" style="4"/>
    <col min="16126" max="16126" width="2.7109375" style="4" customWidth="1"/>
    <col min="16127" max="16127" width="114.42578125" style="4" customWidth="1"/>
    <col min="16128" max="16128" width="0" style="4" hidden="1" customWidth="1"/>
    <col min="16129" max="16129" width="27.5703125" style="4" customWidth="1"/>
    <col min="16130" max="16130" width="20" style="4" customWidth="1"/>
    <col min="16131" max="16131" width="18.28515625" style="4" customWidth="1"/>
    <col min="16132" max="16132" width="20.140625" style="4" customWidth="1"/>
    <col min="16133" max="16133" width="10.7109375" style="4" customWidth="1"/>
    <col min="16134" max="16134" width="14.42578125" style="4" bestFit="1" customWidth="1"/>
    <col min="16135" max="16135" width="10.7109375" style="4" customWidth="1"/>
    <col min="16136" max="16136" width="12.7109375" style="4" bestFit="1" customWidth="1"/>
    <col min="16137" max="16139" width="8.42578125" style="4" customWidth="1"/>
    <col min="16140" max="16142" width="13" style="4" customWidth="1"/>
    <col min="16143" max="16146" width="9.140625" style="4"/>
    <col min="16147" max="16147" width="8.7109375" style="4" customWidth="1"/>
    <col min="16148" max="16384" width="9.140625" style="4"/>
  </cols>
  <sheetData>
    <row r="2" spans="1:30" ht="15">
      <c r="B2" s="483" t="str">
        <f>"Tariff Approval - "&amp;Input!$E$3</f>
        <v>Tariff Approval - United Energy</v>
      </c>
      <c r="C2" s="276" t="s">
        <v>188</v>
      </c>
      <c r="D2" s="7"/>
      <c r="E2" s="64"/>
      <c r="K2" s="35"/>
      <c r="L2" s="35"/>
      <c r="M2" s="35"/>
      <c r="N2" s="35"/>
      <c r="O2" s="35"/>
      <c r="P2" s="35"/>
    </row>
    <row r="3" spans="1:30" ht="15">
      <c r="B3" s="61"/>
      <c r="D3" s="7"/>
      <c r="K3" s="35"/>
      <c r="L3" s="35"/>
      <c r="M3" s="35"/>
      <c r="N3" s="35"/>
      <c r="O3" s="35"/>
      <c r="P3" s="35"/>
    </row>
    <row r="4" spans="1:30" ht="18.75">
      <c r="B4" s="481" t="s">
        <v>176</v>
      </c>
      <c r="C4" s="482"/>
      <c r="D4" s="7"/>
      <c r="K4" s="35"/>
      <c r="L4" s="35"/>
      <c r="M4" s="35"/>
      <c r="N4" s="35"/>
      <c r="O4" s="35"/>
      <c r="P4" s="35"/>
    </row>
    <row r="5" spans="1:30" ht="15">
      <c r="B5" s="8"/>
      <c r="D5" s="7"/>
      <c r="K5" s="35"/>
      <c r="L5" s="35"/>
      <c r="M5" s="35"/>
      <c r="N5" s="35"/>
      <c r="O5" s="35"/>
      <c r="P5" s="35"/>
    </row>
    <row r="6" spans="1:30" ht="15.75">
      <c r="B6" s="484" t="s">
        <v>54</v>
      </c>
      <c r="C6" s="485" t="str">
        <f>Input!E7</f>
        <v>2021/22</v>
      </c>
      <c r="D6" s="7"/>
      <c r="E6" s="88" t="s">
        <v>68</v>
      </c>
      <c r="F6" s="2"/>
      <c r="G6" s="2"/>
      <c r="H6" s="3"/>
      <c r="K6" s="35"/>
      <c r="L6" s="35"/>
      <c r="M6" s="35"/>
    </row>
    <row r="7" spans="1:30" ht="15">
      <c r="B7" s="6"/>
      <c r="C7" s="9"/>
      <c r="D7" s="7"/>
      <c r="E7" s="74"/>
      <c r="F7" s="78"/>
      <c r="G7" s="54" t="str">
        <f>IF(Input!E5&gt;2023, "", "Year t-3")</f>
        <v>Year t-3</v>
      </c>
      <c r="H7" s="54" t="s">
        <v>53</v>
      </c>
      <c r="I7" s="54" t="s">
        <v>82</v>
      </c>
      <c r="J7" s="54" t="s">
        <v>0</v>
      </c>
      <c r="K7" s="41"/>
      <c r="L7" s="41"/>
      <c r="M7" s="41"/>
      <c r="N7" s="1"/>
    </row>
    <row r="8" spans="1:30" ht="18" customHeight="1">
      <c r="A8" s="11"/>
      <c r="B8" s="6"/>
      <c r="C8" s="9"/>
      <c r="D8" s="14"/>
      <c r="E8" s="75"/>
      <c r="F8" s="79"/>
      <c r="G8" s="55" t="str">
        <f>IF(Input!E5&gt;2023, "", "(actual)")</f>
        <v>(actual)</v>
      </c>
      <c r="H8" s="55" t="str">
        <f>IF(H9=2020,"(estimate)","(actual)")</f>
        <v>(estimate)</v>
      </c>
      <c r="I8" s="55" t="s">
        <v>80</v>
      </c>
      <c r="J8" s="55" t="s">
        <v>1</v>
      </c>
      <c r="K8" s="35"/>
      <c r="L8" s="35"/>
      <c r="M8" s="35"/>
    </row>
    <row r="9" spans="1:30" ht="18" customHeight="1">
      <c r="A9" s="11"/>
      <c r="B9" s="6"/>
      <c r="C9" s="9"/>
      <c r="D9" s="270"/>
      <c r="E9" s="75"/>
      <c r="F9" s="79"/>
      <c r="G9" s="56">
        <f>IF(Input!E5&gt;2023, "", Input!E10)</f>
        <v>2019</v>
      </c>
      <c r="H9" s="56">
        <f>Input!E9</f>
        <v>2020</v>
      </c>
      <c r="I9" s="56" t="str">
        <f>Input!E8</f>
        <v>HY21</v>
      </c>
      <c r="J9" s="56" t="str">
        <f>Input!E7</f>
        <v>2021/22</v>
      </c>
      <c r="K9" s="35"/>
      <c r="L9" s="35"/>
      <c r="M9" s="35"/>
    </row>
    <row r="10" spans="1:30" ht="18" customHeight="1">
      <c r="A10" s="11"/>
      <c r="B10" s="12" t="s">
        <v>65</v>
      </c>
      <c r="C10" s="9"/>
      <c r="D10" s="277"/>
      <c r="E10" s="75"/>
      <c r="F10" s="79"/>
      <c r="G10" s="359" t="b">
        <f>G9=G12</f>
        <v>0</v>
      </c>
      <c r="H10" s="49"/>
      <c r="I10" s="49"/>
      <c r="J10" s="52"/>
      <c r="K10" s="35"/>
      <c r="L10" s="35"/>
      <c r="M10" s="35"/>
    </row>
    <row r="11" spans="1:30" ht="18" customHeight="1">
      <c r="A11" s="11"/>
      <c r="B11" s="18" t="s">
        <v>274</v>
      </c>
      <c r="C11" s="250">
        <f>'Prop JUOS'!AY67</f>
        <v>12502598.8104</v>
      </c>
      <c r="D11" s="16"/>
      <c r="E11" s="517" t="s">
        <v>186</v>
      </c>
      <c r="F11" s="79"/>
      <c r="G11" s="414">
        <v>13174642.279999999</v>
      </c>
      <c r="H11" s="756">
        <v>12639439.469999965</v>
      </c>
      <c r="I11" s="756">
        <v>6894230.7070000004</v>
      </c>
      <c r="J11" s="48">
        <f>C13</f>
        <v>12502598.8104</v>
      </c>
      <c r="K11" s="35"/>
      <c r="L11" s="533" t="s">
        <v>119</v>
      </c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</row>
    <row r="12" spans="1:30" ht="18" customHeight="1">
      <c r="A12" s="11"/>
      <c r="B12" s="18" t="s">
        <v>275</v>
      </c>
      <c r="C12" s="686">
        <f>'Trial tariffs'!V26</f>
        <v>0</v>
      </c>
      <c r="D12" s="16"/>
      <c r="E12" s="76"/>
      <c r="F12" s="79"/>
      <c r="G12" s="49"/>
      <c r="H12" s="49"/>
      <c r="I12" s="49"/>
      <c r="J12" s="51"/>
      <c r="K12" s="35"/>
      <c r="L12" s="534"/>
      <c r="M12" s="533"/>
      <c r="N12" s="533"/>
      <c r="O12" s="533"/>
      <c r="P12" s="533"/>
      <c r="Q12" s="533"/>
      <c r="R12" s="533"/>
      <c r="S12" s="533"/>
      <c r="T12" s="533"/>
      <c r="U12" s="533"/>
      <c r="V12" s="533"/>
      <c r="W12" s="533"/>
      <c r="X12" s="533"/>
      <c r="Y12" s="533"/>
      <c r="Z12" s="533"/>
      <c r="AA12" s="533"/>
      <c r="AB12" s="533"/>
      <c r="AC12" s="533"/>
      <c r="AD12" s="533"/>
    </row>
    <row r="13" spans="1:30" ht="18" customHeight="1">
      <c r="A13" s="11"/>
      <c r="B13" s="15" t="s">
        <v>177</v>
      </c>
      <c r="C13" s="657">
        <f>SUM(C11:C12)</f>
        <v>12502598.8104</v>
      </c>
      <c r="D13" s="16"/>
      <c r="E13" s="76"/>
      <c r="F13" s="79"/>
      <c r="G13" s="49"/>
      <c r="H13" s="49"/>
      <c r="I13" s="49"/>
      <c r="J13" s="51"/>
      <c r="K13" s="35"/>
      <c r="L13" s="534" t="s">
        <v>197</v>
      </c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</row>
    <row r="14" spans="1:30" ht="18" customHeight="1">
      <c r="A14" s="11"/>
      <c r="B14" s="42" t="s">
        <v>25</v>
      </c>
      <c r="C14" s="43">
        <f>C20</f>
        <v>12518989.575189695</v>
      </c>
      <c r="D14" s="16"/>
      <c r="E14" s="77" t="s">
        <v>69</v>
      </c>
      <c r="F14" s="79"/>
      <c r="G14" s="48">
        <f>IF(Input!E5&gt;2023, "",G15+G16)</f>
        <v>13059579.550000001</v>
      </c>
      <c r="H14" s="48">
        <f>H15+H16</f>
        <v>11502245.569999997</v>
      </c>
      <c r="I14" s="48">
        <f>I15+I16</f>
        <v>6903480.6679605003</v>
      </c>
      <c r="J14" s="762">
        <f>J15+J16+J17</f>
        <v>16084729.59216575</v>
      </c>
      <c r="K14" s="35"/>
      <c r="L14" s="534" t="s">
        <v>198</v>
      </c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33"/>
      <c r="AC14" s="533"/>
      <c r="AD14" s="533"/>
    </row>
    <row r="15" spans="1:30" ht="18" customHeight="1">
      <c r="A15" s="11"/>
      <c r="B15" s="44"/>
      <c r="C15" s="45" t="str">
        <f>IF(C13="","",IF(C14&gt;=C13,"JSA REVENUE CAP FORMULA COMPLIANT","JSA REVENUE CAP FORMULA BREACHED"))</f>
        <v>JSA REVENUE CAP FORMULA COMPLIANT</v>
      </c>
      <c r="D15" s="694" t="b">
        <f>C15="JSA REVENUE CAP FORMULA COMPLIANT"</f>
        <v>1</v>
      </c>
      <c r="E15" s="511" t="str">
        <f>"+ "&amp;B23</f>
        <v>+ PFiT charges</v>
      </c>
      <c r="F15" s="79"/>
      <c r="G15" s="515">
        <v>13059579.550000001</v>
      </c>
      <c r="H15" s="757">
        <v>11502245.569999997</v>
      </c>
      <c r="I15" s="512">
        <v>6903480.6679605003</v>
      </c>
      <c r="J15" s="157">
        <f>C23</f>
        <v>13000000</v>
      </c>
      <c r="K15" s="35"/>
      <c r="L15" s="533" t="s">
        <v>199</v>
      </c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</row>
    <row r="16" spans="1:30" ht="18" customHeight="1">
      <c r="A16" s="11"/>
      <c r="B16" s="16"/>
      <c r="C16" s="16"/>
      <c r="D16" s="16"/>
      <c r="E16" s="511" t="str">
        <f>"+ "&amp;B24</f>
        <v>+ TFiT charges</v>
      </c>
      <c r="F16" s="79"/>
      <c r="G16" s="415">
        <v>0</v>
      </c>
      <c r="H16" s="248">
        <v>0</v>
      </c>
      <c r="I16" s="513">
        <v>0</v>
      </c>
      <c r="J16" s="51">
        <f>C24</f>
        <v>0</v>
      </c>
      <c r="K16" s="35"/>
      <c r="L16" s="35"/>
      <c r="M16" s="35"/>
      <c r="Q16" s="17"/>
      <c r="R16" s="17"/>
      <c r="S16" s="17"/>
    </row>
    <row r="17" spans="1:24" ht="18" customHeight="1">
      <c r="A17" s="11"/>
      <c r="B17" s="12" t="s">
        <v>67</v>
      </c>
      <c r="C17" s="16"/>
      <c r="D17" s="16"/>
      <c r="E17" s="511" t="str">
        <f>"+ "&amp;B25</f>
        <v>+ ESV levy</v>
      </c>
      <c r="F17" s="79"/>
      <c r="G17" s="677">
        <v>0</v>
      </c>
      <c r="H17" s="513">
        <v>0</v>
      </c>
      <c r="I17" s="513">
        <v>0</v>
      </c>
      <c r="J17" s="682">
        <f t="shared" ref="J17" si="0">C25</f>
        <v>3084729.59216575</v>
      </c>
      <c r="K17" s="35"/>
      <c r="L17" s="35"/>
      <c r="M17" s="35"/>
      <c r="Q17" s="17"/>
      <c r="R17" s="17"/>
      <c r="S17" s="17"/>
    </row>
    <row r="18" spans="1:24" ht="18" customHeight="1">
      <c r="A18" s="11"/>
      <c r="B18" s="18" t="s">
        <v>179</v>
      </c>
      <c r="C18" s="27">
        <f>C27</f>
        <v>16084729.59216575</v>
      </c>
      <c r="D18" s="16"/>
      <c r="E18" s="511"/>
      <c r="F18" s="79"/>
      <c r="G18" s="677"/>
      <c r="H18" s="513"/>
      <c r="I18" s="513"/>
      <c r="J18" s="682" t="str">
        <f>IF(C26="","",C26)</f>
        <v/>
      </c>
      <c r="K18" s="35"/>
      <c r="L18" s="35"/>
      <c r="M18" s="35"/>
      <c r="Q18" s="17"/>
      <c r="R18" s="17"/>
      <c r="S18" s="17"/>
    </row>
    <row r="19" spans="1:24" ht="18" customHeight="1">
      <c r="A19" s="11"/>
      <c r="B19" s="19" t="s">
        <v>306</v>
      </c>
      <c r="C19" s="696">
        <f>-J32*(1+J30)^0.5</f>
        <v>-3565740.0169760543</v>
      </c>
      <c r="D19" s="16"/>
      <c r="E19" s="511"/>
      <c r="F19" s="79"/>
      <c r="G19" s="27"/>
      <c r="H19" s="27"/>
      <c r="I19" s="27"/>
      <c r="J19" s="698"/>
      <c r="K19" s="35"/>
      <c r="L19" s="35"/>
      <c r="M19" s="35"/>
      <c r="Q19" s="17"/>
      <c r="R19" s="17"/>
      <c r="S19" s="17"/>
    </row>
    <row r="20" spans="1:24" ht="18" customHeight="1">
      <c r="A20" s="11"/>
      <c r="B20" s="15" t="s">
        <v>66</v>
      </c>
      <c r="C20" s="358">
        <f>C18+C19</f>
        <v>12518989.575189695</v>
      </c>
      <c r="D20" s="16"/>
      <c r="E20" s="699" t="s">
        <v>302</v>
      </c>
      <c r="F20" s="79"/>
      <c r="G20" s="678"/>
      <c r="H20" s="678"/>
      <c r="I20" s="678"/>
      <c r="J20" s="697"/>
      <c r="K20" s="721"/>
      <c r="L20" s="35"/>
      <c r="M20" s="35"/>
      <c r="Q20" s="17"/>
      <c r="R20" s="17"/>
      <c r="S20" s="17"/>
    </row>
    <row r="21" spans="1:24" ht="18" customHeight="1">
      <c r="A21" s="11"/>
      <c r="B21" s="20"/>
      <c r="C21" s="46"/>
      <c r="D21" s="16"/>
      <c r="E21" s="59" t="s">
        <v>303</v>
      </c>
      <c r="F21" s="82"/>
      <c r="G21" s="48">
        <f>IF(Input!E5&gt;2023, "", G11-G14+G20)</f>
        <v>115062.72999999858</v>
      </c>
      <c r="H21" s="48">
        <f>H11-H14+H20</f>
        <v>1137193.8999999687</v>
      </c>
      <c r="I21" s="48">
        <f>I11-I14+I20</f>
        <v>-9249.9609604999423</v>
      </c>
      <c r="J21" s="48">
        <f>J11-J14+J20</f>
        <v>-3582130.7817657497</v>
      </c>
      <c r="K21" s="35"/>
      <c r="L21" s="35"/>
      <c r="M21" s="35"/>
      <c r="Q21" s="17"/>
      <c r="R21" s="17"/>
      <c r="S21" s="17"/>
    </row>
    <row r="22" spans="1:24" ht="18" customHeight="1">
      <c r="A22" s="11"/>
      <c r="B22" s="12" t="s">
        <v>180</v>
      </c>
      <c r="C22" s="47"/>
      <c r="D22" s="16"/>
      <c r="E22" s="89"/>
      <c r="F22" s="2"/>
      <c r="G22" s="4"/>
      <c r="H22" s="4"/>
      <c r="I22" s="3"/>
      <c r="K22" s="35"/>
      <c r="L22" s="35"/>
      <c r="M22" s="35"/>
      <c r="Q22" s="17"/>
      <c r="R22" s="17"/>
      <c r="S22" s="17"/>
    </row>
    <row r="23" spans="1:24" ht="18" customHeight="1">
      <c r="A23" s="11"/>
      <c r="B23" s="18" t="s">
        <v>181</v>
      </c>
      <c r="C23" s="510">
        <v>13000000</v>
      </c>
      <c r="D23" s="16"/>
      <c r="E23" s="89"/>
      <c r="F23" s="2"/>
      <c r="G23" s="4"/>
      <c r="H23" s="4"/>
      <c r="I23" s="3"/>
      <c r="K23" s="35"/>
      <c r="L23" s="35"/>
      <c r="M23" s="35"/>
      <c r="Q23" s="17"/>
      <c r="R23" s="17"/>
      <c r="S23" s="17"/>
    </row>
    <row r="24" spans="1:24" ht="18" customHeight="1">
      <c r="A24" s="11"/>
      <c r="B24" s="19" t="s">
        <v>182</v>
      </c>
      <c r="C24" s="510">
        <v>0</v>
      </c>
      <c r="D24" s="16"/>
      <c r="E24" s="89"/>
      <c r="F24" s="2"/>
      <c r="G24" s="4"/>
      <c r="H24" s="4"/>
      <c r="I24" s="3"/>
      <c r="K24" s="35"/>
      <c r="L24" s="35"/>
      <c r="M24" s="35"/>
      <c r="Q24" s="17"/>
      <c r="R24" s="17"/>
      <c r="S24" s="17"/>
    </row>
    <row r="25" spans="1:24" ht="18" customHeight="1">
      <c r="A25" s="11"/>
      <c r="B25" s="19" t="s">
        <v>294</v>
      </c>
      <c r="C25" s="510">
        <v>3084729.59216575</v>
      </c>
      <c r="D25" s="16"/>
      <c r="E25" s="88" t="s">
        <v>70</v>
      </c>
      <c r="F25" s="2"/>
      <c r="G25" s="4"/>
      <c r="H25" s="4"/>
      <c r="I25" s="3"/>
      <c r="K25" s="35"/>
      <c r="L25" s="35"/>
      <c r="M25" s="35"/>
      <c r="Q25" s="17"/>
      <c r="R25" s="17"/>
      <c r="S25" s="17"/>
    </row>
    <row r="26" spans="1:24" ht="18" customHeight="1">
      <c r="A26" s="21"/>
      <c r="B26" s="19"/>
      <c r="C26" s="510"/>
      <c r="D26" s="16"/>
      <c r="E26" s="57"/>
      <c r="F26" s="78"/>
      <c r="G26" s="54" t="str">
        <f>IF(Input!E5&gt;2023, "", "Year t-3")</f>
        <v>Year t-3</v>
      </c>
      <c r="H26" s="54" t="s">
        <v>53</v>
      </c>
      <c r="I26" s="54" t="s">
        <v>82</v>
      </c>
      <c r="J26" s="54" t="s">
        <v>0</v>
      </c>
      <c r="K26" s="35"/>
      <c r="L26" s="35"/>
      <c r="M26" s="35"/>
      <c r="Q26" s="17"/>
      <c r="R26" s="17"/>
      <c r="S26" s="17"/>
    </row>
    <row r="27" spans="1:24" ht="18" customHeight="1">
      <c r="A27" s="11"/>
      <c r="B27" s="18" t="s">
        <v>183</v>
      </c>
      <c r="C27" s="358">
        <f>SUM(C23:C26)</f>
        <v>16084729.59216575</v>
      </c>
      <c r="D27" s="16"/>
      <c r="E27" s="58"/>
      <c r="F27" s="79"/>
      <c r="G27" s="55" t="str">
        <f>IF(Input!E5&gt;2023, "", "(actual)")</f>
        <v>(actual)</v>
      </c>
      <c r="H27" s="55" t="str">
        <f>IF(H28=2020,"(estimate)","(actual)")</f>
        <v>(estimate)</v>
      </c>
      <c r="I27" s="55" t="s">
        <v>80</v>
      </c>
      <c r="J27" s="55" t="s">
        <v>1</v>
      </c>
      <c r="K27" s="35"/>
      <c r="L27" s="35"/>
      <c r="M27" s="35"/>
      <c r="Q27" s="17"/>
      <c r="R27" s="17"/>
      <c r="S27" s="17"/>
    </row>
    <row r="28" spans="1:24" ht="18" customHeight="1">
      <c r="A28" s="11"/>
      <c r="B28" s="21"/>
      <c r="C28" s="29"/>
      <c r="D28" s="16"/>
      <c r="E28" s="58" t="s">
        <v>55</v>
      </c>
      <c r="F28" s="79"/>
      <c r="G28" s="56">
        <f>IF(Input!E5&gt;2023, "", G9)</f>
        <v>2019</v>
      </c>
      <c r="H28" s="56">
        <f>H9</f>
        <v>2020</v>
      </c>
      <c r="I28" s="56" t="str">
        <f>I9</f>
        <v>HY21</v>
      </c>
      <c r="J28" s="56" t="str">
        <f>J9</f>
        <v>2021/22</v>
      </c>
      <c r="K28" s="33"/>
      <c r="L28" s="33"/>
      <c r="M28" s="35"/>
      <c r="V28" s="17"/>
      <c r="W28" s="17"/>
      <c r="X28" s="17"/>
    </row>
    <row r="29" spans="1:24" ht="18" customHeight="1">
      <c r="A29" s="11"/>
      <c r="D29" s="16"/>
      <c r="E29" s="80"/>
      <c r="F29" s="78"/>
      <c r="G29" s="50"/>
      <c r="H29" s="50"/>
      <c r="I29" s="50"/>
      <c r="J29" s="81"/>
      <c r="K29" s="33"/>
      <c r="L29" s="33"/>
      <c r="M29" s="35"/>
      <c r="V29" s="17"/>
      <c r="W29" s="17"/>
      <c r="X29" s="17"/>
    </row>
    <row r="30" spans="1:24" ht="18" customHeight="1">
      <c r="A30" s="11"/>
      <c r="D30" s="16"/>
      <c r="E30" s="58" t="s">
        <v>83</v>
      </c>
      <c r="F30" s="79"/>
      <c r="G30" s="239">
        <f>IF(Input!E5&gt;2023, "", (1+Input!$D$43)*(1+Input!$E$25)-1)</f>
        <v>5.90724924111663E-2</v>
      </c>
      <c r="H30" s="240">
        <f>(1+Input!$D$42)*(1+Input!$E$26)-1</f>
        <v>5.2504741392848775E-2</v>
      </c>
      <c r="I30" s="50">
        <f>(1+Input!$D$41)*(1+Input!$E$27)-1</f>
        <v>2.4082091464971755E-2</v>
      </c>
      <c r="J30" s="240">
        <f>(1+Input!$D$40)*(1+Input!$E$28)-1</f>
        <v>3.5904064244940637E-2</v>
      </c>
      <c r="K30" s="33"/>
      <c r="L30" s="33"/>
      <c r="M30" s="35"/>
      <c r="V30" s="17"/>
      <c r="W30" s="17"/>
      <c r="X30" s="17"/>
    </row>
    <row r="31" spans="1:24" ht="18" customHeight="1">
      <c r="A31" s="11"/>
      <c r="D31" s="16"/>
      <c r="E31" s="58"/>
      <c r="F31" s="79"/>
      <c r="G31" s="49"/>
      <c r="H31" s="49"/>
      <c r="I31" s="49"/>
      <c r="J31" s="52"/>
      <c r="K31" s="33"/>
      <c r="L31" s="35"/>
      <c r="M31" s="35"/>
      <c r="U31" s="17"/>
      <c r="V31" s="17"/>
      <c r="W31" s="17"/>
    </row>
    <row r="32" spans="1:24" ht="18" customHeight="1">
      <c r="A32" s="11"/>
      <c r="D32" s="25"/>
      <c r="E32" s="58" t="s">
        <v>3</v>
      </c>
      <c r="F32" s="79"/>
      <c r="G32" s="415">
        <v>1918813.7539623366</v>
      </c>
      <c r="H32" s="282">
        <f>G36</f>
        <v>2150575.3560794671</v>
      </c>
      <c r="I32" s="51">
        <f>H36</f>
        <v>3430156.7870604009</v>
      </c>
      <c r="J32" s="51">
        <f>I36</f>
        <v>3503401.4589884318</v>
      </c>
      <c r="K32" s="33"/>
      <c r="L32" s="35"/>
      <c r="M32" s="35"/>
      <c r="U32" s="17"/>
      <c r="V32" s="17"/>
      <c r="W32" s="17"/>
    </row>
    <row r="33" spans="1:13">
      <c r="A33" s="25"/>
      <c r="D33" s="25"/>
      <c r="E33" s="58" t="s">
        <v>84</v>
      </c>
      <c r="F33" s="79"/>
      <c r="G33" s="63">
        <f>IF(Input!E5&gt;2023, "", G32*G30)</f>
        <v>113349.11091938165</v>
      </c>
      <c r="H33" s="63">
        <f>H32*H30</f>
        <v>112915.40291678609</v>
      </c>
      <c r="I33" s="63">
        <f>I32*I30</f>
        <v>82605.349485182218</v>
      </c>
      <c r="J33" s="63">
        <f>J32*J30</f>
        <v>125786.35105933942</v>
      </c>
      <c r="K33" s="34"/>
      <c r="L33" s="34"/>
      <c r="M33" s="35"/>
    </row>
    <row r="34" spans="1:13">
      <c r="A34" s="25"/>
      <c r="E34" s="58" t="s">
        <v>4</v>
      </c>
      <c r="F34" s="79"/>
      <c r="G34" s="51">
        <f>IF(Input!E5&gt;2023, "", G21)</f>
        <v>115062.72999999858</v>
      </c>
      <c r="H34" s="51">
        <f>H21</f>
        <v>1137193.8999999687</v>
      </c>
      <c r="I34" s="51">
        <f>I21</f>
        <v>-9249.9609604999423</v>
      </c>
      <c r="J34" s="51">
        <f>J21</f>
        <v>-3582130.7817657497</v>
      </c>
      <c r="K34" s="34"/>
      <c r="L34" s="34"/>
      <c r="M34" s="35"/>
    </row>
    <row r="35" spans="1:13">
      <c r="A35" s="4"/>
      <c r="E35" s="58" t="s">
        <v>81</v>
      </c>
      <c r="F35" s="79"/>
      <c r="G35" s="63">
        <f>IF(Input!E5&gt;2023, "", G34*((1+G30)^0.5-1))</f>
        <v>3349.7611977499437</v>
      </c>
      <c r="H35" s="63">
        <f>H34*((1+H30)^0.5-1)</f>
        <v>29472.128064178774</v>
      </c>
      <c r="I35" s="63">
        <f>I34*((1+I30)^0.5-1)</f>
        <v>-110.71659665126801</v>
      </c>
      <c r="J35" s="63">
        <f>J34*((1+J30)^0.5-1)</f>
        <v>-63739.445813563318</v>
      </c>
      <c r="K35" s="35"/>
      <c r="L35" s="35"/>
      <c r="M35" s="35"/>
    </row>
    <row r="36" spans="1:13" ht="15">
      <c r="A36" s="4"/>
      <c r="E36" s="59" t="s">
        <v>76</v>
      </c>
      <c r="F36" s="82"/>
      <c r="G36" s="48">
        <f>IF(Input!E5&gt;2023, "", SUM(G32:G35))</f>
        <v>2150575.3560794671</v>
      </c>
      <c r="H36" s="48">
        <f>SUM(H32:H35)</f>
        <v>3430156.7870604009</v>
      </c>
      <c r="I36" s="48">
        <f>SUM(I32:I35)</f>
        <v>3503401.4589884318</v>
      </c>
      <c r="J36" s="48">
        <f>SUM(J32:J35)</f>
        <v>-16682.41753154168</v>
      </c>
      <c r="K36" s="35"/>
      <c r="L36" s="35"/>
      <c r="M36" s="35"/>
    </row>
    <row r="37" spans="1:13">
      <c r="E37" s="2"/>
      <c r="F37" s="3"/>
      <c r="G37" s="4"/>
      <c r="H37" s="4"/>
      <c r="K37" s="35"/>
      <c r="L37" s="35"/>
      <c r="M37" s="35"/>
    </row>
    <row r="38" spans="1:13" ht="14.25" customHeight="1">
      <c r="E38" s="795" t="s">
        <v>184</v>
      </c>
      <c r="F38" s="795"/>
      <c r="G38" s="795"/>
      <c r="H38" s="795"/>
      <c r="I38" s="795"/>
      <c r="J38" s="795"/>
    </row>
    <row r="39" spans="1:13" ht="14.25" customHeight="1">
      <c r="E39" s="795"/>
      <c r="F39" s="795"/>
      <c r="G39" s="795"/>
      <c r="H39" s="795"/>
      <c r="I39" s="795"/>
      <c r="J39" s="795"/>
    </row>
    <row r="41" spans="1:13" ht="14.25" customHeight="1"/>
    <row r="45" spans="1:13">
      <c r="G45" s="4"/>
      <c r="H45" s="4"/>
    </row>
    <row r="46" spans="1:13">
      <c r="G46" s="4"/>
      <c r="H46" s="4"/>
    </row>
    <row r="47" spans="1:13">
      <c r="G47" s="4"/>
      <c r="H47" s="4"/>
    </row>
    <row r="48" spans="1:13">
      <c r="A48" s="4"/>
      <c r="G48" s="4"/>
      <c r="H48" s="4"/>
    </row>
    <row r="49" spans="1:8">
      <c r="A49" s="4"/>
      <c r="G49" s="4"/>
      <c r="H49" s="4"/>
    </row>
    <row r="50" spans="1:8">
      <c r="A50" s="4"/>
      <c r="G50" s="4"/>
      <c r="H50" s="4"/>
    </row>
    <row r="51" spans="1:8">
      <c r="A51" s="4"/>
      <c r="G51" s="4"/>
      <c r="H51" s="4"/>
    </row>
    <row r="52" spans="1:8">
      <c r="A52" s="4"/>
      <c r="G52" s="4"/>
      <c r="H52" s="4"/>
    </row>
    <row r="53" spans="1:8">
      <c r="A53" s="4"/>
      <c r="G53" s="4"/>
      <c r="H53" s="4"/>
    </row>
    <row r="54" spans="1:8">
      <c r="A54" s="4"/>
      <c r="G54" s="4"/>
      <c r="H54" s="4"/>
    </row>
    <row r="55" spans="1:8">
      <c r="A55" s="4"/>
      <c r="G55" s="4"/>
      <c r="H55" s="4"/>
    </row>
    <row r="56" spans="1:8">
      <c r="A56" s="4"/>
      <c r="G56" s="4"/>
      <c r="H56" s="4"/>
    </row>
    <row r="57" spans="1:8">
      <c r="A57" s="4"/>
      <c r="G57" s="4"/>
      <c r="H57" s="4"/>
    </row>
    <row r="58" spans="1:8">
      <c r="A58" s="4"/>
      <c r="G58" s="4"/>
      <c r="H58" s="4"/>
    </row>
    <row r="59" spans="1:8">
      <c r="A59" s="4"/>
      <c r="G59" s="4"/>
      <c r="H59" s="4"/>
    </row>
    <row r="60" spans="1:8">
      <c r="A60" s="4"/>
      <c r="G60" s="4"/>
      <c r="H60" s="4"/>
    </row>
    <row r="61" spans="1:8">
      <c r="A61" s="4"/>
      <c r="G61" s="4"/>
      <c r="H61" s="4"/>
    </row>
    <row r="62" spans="1:8">
      <c r="A62" s="4"/>
      <c r="G62" s="4"/>
      <c r="H62" s="4"/>
    </row>
    <row r="63" spans="1:8">
      <c r="A63" s="4"/>
      <c r="G63" s="4"/>
      <c r="H63" s="4"/>
    </row>
    <row r="64" spans="1:8">
      <c r="A64" s="4"/>
      <c r="G64" s="4"/>
      <c r="H64" s="4"/>
    </row>
    <row r="65" spans="1:8">
      <c r="A65" s="4"/>
      <c r="G65" s="4"/>
      <c r="H65" s="4"/>
    </row>
    <row r="66" spans="1:8">
      <c r="A66" s="4"/>
      <c r="G66" s="4"/>
      <c r="H66" s="4"/>
    </row>
    <row r="67" spans="1:8">
      <c r="A67" s="4"/>
      <c r="G67" s="4"/>
      <c r="H67" s="4"/>
    </row>
    <row r="68" spans="1:8">
      <c r="A68" s="4"/>
      <c r="G68" s="4"/>
      <c r="H68" s="4"/>
    </row>
    <row r="69" spans="1:8">
      <c r="A69" s="4"/>
      <c r="G69" s="4"/>
      <c r="H69" s="4"/>
    </row>
    <row r="70" spans="1:8">
      <c r="A70" s="4"/>
      <c r="G70" s="4"/>
      <c r="H70" s="4"/>
    </row>
    <row r="71" spans="1:8" ht="15">
      <c r="A71" s="4"/>
      <c r="E71" s="252"/>
      <c r="G71" s="4"/>
      <c r="H71" s="4"/>
    </row>
    <row r="72" spans="1:8">
      <c r="A72" s="4"/>
    </row>
    <row r="73" spans="1:8">
      <c r="A73" s="4"/>
    </row>
    <row r="74" spans="1:8">
      <c r="A74" s="4"/>
    </row>
  </sheetData>
  <mergeCells count="1">
    <mergeCell ref="E38:J39"/>
  </mergeCells>
  <conditionalFormatting sqref="G11">
    <cfRule type="expression" dxfId="19" priority="9">
      <formula>$G$10</formula>
    </cfRule>
  </conditionalFormatting>
  <conditionalFormatting sqref="H11">
    <cfRule type="expression" dxfId="18" priority="8">
      <formula>$G$10</formula>
    </cfRule>
  </conditionalFormatting>
  <conditionalFormatting sqref="G32">
    <cfRule type="expression" dxfId="17" priority="7">
      <formula>$G$10</formula>
    </cfRule>
  </conditionalFormatting>
  <conditionalFormatting sqref="H32">
    <cfRule type="expression" dxfId="16" priority="6">
      <formula>$G$10</formula>
    </cfRule>
  </conditionalFormatting>
  <conditionalFormatting sqref="H15:H18">
    <cfRule type="expression" dxfId="15" priority="5">
      <formula>$G$10</formula>
    </cfRule>
  </conditionalFormatting>
  <conditionalFormatting sqref="G15:G18">
    <cfRule type="expression" dxfId="14" priority="4">
      <formula>$G$10</formula>
    </cfRule>
  </conditionalFormatting>
  <conditionalFormatting sqref="C15">
    <cfRule type="expression" dxfId="13" priority="2">
      <formula>"&lt;&gt;$D$15"</formula>
    </cfRule>
    <cfRule type="expression" dxfId="12" priority="3">
      <formula>$D$15</formula>
    </cfRule>
  </conditionalFormatting>
  <conditionalFormatting sqref="G20">
    <cfRule type="expression" dxfId="11" priority="1">
      <formula>$G$10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  <pageSetUpPr autoPageBreaks="0"/>
  </sheetPr>
  <dimension ref="B1:BB106"/>
  <sheetViews>
    <sheetView zoomScale="80" zoomScaleNormal="80" workbookViewId="0">
      <pane xSplit="3" ySplit="6" topLeftCell="D7" activePane="bottomRight" state="frozen"/>
      <selection pane="topRight"/>
      <selection pane="bottomLeft"/>
      <selection pane="bottomRight" activeCell="I30" sqref="I30"/>
    </sheetView>
  </sheetViews>
  <sheetFormatPr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0.5703125" style="87" bestFit="1" customWidth="1"/>
    <col min="7" max="7" width="18" style="87" customWidth="1"/>
    <col min="8" max="9" width="10.5703125" style="87" bestFit="1" customWidth="1"/>
    <col min="10" max="11" width="9.5703125" style="87" bestFit="1" customWidth="1"/>
    <col min="12" max="12" width="9.5703125" style="87" customWidth="1"/>
    <col min="13" max="13" width="9.5703125" style="87" bestFit="1" customWidth="1"/>
    <col min="14" max="14" width="11.7109375" style="87" bestFit="1" customWidth="1"/>
    <col min="15" max="15" width="11.28515625" style="87" bestFit="1" customWidth="1"/>
    <col min="16" max="16" width="10.140625" style="87" bestFit="1" customWidth="1"/>
    <col min="17" max="17" width="10.140625" style="87" customWidth="1"/>
    <col min="18" max="18" width="10.140625" style="87" bestFit="1" customWidth="1"/>
    <col min="19" max="19" width="1.85546875" style="87" customWidth="1"/>
    <col min="20" max="20" width="16.7109375" style="87" bestFit="1" customWidth="1"/>
    <col min="21" max="21" width="19.28515625" style="87" customWidth="1"/>
    <col min="22" max="22" width="13.140625" style="87" customWidth="1"/>
    <col min="23" max="24" width="14.85546875" style="87" bestFit="1" customWidth="1"/>
    <col min="25" max="25" width="16.140625" style="87" customWidth="1"/>
    <col min="26" max="26" width="14.7109375" style="87" customWidth="1"/>
    <col min="27" max="27" width="14.85546875" style="87" bestFit="1" customWidth="1"/>
    <col min="28" max="28" width="14.85546875" style="87" customWidth="1"/>
    <col min="29" max="30" width="14.85546875" style="87" bestFit="1" customWidth="1"/>
    <col min="31" max="31" width="10" style="87" customWidth="1"/>
    <col min="32" max="32" width="14.85546875" style="87" bestFit="1" customWidth="1"/>
    <col min="33" max="34" width="14.85546875" style="87" customWidth="1"/>
    <col min="35" max="35" width="1.85546875" style="87" customWidth="1"/>
    <col min="36" max="36" width="14.28515625" style="87" customWidth="1"/>
    <col min="37" max="37" width="16.42578125" style="87" customWidth="1"/>
    <col min="38" max="38" width="16.28515625" style="87" customWidth="1"/>
    <col min="39" max="39" width="14.7109375" style="87" customWidth="1"/>
    <col min="40" max="40" width="13.5703125" style="87" bestFit="1" customWidth="1"/>
    <col min="41" max="41" width="14.28515625" style="87" customWidth="1"/>
    <col min="42" max="42" width="12.42578125" style="87" bestFit="1" customWidth="1"/>
    <col min="43" max="44" width="10.5703125" style="87" customWidth="1"/>
    <col min="45" max="45" width="10.85546875" style="87" customWidth="1"/>
    <col min="46" max="46" width="15.42578125" style="87" customWidth="1"/>
    <col min="47" max="47" width="12.42578125" style="87" bestFit="1" customWidth="1"/>
    <col min="48" max="48" width="9.85546875" style="87" bestFit="1" customWidth="1"/>
    <col min="49" max="49" width="9.85546875" style="87" customWidth="1"/>
    <col min="50" max="50" width="9.85546875" style="87" bestFit="1" customWidth="1"/>
    <col min="51" max="51" width="12.42578125" style="87" bestFit="1" customWidth="1"/>
    <col min="52" max="53" width="9.140625" style="87"/>
    <col min="54" max="54" width="15.140625" style="87" bestFit="1" customWidth="1"/>
    <col min="55" max="16384" width="9.140625" style="87"/>
  </cols>
  <sheetData>
    <row r="1" spans="2:54" ht="15">
      <c r="B1" s="69" t="str">
        <f>"Tariff Approval - "&amp;Input!E3</f>
        <v>Tariff Approval - United Energy</v>
      </c>
      <c r="C1" s="69"/>
      <c r="D1" s="276" t="s">
        <v>190</v>
      </c>
      <c r="F1" s="177"/>
    </row>
    <row r="2" spans="2:54">
      <c r="D2" s="177"/>
      <c r="E2" s="177"/>
    </row>
    <row r="3" spans="2:54">
      <c r="B3" s="99" t="str">
        <f>"PROPOSED "&amp;Input!$E$5&amp;" JURISDICTIONAL SCHEME TARIFFS"</f>
        <v>PROPOSED 2022 JURISDICTIONAL SCHEME TARIFFS</v>
      </c>
      <c r="C3" s="99"/>
    </row>
    <row r="4" spans="2:54">
      <c r="B4" s="99"/>
      <c r="C4" s="99"/>
    </row>
    <row r="5" spans="2:54" ht="13.5" thickBot="1">
      <c r="D5" s="391" t="str">
        <f>"Proposed Jurisdictional scheme Tariffs (Pt) for "&amp;Input!$E$7</f>
        <v>Proposed Jurisdictional scheme Tariffs (Pt) for 2021/22</v>
      </c>
      <c r="E5" s="392"/>
      <c r="F5" s="392"/>
      <c r="G5" s="392"/>
      <c r="H5" s="392"/>
      <c r="I5" s="84"/>
      <c r="T5" s="391" t="str">
        <f>"Forecast Quantities (Qt) for "&amp;Input!$E$7</f>
        <v>Forecast Quantities (Qt) for 2021/22</v>
      </c>
      <c r="U5" s="391"/>
      <c r="V5" s="392"/>
      <c r="W5" s="84"/>
      <c r="AJ5" s="391" t="str">
        <f>"Forecast Revenue (Pt "&amp;Input!$E$7&amp;")*(Qt " &amp;Input!$E$7&amp;")"</f>
        <v>Forecast Revenue (Pt 2021/22)*(Qt 2021/22)</v>
      </c>
      <c r="AK5" s="392"/>
      <c r="AL5" s="392"/>
      <c r="AM5" s="84"/>
    </row>
    <row r="6" spans="2:54">
      <c r="B6" s="100" t="s">
        <v>31</v>
      </c>
      <c r="C6" s="105"/>
      <c r="D6" s="101" t="str">
        <f>'Prop DUOS'!E6</f>
        <v>Fixed</v>
      </c>
      <c r="E6" s="102" t="str">
        <f>'Prop DUOS'!F6</f>
        <v>PkBlk1</v>
      </c>
      <c r="F6" s="102" t="str">
        <f>'Prop DUOS'!G6</f>
        <v>PkBlk2</v>
      </c>
      <c r="G6" s="102" t="str">
        <f>'Prop DUOS'!H6</f>
        <v>PkBlk3</v>
      </c>
      <c r="H6" s="102" t="str">
        <f>'Prop DUOS'!I6</f>
        <v>PkBlk4</v>
      </c>
      <c r="I6" s="102" t="str">
        <f>'Prop DUOS'!J6</f>
        <v>OPkBlk1</v>
      </c>
      <c r="J6" s="102" t="str">
        <f>'Prop DUOS'!K6</f>
        <v>OPkBlk2</v>
      </c>
      <c r="K6" s="102" t="str">
        <f>'Prop DUOS'!L6</f>
        <v>OPkBlk3</v>
      </c>
      <c r="L6" s="102" t="str">
        <f>'Prop DUOS'!M6</f>
        <v>OPkBlk4</v>
      </c>
      <c r="M6" s="102" t="str">
        <f>'Prop DUOS'!N6</f>
        <v>OPkBlk5</v>
      </c>
      <c r="N6" s="102" t="str">
        <f>'Prop DUOS'!O6</f>
        <v>DemBlk1</v>
      </c>
      <c r="O6" s="102" t="str">
        <f>'Prop DUOS'!P6</f>
        <v>DemBlk2</v>
      </c>
      <c r="P6" s="102" t="str">
        <f>'Prop DUOS'!Q6</f>
        <v>DemBlk3</v>
      </c>
      <c r="Q6" s="102" t="str">
        <f>'Prop DUOS'!R6</f>
        <v>DemBlk4</v>
      </c>
      <c r="R6" s="102" t="str">
        <f>'Prop DUOS'!S6</f>
        <v>DemBlk5</v>
      </c>
      <c r="T6" s="102" t="str">
        <f>'Prop DUOS'!U6</f>
        <v>Fixed</v>
      </c>
      <c r="U6" s="102" t="str">
        <f>'Prop DUOS'!V6</f>
        <v>PkBlk1</v>
      </c>
      <c r="V6" s="102" t="str">
        <f>'Prop DUOS'!W6</f>
        <v>PkBlk2</v>
      </c>
      <c r="W6" s="102" t="str">
        <f>'Prop DUOS'!X6</f>
        <v>PkBlk3</v>
      </c>
      <c r="X6" s="102" t="str">
        <f>'Prop DUOS'!Y6</f>
        <v>PkBlk4</v>
      </c>
      <c r="Y6" s="102" t="str">
        <f>'Prop DUOS'!Z6</f>
        <v>OPkBlk1</v>
      </c>
      <c r="Z6" s="102" t="str">
        <f>'Prop DUOS'!AA6</f>
        <v>OPkBlk2</v>
      </c>
      <c r="AA6" s="102" t="str">
        <f>'Prop DUOS'!AB6</f>
        <v>OPkBlk3</v>
      </c>
      <c r="AB6" s="102" t="str">
        <f>'Prop DUOS'!AC6</f>
        <v>OPkBlk4</v>
      </c>
      <c r="AC6" s="102" t="str">
        <f>'Prop DUOS'!AD6</f>
        <v>OPkBlk5</v>
      </c>
      <c r="AD6" s="102" t="str">
        <f>'Prop DUOS'!AE6</f>
        <v>DemBlk1</v>
      </c>
      <c r="AE6" s="102" t="str">
        <f>'Prop DUOS'!AF6</f>
        <v>DemBlk2</v>
      </c>
      <c r="AF6" s="102" t="str">
        <f>'Prop DUOS'!AG6</f>
        <v>DemBlk3</v>
      </c>
      <c r="AG6" s="102" t="str">
        <f>'Prop DUOS'!AH6</f>
        <v>DemBlk4</v>
      </c>
      <c r="AH6" s="102" t="str">
        <f>'Prop DUOS'!AI6</f>
        <v>DemBlk5</v>
      </c>
      <c r="AJ6" s="101" t="str">
        <f>'Prop DUOS'!E6</f>
        <v>Fixed</v>
      </c>
      <c r="AK6" s="102" t="str">
        <f>'Prop DUOS'!F6</f>
        <v>PkBlk1</v>
      </c>
      <c r="AL6" s="102" t="str">
        <f>'Prop DUOS'!G6</f>
        <v>PkBlk2</v>
      </c>
      <c r="AM6" s="102" t="str">
        <f>'Prop DUOS'!H6</f>
        <v>PkBlk3</v>
      </c>
      <c r="AN6" s="102" t="str">
        <f>'Prop DUOS'!I6</f>
        <v>PkBlk4</v>
      </c>
      <c r="AO6" s="102" t="str">
        <f>'Prop DUOS'!J6</f>
        <v>OPkBlk1</v>
      </c>
      <c r="AP6" s="102" t="str">
        <f>'Prop DUOS'!K6</f>
        <v>OPkBlk2</v>
      </c>
      <c r="AQ6" s="102" t="str">
        <f>'Prop DUOS'!L6</f>
        <v>OPkBlk3</v>
      </c>
      <c r="AR6" s="102" t="str">
        <f>'Prop DUOS'!M6</f>
        <v>OPkBlk4</v>
      </c>
      <c r="AS6" s="102" t="str">
        <f>'Prop DUOS'!N6</f>
        <v>OPkBlk5</v>
      </c>
      <c r="AT6" s="102" t="str">
        <f>'Prop DUOS'!O6</f>
        <v>DemBlk1</v>
      </c>
      <c r="AU6" s="102" t="str">
        <f>'Prop DUOS'!P6</f>
        <v>DemBlk2</v>
      </c>
      <c r="AV6" s="102" t="str">
        <f>'Prop DUOS'!Q6</f>
        <v>DemBlk3</v>
      </c>
      <c r="AW6" s="102" t="str">
        <f>'Prop DUOS'!R6</f>
        <v>DemBlk4</v>
      </c>
      <c r="AX6" s="102" t="str">
        <f>'Prop DUOS'!S6</f>
        <v>DemBlk5</v>
      </c>
      <c r="AY6" s="102" t="s">
        <v>28</v>
      </c>
    </row>
    <row r="7" spans="2:54" s="158" customFormat="1">
      <c r="B7" s="360" t="str">
        <f>IF('Prop DUOS'!B7="","",'Prop DUOS'!B7)</f>
        <v>Residential Single Rate</v>
      </c>
      <c r="C7" s="218"/>
      <c r="D7" s="759">
        <v>4.92</v>
      </c>
      <c r="E7" s="423">
        <v>0</v>
      </c>
      <c r="F7" s="423">
        <v>0</v>
      </c>
      <c r="G7" s="423">
        <v>0</v>
      </c>
      <c r="H7" s="423">
        <v>0</v>
      </c>
      <c r="I7" s="423">
        <v>0</v>
      </c>
      <c r="J7" s="423">
        <v>0</v>
      </c>
      <c r="K7" s="423">
        <v>0</v>
      </c>
      <c r="L7" s="423">
        <v>0</v>
      </c>
      <c r="M7" s="423">
        <v>0</v>
      </c>
      <c r="N7" s="423">
        <v>0</v>
      </c>
      <c r="O7" s="423">
        <v>0</v>
      </c>
      <c r="P7" s="423">
        <v>0</v>
      </c>
      <c r="Q7" s="423">
        <v>0</v>
      </c>
      <c r="R7" s="740">
        <v>0</v>
      </c>
      <c r="S7" s="228"/>
      <c r="T7" s="393">
        <f>'Prop DUOS'!U7</f>
        <v>580549</v>
      </c>
      <c r="U7" s="394">
        <f>'Prop DUOS'!V7</f>
        <v>2524288486.6366243</v>
      </c>
      <c r="V7" s="394">
        <f>'Prop DUOS'!W7</f>
        <v>0</v>
      </c>
      <c r="W7" s="394">
        <f>'Prop DUOS'!X7</f>
        <v>0</v>
      </c>
      <c r="X7" s="394">
        <f>'Prop DUOS'!Y7</f>
        <v>0</v>
      </c>
      <c r="Y7" s="394">
        <f>'Prop DUOS'!Z7</f>
        <v>0</v>
      </c>
      <c r="Z7" s="394">
        <f>'Prop DUOS'!AA7</f>
        <v>0</v>
      </c>
      <c r="AA7" s="394">
        <f>'Prop DUOS'!AB7</f>
        <v>0</v>
      </c>
      <c r="AB7" s="394">
        <f>'Prop DUOS'!AC7</f>
        <v>0</v>
      </c>
      <c r="AC7" s="394">
        <f>'Prop DUOS'!AD7</f>
        <v>0</v>
      </c>
      <c r="AD7" s="394">
        <f>'Prop DUOS'!AE7</f>
        <v>0</v>
      </c>
      <c r="AE7" s="394">
        <f>'Prop DUOS'!AF7</f>
        <v>0</v>
      </c>
      <c r="AF7" s="394">
        <f>'Prop DUOS'!AG7</f>
        <v>0</v>
      </c>
      <c r="AG7" s="630">
        <f>'Prop DUOS'!AH7</f>
        <v>0</v>
      </c>
      <c r="AH7" s="395">
        <f>'Prop DUOS'!AI7</f>
        <v>0</v>
      </c>
      <c r="AJ7" s="164">
        <f>IF('Prop DUOS'!$E$69="cents",D7/100,D7)*IF('Prop DUOS'!$E$71="day",T7*'Prop DUOS'!$D$74,T7)</f>
        <v>10425498.942</v>
      </c>
      <c r="AK7" s="165">
        <f>IF('Prop DUOS'!F$69="cents",E7/100,E7)*U7</f>
        <v>0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10425498.942</v>
      </c>
      <c r="BA7" s="87"/>
      <c r="BB7" s="87"/>
    </row>
    <row r="8" spans="2:54" s="158" customFormat="1">
      <c r="B8" s="360" t="str">
        <f>IF('Prop DUOS'!B8="","",'Prop DUOS'!B8)</f>
        <v>Residential ToU</v>
      </c>
      <c r="C8" s="220"/>
      <c r="D8" s="454">
        <v>4.92</v>
      </c>
      <c r="E8" s="426">
        <v>0</v>
      </c>
      <c r="F8" s="426">
        <v>0</v>
      </c>
      <c r="G8" s="426">
        <v>0</v>
      </c>
      <c r="H8" s="426">
        <v>0</v>
      </c>
      <c r="I8" s="426">
        <v>0</v>
      </c>
      <c r="J8" s="426">
        <v>0</v>
      </c>
      <c r="K8" s="426">
        <v>0</v>
      </c>
      <c r="L8" s="426">
        <v>0</v>
      </c>
      <c r="M8" s="426">
        <v>0</v>
      </c>
      <c r="N8" s="426">
        <v>0</v>
      </c>
      <c r="O8" s="426">
        <v>0</v>
      </c>
      <c r="P8" s="426">
        <v>0</v>
      </c>
      <c r="Q8" s="426">
        <v>0</v>
      </c>
      <c r="R8" s="455">
        <v>0</v>
      </c>
      <c r="S8" s="229"/>
      <c r="T8" s="396">
        <f>'Prop DUOS'!U8</f>
        <v>55272.112328767122</v>
      </c>
      <c r="U8" s="397">
        <f>'Prop DUOS'!V8</f>
        <v>0</v>
      </c>
      <c r="V8" s="397">
        <f>'Prop DUOS'!W8</f>
        <v>85971618.797040969</v>
      </c>
      <c r="W8" s="397">
        <f>'Prop DUOS'!X8</f>
        <v>165813121.49595508</v>
      </c>
      <c r="X8" s="397">
        <f>'Prop DUOS'!Y8</f>
        <v>0</v>
      </c>
      <c r="Y8" s="397">
        <f>'Prop DUOS'!Z8</f>
        <v>0</v>
      </c>
      <c r="Z8" s="397">
        <f>'Prop DUOS'!AA8</f>
        <v>0</v>
      </c>
      <c r="AA8" s="397">
        <f>'Prop DUOS'!AB8</f>
        <v>0</v>
      </c>
      <c r="AB8" s="397">
        <f>'Prop DUOS'!AC8</f>
        <v>0</v>
      </c>
      <c r="AC8" s="397">
        <f>'Prop DUOS'!AD8</f>
        <v>0</v>
      </c>
      <c r="AD8" s="397">
        <f>'Prop DUOS'!AE8</f>
        <v>0</v>
      </c>
      <c r="AE8" s="397">
        <f>'Prop DUOS'!AF8</f>
        <v>0</v>
      </c>
      <c r="AF8" s="397">
        <f>'Prop DUOS'!AG8</f>
        <v>0</v>
      </c>
      <c r="AG8" s="631">
        <f>'Prop DUOS'!AH8</f>
        <v>0</v>
      </c>
      <c r="AH8" s="398">
        <f>'Prop DUOS'!AI8</f>
        <v>0</v>
      </c>
      <c r="AJ8" s="210">
        <f>IF('Prop DUOS'!$E$69="cents",D8/100,D8)*IF('Prop DUOS'!$E$71="day",T8*'Prop DUOS'!$D$74,T8)</f>
        <v>992576.5932</v>
      </c>
      <c r="AK8" s="211">
        <f>IF('Prop DUOS'!F$69="cents",E8/100,E8)*U8</f>
        <v>0</v>
      </c>
      <c r="AL8" s="211">
        <f>IF('Prop DUOS'!G$69="cents",F8/100,F8)*V8</f>
        <v>0</v>
      </c>
      <c r="AM8" s="211">
        <f>IF('Prop DUOS'!H$69="cents",G8/100,G8)*W8</f>
        <v>0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992576.5932</v>
      </c>
      <c r="BA8" s="87"/>
      <c r="BB8" s="87"/>
    </row>
    <row r="9" spans="2:54" s="158" customFormat="1">
      <c r="B9" s="360" t="str">
        <f>IF('Prop DUOS'!B9="","",'Prop DUOS'!B9)</f>
        <v>Residential Demand</v>
      </c>
      <c r="C9" s="220"/>
      <c r="D9" s="454">
        <v>4.92</v>
      </c>
      <c r="E9" s="426">
        <v>0</v>
      </c>
      <c r="F9" s="426">
        <v>0</v>
      </c>
      <c r="G9" s="426">
        <v>0</v>
      </c>
      <c r="H9" s="426">
        <v>0</v>
      </c>
      <c r="I9" s="426">
        <v>0</v>
      </c>
      <c r="J9" s="426">
        <v>0</v>
      </c>
      <c r="K9" s="426">
        <v>0</v>
      </c>
      <c r="L9" s="426">
        <v>0</v>
      </c>
      <c r="M9" s="426">
        <v>0</v>
      </c>
      <c r="N9" s="426">
        <v>0</v>
      </c>
      <c r="O9" s="426">
        <v>0</v>
      </c>
      <c r="P9" s="426">
        <v>0</v>
      </c>
      <c r="Q9" s="426">
        <v>0</v>
      </c>
      <c r="R9" s="455">
        <v>0</v>
      </c>
      <c r="S9" s="229"/>
      <c r="T9" s="396">
        <f>'Prop DUOS'!U9</f>
        <v>809</v>
      </c>
      <c r="U9" s="397">
        <f>'Prop DUOS'!V9</f>
        <v>4347911.9823071193</v>
      </c>
      <c r="V9" s="397">
        <f>'Prop DUOS'!W9</f>
        <v>0</v>
      </c>
      <c r="W9" s="397">
        <f>'Prop DUOS'!X9</f>
        <v>0</v>
      </c>
      <c r="X9" s="397">
        <f>'Prop DUOS'!Y9</f>
        <v>0</v>
      </c>
      <c r="Y9" s="397">
        <f>'Prop DUOS'!Z9</f>
        <v>0</v>
      </c>
      <c r="Z9" s="397">
        <f>'Prop DUOS'!AA9</f>
        <v>0</v>
      </c>
      <c r="AA9" s="397">
        <f>'Prop DUOS'!AB9</f>
        <v>0</v>
      </c>
      <c r="AB9" s="397">
        <f>'Prop DUOS'!AC9</f>
        <v>0</v>
      </c>
      <c r="AC9" s="397">
        <f>'Prop DUOS'!AD9</f>
        <v>0</v>
      </c>
      <c r="AD9" s="397">
        <f>'Prop DUOS'!AE9</f>
        <v>0</v>
      </c>
      <c r="AE9" s="397">
        <f>'Prop DUOS'!AF9</f>
        <v>0</v>
      </c>
      <c r="AF9" s="397">
        <f>'Prop DUOS'!AG9</f>
        <v>938.38779800727002</v>
      </c>
      <c r="AG9" s="631">
        <f>'Prop DUOS'!AH9</f>
        <v>1742.4161316469886</v>
      </c>
      <c r="AH9" s="398">
        <f>'Prop DUOS'!AI9</f>
        <v>0</v>
      </c>
      <c r="AJ9" s="210">
        <f>IF('Prop DUOS'!$E$69="cents",D9/100,D9)*IF('Prop DUOS'!$E$71="day",T9*'Prop DUOS'!$D$74,T9)</f>
        <v>14528.022000000001</v>
      </c>
      <c r="AK9" s="211">
        <f>IF('Prop DUOS'!F$69="cents",E9/100,E9)*U9</f>
        <v>0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14528.022000000001</v>
      </c>
      <c r="BA9" s="87"/>
      <c r="BB9" s="87"/>
    </row>
    <row r="10" spans="2:54" s="158" customFormat="1">
      <c r="B10" s="360" t="str">
        <f>IF('Prop DUOS'!B10="","",'Prop DUOS'!B10)</f>
        <v>Dedicated circuit</v>
      </c>
      <c r="C10" s="220"/>
      <c r="D10" s="454">
        <v>0</v>
      </c>
      <c r="E10" s="426">
        <v>0</v>
      </c>
      <c r="F10" s="426">
        <v>0</v>
      </c>
      <c r="G10" s="426">
        <v>0</v>
      </c>
      <c r="H10" s="426">
        <v>0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6">
        <v>0</v>
      </c>
      <c r="O10" s="426">
        <v>0</v>
      </c>
      <c r="P10" s="426">
        <v>0</v>
      </c>
      <c r="Q10" s="426">
        <v>0</v>
      </c>
      <c r="R10" s="455">
        <v>0</v>
      </c>
      <c r="S10" s="229"/>
      <c r="T10" s="396">
        <f>'Prop DUOS'!U10</f>
        <v>54435.679452054792</v>
      </c>
      <c r="U10" s="397">
        <f>'Prop DUOS'!V10</f>
        <v>0</v>
      </c>
      <c r="V10" s="397">
        <f>'Prop DUOS'!W10</f>
        <v>0</v>
      </c>
      <c r="W10" s="397">
        <f>'Prop DUOS'!X10</f>
        <v>76921511.443784386</v>
      </c>
      <c r="X10" s="397">
        <f>'Prop DUOS'!Y10</f>
        <v>0</v>
      </c>
      <c r="Y10" s="397">
        <f>'Prop DUOS'!Z10</f>
        <v>0</v>
      </c>
      <c r="Z10" s="397">
        <f>'Prop DUOS'!AA10</f>
        <v>0</v>
      </c>
      <c r="AA10" s="397">
        <f>'Prop DUOS'!AB10</f>
        <v>0</v>
      </c>
      <c r="AB10" s="397">
        <f>'Prop DUOS'!AC10</f>
        <v>0</v>
      </c>
      <c r="AC10" s="397">
        <f>'Prop DUOS'!AD10</f>
        <v>0</v>
      </c>
      <c r="AD10" s="397">
        <f>'Prop DUOS'!AE10</f>
        <v>0</v>
      </c>
      <c r="AE10" s="397">
        <f>'Prop DUOS'!AF10</f>
        <v>0</v>
      </c>
      <c r="AF10" s="397">
        <f>'Prop DUOS'!AG10</f>
        <v>0</v>
      </c>
      <c r="AG10" s="631">
        <f>'Prop DUOS'!AH10</f>
        <v>0</v>
      </c>
      <c r="AH10" s="398">
        <f>'Prop DUOS'!AI10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0</v>
      </c>
      <c r="AO10" s="211">
        <f>IF('Prop DUOS'!J$69="cents",I10/100,I10)*Y10</f>
        <v>0</v>
      </c>
      <c r="AP10" s="211">
        <f>IF('Prop DUOS'!K$69="cents",J10/100,J10)*Z10</f>
        <v>0</v>
      </c>
      <c r="AQ10" s="211">
        <f>IF('Prop DUOS'!L$69="cents",K10/100,K10)*AA10</f>
        <v>0</v>
      </c>
      <c r="AR10" s="211">
        <f>IF('Prop DUOS'!M$69="cents",L10/100,L10)*AB10</f>
        <v>0</v>
      </c>
      <c r="AS10" s="211">
        <f>IF('Prop DUOS'!N$69="cents",M10/100,M10)*AC10</f>
        <v>0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0</v>
      </c>
      <c r="BA10" s="87"/>
      <c r="BB10" s="87"/>
    </row>
    <row r="11" spans="2:54" s="158" customFormat="1">
      <c r="B11" s="360" t="str">
        <f>IF('Prop DUOS'!B11="","",'Prop DUOS'!B11)</f>
        <v>Small Business Single Rate</v>
      </c>
      <c r="C11" s="220"/>
      <c r="D11" s="454">
        <v>4.92</v>
      </c>
      <c r="E11" s="426">
        <v>0</v>
      </c>
      <c r="F11" s="426">
        <v>0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6">
        <v>0</v>
      </c>
      <c r="O11" s="426">
        <v>0</v>
      </c>
      <c r="P11" s="426">
        <v>0</v>
      </c>
      <c r="Q11" s="426">
        <v>0</v>
      </c>
      <c r="R11" s="455">
        <v>0</v>
      </c>
      <c r="S11" s="229"/>
      <c r="T11" s="396">
        <f>'Prop DUOS'!U11</f>
        <v>36969</v>
      </c>
      <c r="U11" s="397">
        <f>'Prop DUOS'!V11</f>
        <v>403328071.08330297</v>
      </c>
      <c r="V11" s="397">
        <f>'Prop DUOS'!W11</f>
        <v>0</v>
      </c>
      <c r="W11" s="397">
        <f>'Prop DUOS'!X11</f>
        <v>0</v>
      </c>
      <c r="X11" s="397">
        <f>'Prop DUOS'!Y11</f>
        <v>0</v>
      </c>
      <c r="Y11" s="397">
        <f>'Prop DUOS'!Z11</f>
        <v>0</v>
      </c>
      <c r="Z11" s="397">
        <f>'Prop DUOS'!AA11</f>
        <v>0</v>
      </c>
      <c r="AA11" s="397">
        <f>'Prop DUOS'!AB11</f>
        <v>0</v>
      </c>
      <c r="AB11" s="397">
        <f>'Prop DUOS'!AC11</f>
        <v>0</v>
      </c>
      <c r="AC11" s="397">
        <f>'Prop DUOS'!AD11</f>
        <v>0</v>
      </c>
      <c r="AD11" s="397">
        <f>'Prop DUOS'!AE11</f>
        <v>0</v>
      </c>
      <c r="AE11" s="397">
        <f>'Prop DUOS'!AF11</f>
        <v>0</v>
      </c>
      <c r="AF11" s="397">
        <f>'Prop DUOS'!AG11</f>
        <v>0</v>
      </c>
      <c r="AG11" s="631">
        <f>'Prop DUOS'!AH11</f>
        <v>0</v>
      </c>
      <c r="AH11" s="398">
        <f>'Prop DUOS'!AI11</f>
        <v>0</v>
      </c>
      <c r="AJ11" s="210">
        <f>IF('Prop DUOS'!$E$69="cents",D11/100,D11)*IF('Prop DUOS'!$E$71="day",T11*'Prop DUOS'!$D$74,T11)</f>
        <v>663889.30200000003</v>
      </c>
      <c r="AK11" s="211">
        <f>IF('Prop DUOS'!F$69="cents",E11/100,E11)*U11</f>
        <v>0</v>
      </c>
      <c r="AL11" s="211">
        <f>IF('Prop DUOS'!G$69="cents",F11/100,F11)*V11</f>
        <v>0</v>
      </c>
      <c r="AM11" s="211">
        <f>IF('Prop DUOS'!H$69="cents",G11/100,G11)*W11</f>
        <v>0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663889.30200000003</v>
      </c>
      <c r="BA11" s="87"/>
      <c r="BB11" s="87"/>
    </row>
    <row r="12" spans="2:54" s="158" customFormat="1">
      <c r="B12" s="360" t="str">
        <f>IF('Prop DUOS'!B12="","",'Prop DUOS'!B12)</f>
        <v>Small Business ToU</v>
      </c>
      <c r="C12" s="220"/>
      <c r="D12" s="454">
        <v>4.92</v>
      </c>
      <c r="E12" s="426">
        <v>0</v>
      </c>
      <c r="F12" s="426">
        <v>0</v>
      </c>
      <c r="G12" s="426">
        <v>0</v>
      </c>
      <c r="H12" s="426">
        <v>0</v>
      </c>
      <c r="I12" s="426">
        <v>0</v>
      </c>
      <c r="J12" s="426">
        <v>0</v>
      </c>
      <c r="K12" s="426">
        <v>0</v>
      </c>
      <c r="L12" s="426">
        <v>0</v>
      </c>
      <c r="M12" s="426">
        <v>0</v>
      </c>
      <c r="N12" s="426">
        <v>0</v>
      </c>
      <c r="O12" s="426">
        <v>0</v>
      </c>
      <c r="P12" s="426">
        <v>0</v>
      </c>
      <c r="Q12" s="426">
        <v>0</v>
      </c>
      <c r="R12" s="455">
        <v>0</v>
      </c>
      <c r="S12" s="229"/>
      <c r="T12" s="396">
        <f>'Prop DUOS'!U12</f>
        <v>14398.068493150686</v>
      </c>
      <c r="U12" s="397">
        <f>'Prop DUOS'!V12</f>
        <v>0</v>
      </c>
      <c r="V12" s="397">
        <f>'Prop DUOS'!W12</f>
        <v>123667368.07564241</v>
      </c>
      <c r="W12" s="397">
        <f>'Prop DUOS'!X12</f>
        <v>113278792.18936664</v>
      </c>
      <c r="X12" s="397">
        <f>'Prop DUOS'!Y12</f>
        <v>0</v>
      </c>
      <c r="Y12" s="397">
        <f>'Prop DUOS'!Z12</f>
        <v>0</v>
      </c>
      <c r="Z12" s="397">
        <f>'Prop DUOS'!AA12</f>
        <v>0</v>
      </c>
      <c r="AA12" s="397">
        <f>'Prop DUOS'!AB12</f>
        <v>0</v>
      </c>
      <c r="AB12" s="397">
        <f>'Prop DUOS'!AC12</f>
        <v>0</v>
      </c>
      <c r="AC12" s="397">
        <f>'Prop DUOS'!AD12</f>
        <v>0</v>
      </c>
      <c r="AD12" s="397">
        <f>'Prop DUOS'!AE12</f>
        <v>0</v>
      </c>
      <c r="AE12" s="397">
        <f>'Prop DUOS'!AF12</f>
        <v>0</v>
      </c>
      <c r="AF12" s="397">
        <f>'Prop DUOS'!AG12</f>
        <v>0</v>
      </c>
      <c r="AG12" s="631">
        <f>'Prop DUOS'!AH12</f>
        <v>0</v>
      </c>
      <c r="AH12" s="398">
        <f>'Prop DUOS'!AI12</f>
        <v>0</v>
      </c>
      <c r="AJ12" s="210">
        <f>IF('Prop DUOS'!$E$69="cents",D12/100,D12)*IF('Prop DUOS'!$E$71="day",T12*'Prop DUOS'!$D$74,T12)</f>
        <v>258560.514</v>
      </c>
      <c r="AK12" s="211">
        <f>IF('Prop DUOS'!F$69="cents",E12/100,E12)*U12</f>
        <v>0</v>
      </c>
      <c r="AL12" s="211">
        <f>IF('Prop DUOS'!G$69="cents",F12/100,F12)*V12</f>
        <v>0</v>
      </c>
      <c r="AM12" s="211">
        <f>IF('Prop DUOS'!H$69="cents",G12/100,G12)*W12</f>
        <v>0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258560.514</v>
      </c>
      <c r="BA12" s="87"/>
      <c r="BB12" s="87"/>
    </row>
    <row r="13" spans="2:54" s="158" customFormat="1">
      <c r="B13" s="360" t="str">
        <f>IF('Prop DUOS'!B13="","",'Prop DUOS'!B13)</f>
        <v>Small Business Demand</v>
      </c>
      <c r="C13" s="220"/>
      <c r="D13" s="454">
        <v>4.92</v>
      </c>
      <c r="E13" s="426">
        <v>0</v>
      </c>
      <c r="F13" s="426">
        <v>0</v>
      </c>
      <c r="G13" s="426">
        <v>0</v>
      </c>
      <c r="H13" s="426">
        <v>0</v>
      </c>
      <c r="I13" s="426">
        <v>0</v>
      </c>
      <c r="J13" s="426">
        <v>0</v>
      </c>
      <c r="K13" s="426">
        <v>0</v>
      </c>
      <c r="L13" s="426">
        <v>0</v>
      </c>
      <c r="M13" s="426">
        <v>0</v>
      </c>
      <c r="N13" s="426">
        <v>0</v>
      </c>
      <c r="O13" s="426">
        <v>0</v>
      </c>
      <c r="P13" s="426">
        <v>0</v>
      </c>
      <c r="Q13" s="426">
        <v>0</v>
      </c>
      <c r="R13" s="455">
        <v>0</v>
      </c>
      <c r="S13" s="229"/>
      <c r="T13" s="396">
        <f>'Prop DUOS'!U13</f>
        <v>8216.139726027397</v>
      </c>
      <c r="U13" s="397">
        <f>'Prop DUOS'!V13</f>
        <v>625883199.74601364</v>
      </c>
      <c r="V13" s="397">
        <f>'Prop DUOS'!W13</f>
        <v>0</v>
      </c>
      <c r="W13" s="397">
        <f>'Prop DUOS'!X13</f>
        <v>0</v>
      </c>
      <c r="X13" s="397">
        <f>'Prop DUOS'!Y13</f>
        <v>0</v>
      </c>
      <c r="Y13" s="397">
        <f>'Prop DUOS'!Z13</f>
        <v>0</v>
      </c>
      <c r="Z13" s="397">
        <f>'Prop DUOS'!AA13</f>
        <v>0</v>
      </c>
      <c r="AA13" s="397">
        <f>'Prop DUOS'!AB13</f>
        <v>0</v>
      </c>
      <c r="AB13" s="397">
        <f>'Prop DUOS'!AC13</f>
        <v>0</v>
      </c>
      <c r="AC13" s="397">
        <f>'Prop DUOS'!AD13</f>
        <v>0</v>
      </c>
      <c r="AD13" s="397">
        <f>'Prop DUOS'!AE13</f>
        <v>0</v>
      </c>
      <c r="AE13" s="397">
        <f>'Prop DUOS'!AF13</f>
        <v>0</v>
      </c>
      <c r="AF13" s="397">
        <f>'Prop DUOS'!AG13</f>
        <v>75415.659202010967</v>
      </c>
      <c r="AG13" s="631">
        <f>'Prop DUOS'!AH13</f>
        <v>126023.54741072851</v>
      </c>
      <c r="AH13" s="398">
        <f>'Prop DUOS'!AI13</f>
        <v>0</v>
      </c>
      <c r="AJ13" s="210">
        <f>IF('Prop DUOS'!$E$69="cents",D13/100,D13)*IF('Prop DUOS'!$E$71="day",T13*'Prop DUOS'!$D$74,T13)</f>
        <v>147545.43720000001</v>
      </c>
      <c r="AK13" s="211">
        <f>IF('Prop DUOS'!F$69="cents",E13/100,E13)*U13</f>
        <v>0</v>
      </c>
      <c r="AL13" s="211">
        <f>IF('Prop DUOS'!G$69="cents",F13/100,F13)*V13</f>
        <v>0</v>
      </c>
      <c r="AM13" s="211">
        <f>IF('Prop DUOS'!H$69="cents",G13/100,G13)*W13</f>
        <v>0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147545.43720000001</v>
      </c>
      <c r="BA13" s="87"/>
      <c r="BB13" s="87"/>
    </row>
    <row r="14" spans="2:54" s="158" customFormat="1">
      <c r="B14" s="360" t="str">
        <f>IF('Prop DUOS'!B14="","",'Prop DUOS'!B14)</f>
        <v>Unmetered supplies</v>
      </c>
      <c r="C14" s="220"/>
      <c r="D14" s="454">
        <v>0</v>
      </c>
      <c r="E14" s="426">
        <v>0</v>
      </c>
      <c r="F14" s="426">
        <v>0</v>
      </c>
      <c r="G14" s="426">
        <v>0</v>
      </c>
      <c r="H14" s="426">
        <v>0</v>
      </c>
      <c r="I14" s="426">
        <v>0</v>
      </c>
      <c r="J14" s="426">
        <v>0</v>
      </c>
      <c r="K14" s="426">
        <v>0</v>
      </c>
      <c r="L14" s="426">
        <v>0</v>
      </c>
      <c r="M14" s="426">
        <v>0</v>
      </c>
      <c r="N14" s="426">
        <v>0</v>
      </c>
      <c r="O14" s="426">
        <v>0</v>
      </c>
      <c r="P14" s="426">
        <v>0</v>
      </c>
      <c r="Q14" s="426">
        <v>0</v>
      </c>
      <c r="R14" s="455">
        <v>0</v>
      </c>
      <c r="S14" s="229"/>
      <c r="T14" s="396">
        <f>'Prop DUOS'!U14</f>
        <v>9501.465753424658</v>
      </c>
      <c r="U14" s="397">
        <f>'Prop DUOS'!V14</f>
        <v>0</v>
      </c>
      <c r="V14" s="397">
        <f>'Prop DUOS'!W14</f>
        <v>32050724.468822587</v>
      </c>
      <c r="W14" s="397">
        <f>'Prop DUOS'!X14</f>
        <v>59106621.536154352</v>
      </c>
      <c r="X14" s="397">
        <f>'Prop DUOS'!Y14</f>
        <v>0</v>
      </c>
      <c r="Y14" s="397">
        <f>'Prop DUOS'!Z14</f>
        <v>0</v>
      </c>
      <c r="Z14" s="397">
        <f>'Prop DUOS'!AA14</f>
        <v>0</v>
      </c>
      <c r="AA14" s="397">
        <f>'Prop DUOS'!AB14</f>
        <v>0</v>
      </c>
      <c r="AB14" s="397">
        <f>'Prop DUOS'!AC14</f>
        <v>0</v>
      </c>
      <c r="AC14" s="397">
        <f>'Prop DUOS'!AD14</f>
        <v>0</v>
      </c>
      <c r="AD14" s="397">
        <f>'Prop DUOS'!AE14</f>
        <v>0</v>
      </c>
      <c r="AE14" s="397">
        <f>'Prop DUOS'!AF14</f>
        <v>0</v>
      </c>
      <c r="AF14" s="397">
        <f>'Prop DUOS'!AG14</f>
        <v>0</v>
      </c>
      <c r="AG14" s="631">
        <f>'Prop DUOS'!AH14</f>
        <v>0</v>
      </c>
      <c r="AH14" s="398">
        <f>'Prop DUOS'!AI14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0</v>
      </c>
      <c r="AL14" s="211">
        <f>IF('Prop DUOS'!G$69="cents",F14/100,F14)*V14</f>
        <v>0</v>
      </c>
      <c r="AM14" s="211">
        <f>IF('Prop DUOS'!H$69="cents",G14/100,G14)*W14</f>
        <v>0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0</v>
      </c>
      <c r="BA14" s="87"/>
      <c r="BB14" s="87"/>
    </row>
    <row r="15" spans="2:54" s="158" customFormat="1">
      <c r="B15" s="360" t="str">
        <f>IF('Prop DUOS'!B15="","",'Prop DUOS'!B15)</f>
        <v>Large low Voltage</v>
      </c>
      <c r="C15" s="220"/>
      <c r="D15" s="454">
        <v>0</v>
      </c>
      <c r="E15" s="426">
        <v>0</v>
      </c>
      <c r="F15" s="426">
        <v>0</v>
      </c>
      <c r="G15" s="426">
        <v>0</v>
      </c>
      <c r="H15" s="426">
        <v>0</v>
      </c>
      <c r="I15" s="426">
        <v>0</v>
      </c>
      <c r="J15" s="426">
        <v>0</v>
      </c>
      <c r="K15" s="426">
        <v>0</v>
      </c>
      <c r="L15" s="426">
        <v>0</v>
      </c>
      <c r="M15" s="426">
        <v>0</v>
      </c>
      <c r="N15" s="426">
        <v>0</v>
      </c>
      <c r="O15" s="426">
        <v>0</v>
      </c>
      <c r="P15" s="426">
        <v>0</v>
      </c>
      <c r="Q15" s="426">
        <v>0</v>
      </c>
      <c r="R15" s="455">
        <v>0</v>
      </c>
      <c r="S15" s="229"/>
      <c r="T15" s="396">
        <f>'Prop DUOS'!U15</f>
        <v>2989.5698630136985</v>
      </c>
      <c r="U15" s="397">
        <f>'Prop DUOS'!V15</f>
        <v>0</v>
      </c>
      <c r="V15" s="397">
        <f>'Prop DUOS'!W15</f>
        <v>981694296.1242367</v>
      </c>
      <c r="W15" s="397">
        <f>'Prop DUOS'!X15</f>
        <v>1184370376.5132132</v>
      </c>
      <c r="X15" s="397">
        <f>'Prop DUOS'!Y15</f>
        <v>0</v>
      </c>
      <c r="Y15" s="397">
        <f>'Prop DUOS'!Z15</f>
        <v>0</v>
      </c>
      <c r="Z15" s="397">
        <f>'Prop DUOS'!AA15</f>
        <v>0</v>
      </c>
      <c r="AA15" s="397">
        <f>'Prop DUOS'!AB15</f>
        <v>0</v>
      </c>
      <c r="AB15" s="397">
        <f>'Prop DUOS'!AC15</f>
        <v>0</v>
      </c>
      <c r="AC15" s="397">
        <f>'Prop DUOS'!AD15</f>
        <v>0</v>
      </c>
      <c r="AD15" s="397">
        <f>'Prop DUOS'!AE15</f>
        <v>823719.26000000047</v>
      </c>
      <c r="AE15" s="397">
        <f>'Prop DUOS'!AF15</f>
        <v>185858.51673972595</v>
      </c>
      <c r="AF15" s="397">
        <f>'Prop DUOS'!AG15</f>
        <v>0</v>
      </c>
      <c r="AG15" s="631">
        <f>'Prop DUOS'!AH15</f>
        <v>0</v>
      </c>
      <c r="AH15" s="398">
        <f>'Prop DUOS'!AI15</f>
        <v>0</v>
      </c>
      <c r="AJ15" s="210">
        <f>IF('Prop DUOS'!$E$69="cents",D15/100,D15)*IF('Prop DUOS'!$E$71="day",T15*'Prop DUOS'!$D$74,T15)</f>
        <v>0</v>
      </c>
      <c r="AK15" s="211">
        <f>IF('Prop DUOS'!F$69="cents",E15/100,E15)*U15</f>
        <v>0</v>
      </c>
      <c r="AL15" s="211">
        <f>IF('Prop DUOS'!G$69="cents",F15/100,F15)*V15</f>
        <v>0</v>
      </c>
      <c r="AM15" s="211">
        <f>IF('Prop DUOS'!H$69="cents",G15/100,G15)*W15</f>
        <v>0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0</v>
      </c>
      <c r="BA15" s="87"/>
      <c r="BB15" s="87"/>
    </row>
    <row r="16" spans="2:54" s="158" customFormat="1">
      <c r="B16" s="360" t="str">
        <f>IF('Prop DUOS'!B16="","",'Prop DUOS'!B16)</f>
        <v>High voltage</v>
      </c>
      <c r="C16" s="220"/>
      <c r="D16" s="454">
        <v>0</v>
      </c>
      <c r="E16" s="426">
        <v>0</v>
      </c>
      <c r="F16" s="426">
        <v>0</v>
      </c>
      <c r="G16" s="426">
        <v>0</v>
      </c>
      <c r="H16" s="426">
        <v>0</v>
      </c>
      <c r="I16" s="426">
        <v>0</v>
      </c>
      <c r="J16" s="426">
        <v>0</v>
      </c>
      <c r="K16" s="426">
        <v>0</v>
      </c>
      <c r="L16" s="426">
        <v>0</v>
      </c>
      <c r="M16" s="426">
        <v>0</v>
      </c>
      <c r="N16" s="426">
        <v>0</v>
      </c>
      <c r="O16" s="426">
        <v>0</v>
      </c>
      <c r="P16" s="426">
        <v>0</v>
      </c>
      <c r="Q16" s="426">
        <v>0</v>
      </c>
      <c r="R16" s="455">
        <v>0</v>
      </c>
      <c r="S16" s="229"/>
      <c r="T16" s="396">
        <f>'Prop DUOS'!U16</f>
        <v>95</v>
      </c>
      <c r="U16" s="397">
        <f>'Prop DUOS'!V16</f>
        <v>0</v>
      </c>
      <c r="V16" s="397">
        <f>'Prop DUOS'!W16</f>
        <v>399717208.64517057</v>
      </c>
      <c r="W16" s="397">
        <f>'Prop DUOS'!X16</f>
        <v>623012247.97659087</v>
      </c>
      <c r="X16" s="397">
        <f>'Prop DUOS'!Y16</f>
        <v>0</v>
      </c>
      <c r="Y16" s="397">
        <f>'Prop DUOS'!Z16</f>
        <v>0</v>
      </c>
      <c r="Z16" s="397">
        <f>'Prop DUOS'!AA16</f>
        <v>0</v>
      </c>
      <c r="AA16" s="397">
        <f>'Prop DUOS'!AB16</f>
        <v>0</v>
      </c>
      <c r="AB16" s="397">
        <f>'Prop DUOS'!AC16</f>
        <v>0</v>
      </c>
      <c r="AC16" s="397">
        <f>'Prop DUOS'!AD16</f>
        <v>0</v>
      </c>
      <c r="AD16" s="397">
        <f>'Prop DUOS'!AE16</f>
        <v>274773.69</v>
      </c>
      <c r="AE16" s="397">
        <f>'Prop DUOS'!AF16</f>
        <v>69117.120904109615</v>
      </c>
      <c r="AF16" s="397">
        <f>'Prop DUOS'!AG16</f>
        <v>0</v>
      </c>
      <c r="AG16" s="631">
        <f>'Prop DUOS'!AH16</f>
        <v>0</v>
      </c>
      <c r="AH16" s="398">
        <f>'Prop DUOS'!AI16</f>
        <v>0</v>
      </c>
      <c r="AJ16" s="210">
        <f>IF('Prop DUOS'!$E$69="cents",D16/100,D16)*IF('Prop DUOS'!$E$71="day",T16*'Prop DUOS'!$D$74,T16)</f>
        <v>0</v>
      </c>
      <c r="AK16" s="211">
        <f>IF('Prop DUOS'!F$69="cents",E16/100,E16)*U16</f>
        <v>0</v>
      </c>
      <c r="AL16" s="211">
        <f>IF('Prop DUOS'!G$69="cents",F16/100,F16)*V16</f>
        <v>0</v>
      </c>
      <c r="AM16" s="211">
        <f>IF('Prop DUOS'!H$69="cents",G16/100,G16)*W16</f>
        <v>0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0</v>
      </c>
      <c r="BA16" s="87"/>
      <c r="BB16" s="87"/>
    </row>
    <row r="17" spans="2:54" s="158" customFormat="1">
      <c r="B17" s="360" t="str">
        <f>IF('Prop DUOS'!B17="","",'Prop DUOS'!B17)</f>
        <v>Subtransmission</v>
      </c>
      <c r="C17" s="220"/>
      <c r="D17" s="454">
        <v>0</v>
      </c>
      <c r="E17" s="426">
        <v>0</v>
      </c>
      <c r="F17" s="426">
        <v>0</v>
      </c>
      <c r="G17" s="426">
        <v>0</v>
      </c>
      <c r="H17" s="426">
        <v>0</v>
      </c>
      <c r="I17" s="426">
        <v>0</v>
      </c>
      <c r="J17" s="426">
        <v>0</v>
      </c>
      <c r="K17" s="426">
        <v>0</v>
      </c>
      <c r="L17" s="426">
        <v>0</v>
      </c>
      <c r="M17" s="426">
        <v>0</v>
      </c>
      <c r="N17" s="426">
        <v>0</v>
      </c>
      <c r="O17" s="426">
        <v>0</v>
      </c>
      <c r="P17" s="426">
        <v>0</v>
      </c>
      <c r="Q17" s="426">
        <v>0</v>
      </c>
      <c r="R17" s="455">
        <v>0</v>
      </c>
      <c r="S17" s="229"/>
      <c r="T17" s="396">
        <f>'Prop DUOS'!U17</f>
        <v>1</v>
      </c>
      <c r="U17" s="397">
        <f>'Prop DUOS'!V17</f>
        <v>0</v>
      </c>
      <c r="V17" s="397">
        <f>'Prop DUOS'!W17</f>
        <v>13659712.5</v>
      </c>
      <c r="W17" s="397">
        <f>'Prop DUOS'!X17</f>
        <v>10782361.5</v>
      </c>
      <c r="X17" s="397">
        <f>'Prop DUOS'!Y17</f>
        <v>0</v>
      </c>
      <c r="Y17" s="397">
        <f>'Prop DUOS'!Z17</f>
        <v>0</v>
      </c>
      <c r="Z17" s="397">
        <f>'Prop DUOS'!AA17</f>
        <v>0</v>
      </c>
      <c r="AA17" s="397">
        <f>'Prop DUOS'!AB17</f>
        <v>0</v>
      </c>
      <c r="AB17" s="397">
        <f>'Prop DUOS'!AC17</f>
        <v>0</v>
      </c>
      <c r="AC17" s="397">
        <f>'Prop DUOS'!AD17</f>
        <v>0</v>
      </c>
      <c r="AD17" s="397">
        <f>'Prop DUOS'!AE17</f>
        <v>9906.8700000000026</v>
      </c>
      <c r="AE17" s="397">
        <f>'Prop DUOS'!AF17</f>
        <v>2788.267561643836</v>
      </c>
      <c r="AF17" s="397">
        <f>'Prop DUOS'!AG17</f>
        <v>0</v>
      </c>
      <c r="AG17" s="631">
        <f>'Prop DUOS'!AH17</f>
        <v>0</v>
      </c>
      <c r="AH17" s="398">
        <f>'Prop DUOS'!AI17</f>
        <v>0</v>
      </c>
      <c r="AJ17" s="210">
        <f>IF('Prop DUOS'!$E$69="cents",D17/100,D17)*IF('Prop DUOS'!$E$71="day",T17*'Prop DUOS'!$D$74,T17)</f>
        <v>0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0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0</v>
      </c>
      <c r="BA17" s="87"/>
      <c r="BB17" s="87"/>
    </row>
    <row r="18" spans="2:54" s="158" customFormat="1">
      <c r="B18" s="360" t="str">
        <f>IF('Prop DUOS'!B18="","",'Prop DUOS'!B18)</f>
        <v/>
      </c>
      <c r="C18" s="220"/>
      <c r="D18" s="244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634"/>
      <c r="R18" s="246"/>
      <c r="S18" s="229"/>
      <c r="T18" s="396">
        <f>'Prop DUOS'!U18</f>
        <v>0</v>
      </c>
      <c r="U18" s="397">
        <f>'Prop DUOS'!V18</f>
        <v>0</v>
      </c>
      <c r="V18" s="397">
        <f>'Prop DUOS'!W18</f>
        <v>0</v>
      </c>
      <c r="W18" s="397">
        <f>'Prop DUOS'!X18</f>
        <v>0</v>
      </c>
      <c r="X18" s="397">
        <f>'Prop DUOS'!Y18</f>
        <v>0</v>
      </c>
      <c r="Y18" s="397">
        <f>'Prop DUOS'!Z18</f>
        <v>0</v>
      </c>
      <c r="Z18" s="397">
        <f>'Prop DUOS'!AA18</f>
        <v>0</v>
      </c>
      <c r="AA18" s="397">
        <f>'Prop DUOS'!AB18</f>
        <v>0</v>
      </c>
      <c r="AB18" s="397">
        <f>'Prop DUOS'!AC18</f>
        <v>0</v>
      </c>
      <c r="AC18" s="397">
        <f>'Prop DUOS'!AD18</f>
        <v>0</v>
      </c>
      <c r="AD18" s="397">
        <f>'Prop DUOS'!AE18</f>
        <v>0</v>
      </c>
      <c r="AE18" s="397">
        <f>'Prop DUOS'!AF18</f>
        <v>0</v>
      </c>
      <c r="AF18" s="397">
        <f>'Prop DUOS'!AG18</f>
        <v>0</v>
      </c>
      <c r="AG18" s="631">
        <f>'Prop DUOS'!AH18</f>
        <v>0</v>
      </c>
      <c r="AH18" s="398">
        <f>'Prop DUOS'!AI18</f>
        <v>0</v>
      </c>
      <c r="AJ18" s="210">
        <f>IF('Prop DUOS'!$E$69="cents",D18/100,D18)*IF('Prop DUOS'!$E$71="day",T18*'Prop DUOS'!$D$74,T18)</f>
        <v>0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0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0</v>
      </c>
    </row>
    <row r="19" spans="2:54" s="158" customFormat="1">
      <c r="B19" s="360" t="str">
        <f>IF('Prop DUOS'!B19="","",'Prop DUOS'!B19)</f>
        <v/>
      </c>
      <c r="C19" s="220"/>
      <c r="D19" s="244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634"/>
      <c r="R19" s="246"/>
      <c r="S19" s="229"/>
      <c r="T19" s="396">
        <f>'Prop DUOS'!U19</f>
        <v>0</v>
      </c>
      <c r="U19" s="397">
        <f>'Prop DUOS'!V19</f>
        <v>0</v>
      </c>
      <c r="V19" s="397">
        <f>'Prop DUOS'!W19</f>
        <v>0</v>
      </c>
      <c r="W19" s="397">
        <f>'Prop DUOS'!X19</f>
        <v>0</v>
      </c>
      <c r="X19" s="397">
        <f>'Prop DUOS'!Y19</f>
        <v>0</v>
      </c>
      <c r="Y19" s="397">
        <f>'Prop DUOS'!Z19</f>
        <v>0</v>
      </c>
      <c r="Z19" s="397">
        <f>'Prop DUOS'!AA19</f>
        <v>0</v>
      </c>
      <c r="AA19" s="397">
        <f>'Prop DUOS'!AB19</f>
        <v>0</v>
      </c>
      <c r="AB19" s="397">
        <f>'Prop DUOS'!AC19</f>
        <v>0</v>
      </c>
      <c r="AC19" s="397">
        <f>'Prop DUOS'!AD19</f>
        <v>0</v>
      </c>
      <c r="AD19" s="397">
        <f>'Prop DUOS'!AE19</f>
        <v>0</v>
      </c>
      <c r="AE19" s="397">
        <f>'Prop DUOS'!AF19</f>
        <v>0</v>
      </c>
      <c r="AF19" s="397">
        <f>'Prop DUOS'!AG19</f>
        <v>0</v>
      </c>
      <c r="AG19" s="631">
        <f>'Prop DUOS'!AH19</f>
        <v>0</v>
      </c>
      <c r="AH19" s="398">
        <f>'Prop DUOS'!AI19</f>
        <v>0</v>
      </c>
      <c r="AJ19" s="210">
        <f>IF('Prop DUOS'!$E$69="cents",D19/100,D19)*IF('Prop DUOS'!$E$71="day",T19*'Prop DUOS'!$D$74,T19)</f>
        <v>0</v>
      </c>
      <c r="AK19" s="211">
        <f>IF('Prop DUOS'!F$69="cents",E19/100,E19)*U19</f>
        <v>0</v>
      </c>
      <c r="AL19" s="211">
        <f>IF('Prop DUOS'!G$69="cents",F19/100,F19)*V19</f>
        <v>0</v>
      </c>
      <c r="AM19" s="211">
        <f>IF('Prop DUOS'!H$69="cents",G19/100,G19)*W19</f>
        <v>0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0</v>
      </c>
    </row>
    <row r="20" spans="2:54" s="158" customFormat="1">
      <c r="B20" s="360" t="str">
        <f>IF('Prop DUOS'!B20="","",'Prop DUOS'!B20)</f>
        <v/>
      </c>
      <c r="C20" s="220"/>
      <c r="D20" s="244"/>
      <c r="E20" s="245"/>
      <c r="F20" s="245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634"/>
      <c r="R20" s="246"/>
      <c r="S20" s="229"/>
      <c r="T20" s="396">
        <f>'Prop DUOS'!U20</f>
        <v>0</v>
      </c>
      <c r="U20" s="397">
        <f>'Prop DUOS'!V20</f>
        <v>0</v>
      </c>
      <c r="V20" s="397">
        <f>'Prop DUOS'!W20</f>
        <v>0</v>
      </c>
      <c r="W20" s="397">
        <f>'Prop DUOS'!X20</f>
        <v>0</v>
      </c>
      <c r="X20" s="397">
        <f>'Prop DUOS'!Y20</f>
        <v>0</v>
      </c>
      <c r="Y20" s="397">
        <f>'Prop DUOS'!Z20</f>
        <v>0</v>
      </c>
      <c r="Z20" s="397">
        <f>'Prop DUOS'!AA20</f>
        <v>0</v>
      </c>
      <c r="AA20" s="397">
        <f>'Prop DUOS'!AB20</f>
        <v>0</v>
      </c>
      <c r="AB20" s="397">
        <f>'Prop DUOS'!AC20</f>
        <v>0</v>
      </c>
      <c r="AC20" s="397">
        <f>'Prop DUOS'!AD20</f>
        <v>0</v>
      </c>
      <c r="AD20" s="397">
        <f>'Prop DUOS'!AE20</f>
        <v>0</v>
      </c>
      <c r="AE20" s="397">
        <f>'Prop DUOS'!AF20</f>
        <v>0</v>
      </c>
      <c r="AF20" s="397">
        <f>'Prop DUOS'!AG20</f>
        <v>0</v>
      </c>
      <c r="AG20" s="631">
        <f>'Prop DUOS'!AH20</f>
        <v>0</v>
      </c>
      <c r="AH20" s="398">
        <f>'Prop DUOS'!AI20</f>
        <v>0</v>
      </c>
      <c r="AJ20" s="210">
        <f>IF('Prop DUOS'!$E$69="cents",D20/100,D20)*IF('Prop DUOS'!$E$71="day",T20*'Prop DUOS'!$D$74,T20)</f>
        <v>0</v>
      </c>
      <c r="AK20" s="211">
        <f>IF('Prop DUOS'!F$69="cents",E20/100,E20)*U20</f>
        <v>0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0</v>
      </c>
    </row>
    <row r="21" spans="2:54" s="158" customFormat="1">
      <c r="B21" s="360" t="str">
        <f>IF('Prop DUOS'!B21="","",'Prop DUOS'!B21)</f>
        <v/>
      </c>
      <c r="C21" s="220"/>
      <c r="D21" s="244"/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634"/>
      <c r="R21" s="246"/>
      <c r="S21" s="229"/>
      <c r="T21" s="396">
        <f>'Prop DUOS'!U21</f>
        <v>0</v>
      </c>
      <c r="U21" s="397">
        <f>'Prop DUOS'!V21</f>
        <v>0</v>
      </c>
      <c r="V21" s="397">
        <f>'Prop DUOS'!W21</f>
        <v>0</v>
      </c>
      <c r="W21" s="397">
        <f>'Prop DUOS'!X21</f>
        <v>0</v>
      </c>
      <c r="X21" s="397">
        <f>'Prop DUOS'!Y21</f>
        <v>0</v>
      </c>
      <c r="Y21" s="397">
        <f>'Prop DUOS'!Z21</f>
        <v>0</v>
      </c>
      <c r="Z21" s="397">
        <f>'Prop DUOS'!AA21</f>
        <v>0</v>
      </c>
      <c r="AA21" s="397">
        <f>'Prop DUOS'!AB21</f>
        <v>0</v>
      </c>
      <c r="AB21" s="397">
        <f>'Prop DUOS'!AC21</f>
        <v>0</v>
      </c>
      <c r="AC21" s="397">
        <f>'Prop DUOS'!AD21</f>
        <v>0</v>
      </c>
      <c r="AD21" s="397">
        <f>'Prop DUOS'!AE21</f>
        <v>0</v>
      </c>
      <c r="AE21" s="397">
        <f>'Prop DUOS'!AF21</f>
        <v>0</v>
      </c>
      <c r="AF21" s="397">
        <f>'Prop DUOS'!AG21</f>
        <v>0</v>
      </c>
      <c r="AG21" s="631">
        <f>'Prop DUOS'!AH21</f>
        <v>0</v>
      </c>
      <c r="AH21" s="398">
        <f>'Prop DUOS'!AI21</f>
        <v>0</v>
      </c>
      <c r="AJ21" s="210">
        <f>IF('Prop DUOS'!$E$69="cents",D21/100,D21)*IF('Prop DUOS'!$E$71="day",T21*'Prop DUOS'!$D$74,T21)</f>
        <v>0</v>
      </c>
      <c r="AK21" s="211">
        <f>IF('Prop DUOS'!F$69="cents",E21/100,E21)*U21</f>
        <v>0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0</v>
      </c>
    </row>
    <row r="22" spans="2:54" s="158" customFormat="1">
      <c r="B22" s="360" t="str">
        <f>IF('Prop DUOS'!B22="","",'Prop DUOS'!B22)</f>
        <v/>
      </c>
      <c r="C22" s="220"/>
      <c r="D22" s="244"/>
      <c r="E22" s="245"/>
      <c r="F22" s="245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634"/>
      <c r="R22" s="246"/>
      <c r="S22" s="229"/>
      <c r="T22" s="396">
        <f>'Prop DUOS'!U22</f>
        <v>0</v>
      </c>
      <c r="U22" s="397">
        <f>'Prop DUOS'!V22</f>
        <v>0</v>
      </c>
      <c r="V22" s="397">
        <f>'Prop DUOS'!W22</f>
        <v>0</v>
      </c>
      <c r="W22" s="397">
        <f>'Prop DUOS'!X22</f>
        <v>0</v>
      </c>
      <c r="X22" s="397">
        <f>'Prop DUOS'!Y22</f>
        <v>0</v>
      </c>
      <c r="Y22" s="397">
        <f>'Prop DUOS'!Z22</f>
        <v>0</v>
      </c>
      <c r="Z22" s="397">
        <f>'Prop DUOS'!AA22</f>
        <v>0</v>
      </c>
      <c r="AA22" s="397">
        <f>'Prop DUOS'!AB22</f>
        <v>0</v>
      </c>
      <c r="AB22" s="397">
        <f>'Prop DUOS'!AC22</f>
        <v>0</v>
      </c>
      <c r="AC22" s="397">
        <f>'Prop DUOS'!AD22</f>
        <v>0</v>
      </c>
      <c r="AD22" s="397">
        <f>'Prop DUOS'!AE22</f>
        <v>0</v>
      </c>
      <c r="AE22" s="397">
        <f>'Prop DUOS'!AF22</f>
        <v>0</v>
      </c>
      <c r="AF22" s="397">
        <f>'Prop DUOS'!AG22</f>
        <v>0</v>
      </c>
      <c r="AG22" s="631">
        <f>'Prop DUOS'!AH22</f>
        <v>0</v>
      </c>
      <c r="AH22" s="398">
        <f>'Prop DUOS'!AI22</f>
        <v>0</v>
      </c>
      <c r="AJ22" s="210">
        <f>IF('Prop DUOS'!$E$69="cents",D22/100,D22)*IF('Prop DUOS'!$E$71="day",T22*'Prop DUOS'!$D$74,T22)</f>
        <v>0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0</v>
      </c>
    </row>
    <row r="23" spans="2:54" s="158" customFormat="1">
      <c r="B23" s="361" t="str">
        <f>IF('Prop DUOS'!B23="","",'Prop DUOS'!B23)</f>
        <v/>
      </c>
      <c r="C23" s="220"/>
      <c r="D23" s="244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634"/>
      <c r="R23" s="246"/>
      <c r="S23" s="229"/>
      <c r="T23" s="396">
        <f>'Prop DUOS'!U23</f>
        <v>0</v>
      </c>
      <c r="U23" s="397">
        <f>'Prop DUOS'!V23</f>
        <v>0</v>
      </c>
      <c r="V23" s="397">
        <f>'Prop DUOS'!W23</f>
        <v>0</v>
      </c>
      <c r="W23" s="397">
        <f>'Prop DUOS'!X23</f>
        <v>0</v>
      </c>
      <c r="X23" s="397">
        <f>'Prop DUOS'!Y23</f>
        <v>0</v>
      </c>
      <c r="Y23" s="397">
        <f>'Prop DUOS'!Z23</f>
        <v>0</v>
      </c>
      <c r="Z23" s="397">
        <f>'Prop DUOS'!AA23</f>
        <v>0</v>
      </c>
      <c r="AA23" s="397">
        <f>'Prop DUOS'!AB23</f>
        <v>0</v>
      </c>
      <c r="AB23" s="397">
        <f>'Prop DUOS'!AC23</f>
        <v>0</v>
      </c>
      <c r="AC23" s="397">
        <f>'Prop DUOS'!AD23</f>
        <v>0</v>
      </c>
      <c r="AD23" s="397">
        <f>'Prop DUOS'!AE23</f>
        <v>0</v>
      </c>
      <c r="AE23" s="397">
        <f>'Prop DUOS'!AF23</f>
        <v>0</v>
      </c>
      <c r="AF23" s="397">
        <f>'Prop DUOS'!AG23</f>
        <v>0</v>
      </c>
      <c r="AG23" s="631">
        <f>'Prop DUOS'!AH23</f>
        <v>0</v>
      </c>
      <c r="AH23" s="398">
        <f>'Prop DUOS'!AI23</f>
        <v>0</v>
      </c>
      <c r="AJ23" s="210">
        <f>IF('Prop DUOS'!$E$69="cents",D23/100,D23)*IF('Prop DUOS'!$E$71="day",T23*'Prop DUOS'!$D$74,T23)</f>
        <v>0</v>
      </c>
      <c r="AK23" s="211">
        <f>IF('Prop DUOS'!F$69="cents",E23/100,E23)*U23</f>
        <v>0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0</v>
      </c>
    </row>
    <row r="24" spans="2:54" s="158" customFormat="1">
      <c r="B24" s="360" t="str">
        <f>IF('Prop DUOS'!B24="","",'Prop DUOS'!B24)</f>
        <v/>
      </c>
      <c r="C24" s="220"/>
      <c r="D24" s="244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634"/>
      <c r="R24" s="246"/>
      <c r="S24" s="229"/>
      <c r="T24" s="396">
        <f>'Prop DUOS'!U24</f>
        <v>0</v>
      </c>
      <c r="U24" s="397">
        <f>'Prop DUOS'!V24</f>
        <v>0</v>
      </c>
      <c r="V24" s="397">
        <f>'Prop DUOS'!W24</f>
        <v>0</v>
      </c>
      <c r="W24" s="397">
        <f>'Prop DUOS'!X24</f>
        <v>0</v>
      </c>
      <c r="X24" s="397">
        <f>'Prop DUOS'!Y24</f>
        <v>0</v>
      </c>
      <c r="Y24" s="397">
        <f>'Prop DUOS'!Z24</f>
        <v>0</v>
      </c>
      <c r="Z24" s="397">
        <f>'Prop DUOS'!AA24</f>
        <v>0</v>
      </c>
      <c r="AA24" s="397">
        <f>'Prop DUOS'!AB24</f>
        <v>0</v>
      </c>
      <c r="AB24" s="397">
        <f>'Prop DUOS'!AC24</f>
        <v>0</v>
      </c>
      <c r="AC24" s="397">
        <f>'Prop DUOS'!AD24</f>
        <v>0</v>
      </c>
      <c r="AD24" s="397">
        <f>'Prop DUOS'!AE24</f>
        <v>0</v>
      </c>
      <c r="AE24" s="397">
        <f>'Prop DUOS'!AF24</f>
        <v>0</v>
      </c>
      <c r="AF24" s="397">
        <f>'Prop DUOS'!AG24</f>
        <v>0</v>
      </c>
      <c r="AG24" s="631">
        <f>'Prop DUOS'!AH24</f>
        <v>0</v>
      </c>
      <c r="AH24" s="398">
        <f>'Prop DUOS'!AI24</f>
        <v>0</v>
      </c>
      <c r="AJ24" s="210">
        <f>IF('Prop DUOS'!$E$69="cents",D24/100,D24)*IF('Prop DUOS'!$E$71="day",T24*'Prop DUOS'!$D$74,T24)</f>
        <v>0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0</v>
      </c>
    </row>
    <row r="25" spans="2:54" s="158" customFormat="1">
      <c r="B25" s="360" t="str">
        <f>IF('Prop DUOS'!B25="","",'Prop DUOS'!B25)</f>
        <v/>
      </c>
      <c r="C25" s="220"/>
      <c r="D25" s="244"/>
      <c r="E25" s="245"/>
      <c r="F25" s="245"/>
      <c r="G25" s="245"/>
      <c r="H25" s="245"/>
      <c r="I25" s="245"/>
      <c r="J25" s="245"/>
      <c r="K25" s="245"/>
      <c r="L25" s="245"/>
      <c r="M25" s="245"/>
      <c r="N25" s="245"/>
      <c r="O25" s="245"/>
      <c r="P25" s="245"/>
      <c r="Q25" s="634"/>
      <c r="R25" s="246"/>
      <c r="S25" s="229"/>
      <c r="T25" s="396">
        <f>'Prop DUOS'!U25</f>
        <v>0</v>
      </c>
      <c r="U25" s="397">
        <f>'Prop DUOS'!V25</f>
        <v>0</v>
      </c>
      <c r="V25" s="397">
        <f>'Prop DUOS'!W25</f>
        <v>0</v>
      </c>
      <c r="W25" s="397">
        <f>'Prop DUOS'!X25</f>
        <v>0</v>
      </c>
      <c r="X25" s="397">
        <f>'Prop DUOS'!Y25</f>
        <v>0</v>
      </c>
      <c r="Y25" s="397">
        <f>'Prop DUOS'!Z25</f>
        <v>0</v>
      </c>
      <c r="Z25" s="397">
        <f>'Prop DUOS'!AA25</f>
        <v>0</v>
      </c>
      <c r="AA25" s="397">
        <f>'Prop DUOS'!AB25</f>
        <v>0</v>
      </c>
      <c r="AB25" s="397">
        <f>'Prop DUOS'!AC25</f>
        <v>0</v>
      </c>
      <c r="AC25" s="397">
        <f>'Prop DUOS'!AD25</f>
        <v>0</v>
      </c>
      <c r="AD25" s="397">
        <f>'Prop DUOS'!AE25</f>
        <v>0</v>
      </c>
      <c r="AE25" s="397">
        <f>'Prop DUOS'!AF25</f>
        <v>0</v>
      </c>
      <c r="AF25" s="397">
        <f>'Prop DUOS'!AG25</f>
        <v>0</v>
      </c>
      <c r="AG25" s="631">
        <f>'Prop DUOS'!AH25</f>
        <v>0</v>
      </c>
      <c r="AH25" s="398">
        <f>'Prop DUOS'!AI25</f>
        <v>0</v>
      </c>
      <c r="AJ25" s="210">
        <f>IF('Prop DUOS'!$E$69="cents",D25/100,D25)*IF('Prop DUOS'!$E$71="day",T25*'Prop DUOS'!$D$74,T25)</f>
        <v>0</v>
      </c>
      <c r="AK25" s="211">
        <f>IF('Prop DUOS'!F$69="cents",E25/100,E25)*U25</f>
        <v>0</v>
      </c>
      <c r="AL25" s="211">
        <f>IF('Prop DUOS'!G$69="cents",F25/100,F25)*V25</f>
        <v>0</v>
      </c>
      <c r="AM25" s="211">
        <f>IF('Prop DUOS'!H$69="cents",G25/100,G25)*W25</f>
        <v>0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0</v>
      </c>
    </row>
    <row r="26" spans="2:54" s="158" customFormat="1">
      <c r="B26" s="360" t="str">
        <f>IF('Prop DUOS'!B26="","",'Prop DUOS'!B26)</f>
        <v/>
      </c>
      <c r="C26" s="220"/>
      <c r="D26" s="244"/>
      <c r="E26" s="245"/>
      <c r="F26" s="245"/>
      <c r="G26" s="245"/>
      <c r="H26" s="245"/>
      <c r="I26" s="245"/>
      <c r="J26" s="245"/>
      <c r="K26" s="245"/>
      <c r="L26" s="245"/>
      <c r="M26" s="245"/>
      <c r="N26" s="245"/>
      <c r="O26" s="245"/>
      <c r="P26" s="245"/>
      <c r="Q26" s="634"/>
      <c r="R26" s="246"/>
      <c r="S26" s="229"/>
      <c r="T26" s="396">
        <f>'Prop DUOS'!U26</f>
        <v>0</v>
      </c>
      <c r="U26" s="397">
        <f>'Prop DUOS'!V26</f>
        <v>0</v>
      </c>
      <c r="V26" s="397">
        <f>'Prop DUOS'!W26</f>
        <v>0</v>
      </c>
      <c r="W26" s="397">
        <f>'Prop DUOS'!X26</f>
        <v>0</v>
      </c>
      <c r="X26" s="397">
        <f>'Prop DUOS'!Y26</f>
        <v>0</v>
      </c>
      <c r="Y26" s="397">
        <f>'Prop DUOS'!Z26</f>
        <v>0</v>
      </c>
      <c r="Z26" s="397">
        <f>'Prop DUOS'!AA26</f>
        <v>0</v>
      </c>
      <c r="AA26" s="397">
        <f>'Prop DUOS'!AB26</f>
        <v>0</v>
      </c>
      <c r="AB26" s="397">
        <f>'Prop DUOS'!AC26</f>
        <v>0</v>
      </c>
      <c r="AC26" s="397">
        <f>'Prop DUOS'!AD26</f>
        <v>0</v>
      </c>
      <c r="AD26" s="397">
        <f>'Prop DUOS'!AE26</f>
        <v>0</v>
      </c>
      <c r="AE26" s="397">
        <f>'Prop DUOS'!AF26</f>
        <v>0</v>
      </c>
      <c r="AF26" s="397">
        <f>'Prop DUOS'!AG26</f>
        <v>0</v>
      </c>
      <c r="AG26" s="631">
        <f>'Prop DUOS'!AH26</f>
        <v>0</v>
      </c>
      <c r="AH26" s="398">
        <f>'Prop DUOS'!AI26</f>
        <v>0</v>
      </c>
      <c r="AJ26" s="210">
        <f>IF('Prop DUOS'!$E$69="cents",D26/100,D26)*IF('Prop DUOS'!$E$71="day",T26*'Prop DUOS'!$D$74,T26)</f>
        <v>0</v>
      </c>
      <c r="AK26" s="211">
        <f>IF('Prop DUOS'!F$69="cents",E26/100,E26)*U26</f>
        <v>0</v>
      </c>
      <c r="AL26" s="211">
        <f>IF('Prop DUOS'!G$69="cents",F26/100,F26)*V26</f>
        <v>0</v>
      </c>
      <c r="AM26" s="211">
        <f>IF('Prop DUOS'!H$69="cents",G26/100,G26)*W26</f>
        <v>0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0</v>
      </c>
    </row>
    <row r="27" spans="2:54" s="158" customFormat="1">
      <c r="B27" s="360" t="str">
        <f>IF('Prop DUOS'!B27="","",'Prop DUOS'!B27)</f>
        <v/>
      </c>
      <c r="C27" s="220"/>
      <c r="D27" s="244"/>
      <c r="E27" s="245"/>
      <c r="F27" s="245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634"/>
      <c r="R27" s="246"/>
      <c r="S27" s="229"/>
      <c r="T27" s="396">
        <f>'Prop DUOS'!U27</f>
        <v>0</v>
      </c>
      <c r="U27" s="397">
        <f>'Prop DUOS'!V27</f>
        <v>0</v>
      </c>
      <c r="V27" s="397">
        <f>'Prop DUOS'!W27</f>
        <v>0</v>
      </c>
      <c r="W27" s="397">
        <f>'Prop DUOS'!X27</f>
        <v>0</v>
      </c>
      <c r="X27" s="397">
        <f>'Prop DUOS'!Y27</f>
        <v>0</v>
      </c>
      <c r="Y27" s="397">
        <f>'Prop DUOS'!Z27</f>
        <v>0</v>
      </c>
      <c r="Z27" s="397">
        <f>'Prop DUOS'!AA27</f>
        <v>0</v>
      </c>
      <c r="AA27" s="397">
        <f>'Prop DUOS'!AB27</f>
        <v>0</v>
      </c>
      <c r="AB27" s="397">
        <f>'Prop DUOS'!AC27</f>
        <v>0</v>
      </c>
      <c r="AC27" s="397">
        <f>'Prop DUOS'!AD27</f>
        <v>0</v>
      </c>
      <c r="AD27" s="397">
        <f>'Prop DUOS'!AE27</f>
        <v>0</v>
      </c>
      <c r="AE27" s="397">
        <f>'Prop DUOS'!AF27</f>
        <v>0</v>
      </c>
      <c r="AF27" s="397">
        <f>'Prop DUOS'!AG27</f>
        <v>0</v>
      </c>
      <c r="AG27" s="631">
        <f>'Prop DUOS'!AH27</f>
        <v>0</v>
      </c>
      <c r="AH27" s="398">
        <f>'Prop DUOS'!AI27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0</v>
      </c>
    </row>
    <row r="28" spans="2:54" s="158" customFormat="1">
      <c r="B28" s="361" t="str">
        <f>IF('Prop DUOS'!B28="","",'Prop DUOS'!B28)</f>
        <v/>
      </c>
      <c r="C28" s="220"/>
      <c r="D28" s="244"/>
      <c r="E28" s="245"/>
      <c r="F28" s="245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634"/>
      <c r="R28" s="246"/>
      <c r="S28" s="229"/>
      <c r="T28" s="396">
        <f>'Prop DUOS'!U28</f>
        <v>0</v>
      </c>
      <c r="U28" s="397">
        <f>'Prop DUOS'!V28</f>
        <v>0</v>
      </c>
      <c r="V28" s="397">
        <f>'Prop DUOS'!W28</f>
        <v>0</v>
      </c>
      <c r="W28" s="397">
        <f>'Prop DUOS'!X28</f>
        <v>0</v>
      </c>
      <c r="X28" s="397">
        <f>'Prop DUOS'!Y28</f>
        <v>0</v>
      </c>
      <c r="Y28" s="397">
        <f>'Prop DUOS'!Z28</f>
        <v>0</v>
      </c>
      <c r="Z28" s="397">
        <f>'Prop DUOS'!AA28</f>
        <v>0</v>
      </c>
      <c r="AA28" s="397">
        <f>'Prop DUOS'!AB28</f>
        <v>0</v>
      </c>
      <c r="AB28" s="397">
        <f>'Prop DUOS'!AC28</f>
        <v>0</v>
      </c>
      <c r="AC28" s="397">
        <f>'Prop DUOS'!AD28</f>
        <v>0</v>
      </c>
      <c r="AD28" s="397">
        <f>'Prop DUOS'!AE28</f>
        <v>0</v>
      </c>
      <c r="AE28" s="397">
        <f>'Prop DUOS'!AF28</f>
        <v>0</v>
      </c>
      <c r="AF28" s="397">
        <f>'Prop DUOS'!AG28</f>
        <v>0</v>
      </c>
      <c r="AG28" s="631">
        <f>'Prop DUOS'!AH28</f>
        <v>0</v>
      </c>
      <c r="AH28" s="398">
        <f>'Prop DUOS'!AI28</f>
        <v>0</v>
      </c>
      <c r="AJ28" s="210">
        <f>IF('Prop DUOS'!$E$69="cents",D28/100,D28)*IF('Prop DUOS'!$E$71="day",T28*'Prop DUOS'!$D$74,T28)</f>
        <v>0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0</v>
      </c>
    </row>
    <row r="29" spans="2:54" s="158" customFormat="1">
      <c r="B29" s="360" t="str">
        <f>IF('Prop DUOS'!B29="","",'Prop DUOS'!B29)</f>
        <v/>
      </c>
      <c r="C29" s="220"/>
      <c r="D29" s="244"/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634"/>
      <c r="R29" s="246"/>
      <c r="S29" s="229"/>
      <c r="T29" s="396">
        <f>'Prop DUOS'!U29</f>
        <v>0</v>
      </c>
      <c r="U29" s="397">
        <f>'Prop DUOS'!V29</f>
        <v>0</v>
      </c>
      <c r="V29" s="397">
        <f>'Prop DUOS'!W29</f>
        <v>0</v>
      </c>
      <c r="W29" s="397">
        <f>'Prop DUOS'!X29</f>
        <v>0</v>
      </c>
      <c r="X29" s="397">
        <f>'Prop DUOS'!Y29</f>
        <v>0</v>
      </c>
      <c r="Y29" s="397">
        <f>'Prop DUOS'!Z29</f>
        <v>0</v>
      </c>
      <c r="Z29" s="397">
        <f>'Prop DUOS'!AA29</f>
        <v>0</v>
      </c>
      <c r="AA29" s="397">
        <f>'Prop DUOS'!AB29</f>
        <v>0</v>
      </c>
      <c r="AB29" s="397">
        <f>'Prop DUOS'!AC29</f>
        <v>0</v>
      </c>
      <c r="AC29" s="397">
        <f>'Prop DUOS'!AD29</f>
        <v>0</v>
      </c>
      <c r="AD29" s="397">
        <f>'Prop DUOS'!AE29</f>
        <v>0</v>
      </c>
      <c r="AE29" s="397">
        <f>'Prop DUOS'!AF29</f>
        <v>0</v>
      </c>
      <c r="AF29" s="397">
        <f>'Prop DUOS'!AG29</f>
        <v>0</v>
      </c>
      <c r="AG29" s="631">
        <f>'Prop DUOS'!AH29</f>
        <v>0</v>
      </c>
      <c r="AH29" s="398">
        <f>'Prop DUOS'!AI29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0</v>
      </c>
      <c r="AM29" s="211">
        <f>IF('Prop DUOS'!H$69="cents",G29/100,G29)*W29</f>
        <v>0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0</v>
      </c>
    </row>
    <row r="30" spans="2:54" s="158" customFormat="1">
      <c r="B30" s="360" t="str">
        <f>IF('Prop DUOS'!B30="","",'Prop DUOS'!B30)</f>
        <v/>
      </c>
      <c r="C30" s="220"/>
      <c r="D30" s="244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5"/>
      <c r="P30" s="245"/>
      <c r="Q30" s="634"/>
      <c r="R30" s="246"/>
      <c r="S30" s="229"/>
      <c r="T30" s="396">
        <f>'Prop DUOS'!U30</f>
        <v>0</v>
      </c>
      <c r="U30" s="397">
        <f>'Prop DUOS'!V30</f>
        <v>0</v>
      </c>
      <c r="V30" s="397">
        <f>'Prop DUOS'!W30</f>
        <v>0</v>
      </c>
      <c r="W30" s="397">
        <f>'Prop DUOS'!X30</f>
        <v>0</v>
      </c>
      <c r="X30" s="397">
        <f>'Prop DUOS'!Y30</f>
        <v>0</v>
      </c>
      <c r="Y30" s="397">
        <f>'Prop DUOS'!Z30</f>
        <v>0</v>
      </c>
      <c r="Z30" s="397">
        <f>'Prop DUOS'!AA30</f>
        <v>0</v>
      </c>
      <c r="AA30" s="397">
        <f>'Prop DUOS'!AB30</f>
        <v>0</v>
      </c>
      <c r="AB30" s="397">
        <f>'Prop DUOS'!AC30</f>
        <v>0</v>
      </c>
      <c r="AC30" s="397">
        <f>'Prop DUOS'!AD30</f>
        <v>0</v>
      </c>
      <c r="AD30" s="397">
        <f>'Prop DUOS'!AE30</f>
        <v>0</v>
      </c>
      <c r="AE30" s="397">
        <f>'Prop DUOS'!AF30</f>
        <v>0</v>
      </c>
      <c r="AF30" s="397">
        <f>'Prop DUOS'!AG30</f>
        <v>0</v>
      </c>
      <c r="AG30" s="631">
        <f>'Prop DUOS'!AH30</f>
        <v>0</v>
      </c>
      <c r="AH30" s="398">
        <f>'Prop DUOS'!AI30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</row>
    <row r="31" spans="2:54" s="158" customFormat="1">
      <c r="B31" s="360" t="str">
        <f>IF('Prop DUOS'!B31="","",'Prop DUOS'!B31)</f>
        <v/>
      </c>
      <c r="C31" s="220"/>
      <c r="D31" s="244"/>
      <c r="E31" s="245"/>
      <c r="F31" s="245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634"/>
      <c r="R31" s="246"/>
      <c r="S31" s="229"/>
      <c r="T31" s="396">
        <f>'Prop DUOS'!U31</f>
        <v>0</v>
      </c>
      <c r="U31" s="397">
        <f>'Prop DUOS'!V31</f>
        <v>0</v>
      </c>
      <c r="V31" s="397">
        <f>'Prop DUOS'!W31</f>
        <v>0</v>
      </c>
      <c r="W31" s="397">
        <f>'Prop DUOS'!X31</f>
        <v>0</v>
      </c>
      <c r="X31" s="397">
        <f>'Prop DUOS'!Y31</f>
        <v>0</v>
      </c>
      <c r="Y31" s="397">
        <f>'Prop DUOS'!Z31</f>
        <v>0</v>
      </c>
      <c r="Z31" s="397">
        <f>'Prop DUOS'!AA31</f>
        <v>0</v>
      </c>
      <c r="AA31" s="397">
        <f>'Prop DUOS'!AB31</f>
        <v>0</v>
      </c>
      <c r="AB31" s="397">
        <f>'Prop DUOS'!AC31</f>
        <v>0</v>
      </c>
      <c r="AC31" s="397">
        <f>'Prop DUOS'!AD31</f>
        <v>0</v>
      </c>
      <c r="AD31" s="397">
        <f>'Prop DUOS'!AE31</f>
        <v>0</v>
      </c>
      <c r="AE31" s="397">
        <f>'Prop DUOS'!AF31</f>
        <v>0</v>
      </c>
      <c r="AF31" s="397">
        <f>'Prop DUOS'!AG31</f>
        <v>0</v>
      </c>
      <c r="AG31" s="631">
        <f>'Prop DUOS'!AH31</f>
        <v>0</v>
      </c>
      <c r="AH31" s="398">
        <f>'Prop DUOS'!AI31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4" s="158" customFormat="1">
      <c r="B32" s="360" t="str">
        <f>IF('Prop DUOS'!B32="","",'Prop DUOS'!B32)</f>
        <v/>
      </c>
      <c r="C32" s="220"/>
      <c r="D32" s="244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634"/>
      <c r="R32" s="246"/>
      <c r="S32" s="229"/>
      <c r="T32" s="396">
        <f>'Prop DUOS'!U32</f>
        <v>0</v>
      </c>
      <c r="U32" s="397">
        <f>'Prop DUOS'!V32</f>
        <v>0</v>
      </c>
      <c r="V32" s="397">
        <f>'Prop DUOS'!W32</f>
        <v>0</v>
      </c>
      <c r="W32" s="397">
        <f>'Prop DUOS'!X32</f>
        <v>0</v>
      </c>
      <c r="X32" s="397">
        <f>'Prop DUOS'!Y32</f>
        <v>0</v>
      </c>
      <c r="Y32" s="397">
        <f>'Prop DUOS'!Z32</f>
        <v>0</v>
      </c>
      <c r="Z32" s="397">
        <f>'Prop DUOS'!AA32</f>
        <v>0</v>
      </c>
      <c r="AA32" s="397">
        <f>'Prop DUOS'!AB32</f>
        <v>0</v>
      </c>
      <c r="AB32" s="397">
        <f>'Prop DUOS'!AC32</f>
        <v>0</v>
      </c>
      <c r="AC32" s="397">
        <f>'Prop DUOS'!AD32</f>
        <v>0</v>
      </c>
      <c r="AD32" s="397">
        <f>'Prop DUOS'!AE32</f>
        <v>0</v>
      </c>
      <c r="AE32" s="397">
        <f>'Prop DUOS'!AF32</f>
        <v>0</v>
      </c>
      <c r="AF32" s="397">
        <f>'Prop DUOS'!AG32</f>
        <v>0</v>
      </c>
      <c r="AG32" s="631">
        <f>'Prop DUOS'!AH32</f>
        <v>0</v>
      </c>
      <c r="AH32" s="398">
        <f>'Prop DUOS'!AI32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360" t="str">
        <f>IF('Prop DUOS'!B33="","",'Prop DUOS'!B33)</f>
        <v/>
      </c>
      <c r="C33" s="220"/>
      <c r="D33" s="244"/>
      <c r="E33" s="245"/>
      <c r="F33" s="245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634"/>
      <c r="R33" s="246"/>
      <c r="S33" s="229"/>
      <c r="T33" s="396">
        <f>'Prop DUOS'!U33</f>
        <v>0</v>
      </c>
      <c r="U33" s="397">
        <f>'Prop DUOS'!V33</f>
        <v>0</v>
      </c>
      <c r="V33" s="397">
        <f>'Prop DUOS'!W33</f>
        <v>0</v>
      </c>
      <c r="W33" s="397">
        <f>'Prop DUOS'!X33</f>
        <v>0</v>
      </c>
      <c r="X33" s="397">
        <f>'Prop DUOS'!Y33</f>
        <v>0</v>
      </c>
      <c r="Y33" s="397">
        <f>'Prop DUOS'!Z33</f>
        <v>0</v>
      </c>
      <c r="Z33" s="397">
        <f>'Prop DUOS'!AA33</f>
        <v>0</v>
      </c>
      <c r="AA33" s="397">
        <f>'Prop DUOS'!AB33</f>
        <v>0</v>
      </c>
      <c r="AB33" s="397">
        <f>'Prop DUOS'!AC33</f>
        <v>0</v>
      </c>
      <c r="AC33" s="397">
        <f>'Prop DUOS'!AD33</f>
        <v>0</v>
      </c>
      <c r="AD33" s="397">
        <f>'Prop DUOS'!AE33</f>
        <v>0</v>
      </c>
      <c r="AE33" s="397">
        <f>'Prop DUOS'!AF33</f>
        <v>0</v>
      </c>
      <c r="AF33" s="397">
        <f>'Prop DUOS'!AG33</f>
        <v>0</v>
      </c>
      <c r="AG33" s="631">
        <f>'Prop DUOS'!AH33</f>
        <v>0</v>
      </c>
      <c r="AH33" s="398">
        <f>'Prop DUOS'!AI33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60" t="str">
        <f>IF('Prop DUOS'!B34="","",'Prop DUOS'!B34)</f>
        <v/>
      </c>
      <c r="C34" s="220"/>
      <c r="D34" s="244"/>
      <c r="E34" s="245"/>
      <c r="F34" s="245"/>
      <c r="G34" s="245"/>
      <c r="H34" s="245"/>
      <c r="I34" s="245"/>
      <c r="J34" s="245"/>
      <c r="K34" s="245"/>
      <c r="L34" s="245"/>
      <c r="M34" s="245"/>
      <c r="N34" s="245"/>
      <c r="O34" s="245"/>
      <c r="P34" s="245"/>
      <c r="Q34" s="634"/>
      <c r="R34" s="246"/>
      <c r="S34" s="229"/>
      <c r="T34" s="396">
        <f>'Prop DUOS'!U34</f>
        <v>0</v>
      </c>
      <c r="U34" s="397">
        <f>'Prop DUOS'!V34</f>
        <v>0</v>
      </c>
      <c r="V34" s="397">
        <f>'Prop DUOS'!W34</f>
        <v>0</v>
      </c>
      <c r="W34" s="397">
        <f>'Prop DUOS'!X34</f>
        <v>0</v>
      </c>
      <c r="X34" s="397">
        <f>'Prop DUOS'!Y34</f>
        <v>0</v>
      </c>
      <c r="Y34" s="397">
        <f>'Prop DUOS'!Z34</f>
        <v>0</v>
      </c>
      <c r="Z34" s="397">
        <f>'Prop DUOS'!AA34</f>
        <v>0</v>
      </c>
      <c r="AA34" s="397">
        <f>'Prop DUOS'!AB34</f>
        <v>0</v>
      </c>
      <c r="AB34" s="397">
        <f>'Prop DUOS'!AC34</f>
        <v>0</v>
      </c>
      <c r="AC34" s="397">
        <f>'Prop DUOS'!AD34</f>
        <v>0</v>
      </c>
      <c r="AD34" s="397">
        <f>'Prop DUOS'!AE34</f>
        <v>0</v>
      </c>
      <c r="AE34" s="397">
        <f>'Prop DUOS'!AF34</f>
        <v>0</v>
      </c>
      <c r="AF34" s="397">
        <f>'Prop DUOS'!AG34</f>
        <v>0</v>
      </c>
      <c r="AG34" s="631">
        <f>'Prop DUOS'!AH34</f>
        <v>0</v>
      </c>
      <c r="AH34" s="398">
        <f>'Prop DUOS'!AI34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0</v>
      </c>
    </row>
    <row r="35" spans="2:51" s="158" customFormat="1">
      <c r="B35" s="360" t="str">
        <f>IF('Prop DUOS'!B35="","",'Prop DUOS'!B35)</f>
        <v/>
      </c>
      <c r="C35" s="220"/>
      <c r="D35" s="244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634"/>
      <c r="R35" s="246"/>
      <c r="S35" s="229"/>
      <c r="T35" s="396">
        <f>'Prop DUOS'!U35</f>
        <v>0</v>
      </c>
      <c r="U35" s="397">
        <f>'Prop DUOS'!V35</f>
        <v>0</v>
      </c>
      <c r="V35" s="397">
        <f>'Prop DUOS'!W35</f>
        <v>0</v>
      </c>
      <c r="W35" s="397">
        <f>'Prop DUOS'!X35</f>
        <v>0</v>
      </c>
      <c r="X35" s="397">
        <f>'Prop DUOS'!Y35</f>
        <v>0</v>
      </c>
      <c r="Y35" s="397">
        <f>'Prop DUOS'!Z35</f>
        <v>0</v>
      </c>
      <c r="Z35" s="397">
        <f>'Prop DUOS'!AA35</f>
        <v>0</v>
      </c>
      <c r="AA35" s="397">
        <f>'Prop DUOS'!AB35</f>
        <v>0</v>
      </c>
      <c r="AB35" s="397">
        <f>'Prop DUOS'!AC35</f>
        <v>0</v>
      </c>
      <c r="AC35" s="397">
        <f>'Prop DUOS'!AD35</f>
        <v>0</v>
      </c>
      <c r="AD35" s="397">
        <f>'Prop DUOS'!AE35</f>
        <v>0</v>
      </c>
      <c r="AE35" s="397">
        <f>'Prop DUOS'!AF35</f>
        <v>0</v>
      </c>
      <c r="AF35" s="397">
        <f>'Prop DUOS'!AG35</f>
        <v>0</v>
      </c>
      <c r="AG35" s="631">
        <f>'Prop DUOS'!AH35</f>
        <v>0</v>
      </c>
      <c r="AH35" s="398">
        <f>'Prop DUOS'!AI35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0</v>
      </c>
    </row>
    <row r="36" spans="2:51" s="158" customFormat="1">
      <c r="B36" s="360" t="str">
        <f>IF('Prop DUOS'!B36="","",'Prop DUOS'!B36)</f>
        <v/>
      </c>
      <c r="C36" s="220"/>
      <c r="D36" s="244"/>
      <c r="E36" s="245"/>
      <c r="F36" s="245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634"/>
      <c r="R36" s="246"/>
      <c r="S36" s="229"/>
      <c r="T36" s="396">
        <f>'Prop DUOS'!U36</f>
        <v>0</v>
      </c>
      <c r="U36" s="397">
        <f>'Prop DUOS'!V36</f>
        <v>0</v>
      </c>
      <c r="V36" s="397">
        <f>'Prop DUOS'!W36</f>
        <v>0</v>
      </c>
      <c r="W36" s="397">
        <f>'Prop DUOS'!X36</f>
        <v>0</v>
      </c>
      <c r="X36" s="397">
        <f>'Prop DUOS'!Y36</f>
        <v>0</v>
      </c>
      <c r="Y36" s="397">
        <f>'Prop DUOS'!Z36</f>
        <v>0</v>
      </c>
      <c r="Z36" s="397">
        <f>'Prop DUOS'!AA36</f>
        <v>0</v>
      </c>
      <c r="AA36" s="397">
        <f>'Prop DUOS'!AB36</f>
        <v>0</v>
      </c>
      <c r="AB36" s="397">
        <f>'Prop DUOS'!AC36</f>
        <v>0</v>
      </c>
      <c r="AC36" s="397">
        <f>'Prop DUOS'!AD36</f>
        <v>0</v>
      </c>
      <c r="AD36" s="397">
        <f>'Prop DUOS'!AE36</f>
        <v>0</v>
      </c>
      <c r="AE36" s="397">
        <f>'Prop DUOS'!AF36</f>
        <v>0</v>
      </c>
      <c r="AF36" s="397">
        <f>'Prop DUOS'!AG36</f>
        <v>0</v>
      </c>
      <c r="AG36" s="631">
        <f>'Prop DUOS'!AH36</f>
        <v>0</v>
      </c>
      <c r="AH36" s="398">
        <f>'Prop DUOS'!AI36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0</v>
      </c>
    </row>
    <row r="37" spans="2:51" s="158" customFormat="1">
      <c r="B37" s="360" t="str">
        <f>IF('Prop DUOS'!B37="","",'Prop DUOS'!B37)</f>
        <v/>
      </c>
      <c r="C37" s="220"/>
      <c r="D37" s="244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634"/>
      <c r="R37" s="246"/>
      <c r="S37" s="229"/>
      <c r="T37" s="396">
        <f>'Prop DUOS'!U37</f>
        <v>0</v>
      </c>
      <c r="U37" s="397">
        <f>'Prop DUOS'!V37</f>
        <v>0</v>
      </c>
      <c r="V37" s="397">
        <f>'Prop DUOS'!W37</f>
        <v>0</v>
      </c>
      <c r="W37" s="397">
        <f>'Prop DUOS'!X37</f>
        <v>0</v>
      </c>
      <c r="X37" s="397">
        <f>'Prop DUOS'!Y37</f>
        <v>0</v>
      </c>
      <c r="Y37" s="397">
        <f>'Prop DUOS'!Z37</f>
        <v>0</v>
      </c>
      <c r="Z37" s="397">
        <f>'Prop DUOS'!AA37</f>
        <v>0</v>
      </c>
      <c r="AA37" s="397">
        <f>'Prop DUOS'!AB37</f>
        <v>0</v>
      </c>
      <c r="AB37" s="397">
        <f>'Prop DUOS'!AC37</f>
        <v>0</v>
      </c>
      <c r="AC37" s="397">
        <f>'Prop DUOS'!AD37</f>
        <v>0</v>
      </c>
      <c r="AD37" s="397">
        <f>'Prop DUOS'!AE37</f>
        <v>0</v>
      </c>
      <c r="AE37" s="397">
        <f>'Prop DUOS'!AF37</f>
        <v>0</v>
      </c>
      <c r="AF37" s="397">
        <f>'Prop DUOS'!AG37</f>
        <v>0</v>
      </c>
      <c r="AG37" s="631">
        <f>'Prop DUOS'!AH37</f>
        <v>0</v>
      </c>
      <c r="AH37" s="398">
        <f>'Prop DUOS'!AI37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0"/>
        <v>0</v>
      </c>
    </row>
    <row r="38" spans="2:51" s="158" customFormat="1">
      <c r="B38" s="360" t="str">
        <f>IF('Prop DUOS'!B38="","",'Prop DUOS'!B38)</f>
        <v/>
      </c>
      <c r="C38" s="220"/>
      <c r="D38" s="244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634"/>
      <c r="R38" s="246"/>
      <c r="S38" s="229"/>
      <c r="T38" s="396">
        <f>'Prop DUOS'!U38</f>
        <v>0</v>
      </c>
      <c r="U38" s="397">
        <f>'Prop DUOS'!V38</f>
        <v>0</v>
      </c>
      <c r="V38" s="397">
        <f>'Prop DUOS'!W38</f>
        <v>0</v>
      </c>
      <c r="W38" s="397">
        <f>'Prop DUOS'!X38</f>
        <v>0</v>
      </c>
      <c r="X38" s="397">
        <f>'Prop DUOS'!Y38</f>
        <v>0</v>
      </c>
      <c r="Y38" s="397">
        <f>'Prop DUOS'!Z38</f>
        <v>0</v>
      </c>
      <c r="Z38" s="397">
        <f>'Prop DUOS'!AA38</f>
        <v>0</v>
      </c>
      <c r="AA38" s="397">
        <f>'Prop DUOS'!AB38</f>
        <v>0</v>
      </c>
      <c r="AB38" s="397">
        <f>'Prop DUOS'!AC38</f>
        <v>0</v>
      </c>
      <c r="AC38" s="397">
        <f>'Prop DUOS'!AD38</f>
        <v>0</v>
      </c>
      <c r="AD38" s="397">
        <f>'Prop DUOS'!AE38</f>
        <v>0</v>
      </c>
      <c r="AE38" s="397">
        <f>'Prop DUOS'!AF38</f>
        <v>0</v>
      </c>
      <c r="AF38" s="397">
        <f>'Prop DUOS'!AG38</f>
        <v>0</v>
      </c>
      <c r="AG38" s="631">
        <f>'Prop DUOS'!AH38</f>
        <v>0</v>
      </c>
      <c r="AH38" s="398">
        <f>'Prop DUOS'!AI38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0"/>
        <v>0</v>
      </c>
    </row>
    <row r="39" spans="2:51" s="158" customFormat="1">
      <c r="B39" s="360" t="str">
        <f>IF('Prop DUOS'!B39="","",'Prop DUOS'!B39)</f>
        <v/>
      </c>
      <c r="C39" s="220"/>
      <c r="D39" s="244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634"/>
      <c r="R39" s="246"/>
      <c r="S39" s="229"/>
      <c r="T39" s="396">
        <f>'Prop DUOS'!U39</f>
        <v>0</v>
      </c>
      <c r="U39" s="397">
        <f>'Prop DUOS'!V39</f>
        <v>0</v>
      </c>
      <c r="V39" s="397">
        <f>'Prop DUOS'!W39</f>
        <v>0</v>
      </c>
      <c r="W39" s="397">
        <f>'Prop DUOS'!X39</f>
        <v>0</v>
      </c>
      <c r="X39" s="397">
        <f>'Prop DUOS'!Y39</f>
        <v>0</v>
      </c>
      <c r="Y39" s="397">
        <f>'Prop DUOS'!Z39</f>
        <v>0</v>
      </c>
      <c r="Z39" s="397">
        <f>'Prop DUOS'!AA39</f>
        <v>0</v>
      </c>
      <c r="AA39" s="397">
        <f>'Prop DUOS'!AB39</f>
        <v>0</v>
      </c>
      <c r="AB39" s="397">
        <f>'Prop DUOS'!AC39</f>
        <v>0</v>
      </c>
      <c r="AC39" s="397">
        <f>'Prop DUOS'!AD39</f>
        <v>0</v>
      </c>
      <c r="AD39" s="397">
        <f>'Prop DUOS'!AE39</f>
        <v>0</v>
      </c>
      <c r="AE39" s="397">
        <f>'Prop DUOS'!AF39</f>
        <v>0</v>
      </c>
      <c r="AF39" s="397">
        <f>'Prop DUOS'!AG39</f>
        <v>0</v>
      </c>
      <c r="AG39" s="631">
        <f>'Prop DUOS'!AH39</f>
        <v>0</v>
      </c>
      <c r="AH39" s="398">
        <f>'Prop DUOS'!AI39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0"/>
        <v>0</v>
      </c>
    </row>
    <row r="40" spans="2:51" s="158" customFormat="1">
      <c r="B40" s="360" t="str">
        <f>IF('Prop DUOS'!B40="","",'Prop DUOS'!B40)</f>
        <v/>
      </c>
      <c r="C40" s="220"/>
      <c r="D40" s="244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634"/>
      <c r="R40" s="246"/>
      <c r="S40" s="229"/>
      <c r="T40" s="396">
        <f>'Prop DUOS'!U40</f>
        <v>0</v>
      </c>
      <c r="U40" s="397">
        <f>'Prop DUOS'!V40</f>
        <v>0</v>
      </c>
      <c r="V40" s="397">
        <f>'Prop DUOS'!W40</f>
        <v>0</v>
      </c>
      <c r="W40" s="397">
        <f>'Prop DUOS'!X40</f>
        <v>0</v>
      </c>
      <c r="X40" s="397">
        <f>'Prop DUOS'!Y40</f>
        <v>0</v>
      </c>
      <c r="Y40" s="397">
        <f>'Prop DUOS'!Z40</f>
        <v>0</v>
      </c>
      <c r="Z40" s="397">
        <f>'Prop DUOS'!AA40</f>
        <v>0</v>
      </c>
      <c r="AA40" s="397">
        <f>'Prop DUOS'!AB40</f>
        <v>0</v>
      </c>
      <c r="AB40" s="397">
        <f>'Prop DUOS'!AC40</f>
        <v>0</v>
      </c>
      <c r="AC40" s="397">
        <f>'Prop DUOS'!AD40</f>
        <v>0</v>
      </c>
      <c r="AD40" s="397">
        <f>'Prop DUOS'!AE40</f>
        <v>0</v>
      </c>
      <c r="AE40" s="397">
        <f>'Prop DUOS'!AF40</f>
        <v>0</v>
      </c>
      <c r="AF40" s="397">
        <f>'Prop DUOS'!AG40</f>
        <v>0</v>
      </c>
      <c r="AG40" s="631">
        <f>'Prop DUOS'!AH40</f>
        <v>0</v>
      </c>
      <c r="AH40" s="398">
        <f>'Prop DUOS'!AI40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0"/>
        <v>0</v>
      </c>
    </row>
    <row r="41" spans="2:51" s="158" customFormat="1">
      <c r="B41" s="360" t="str">
        <f>IF('Prop DUOS'!B41="","",'Prop DUOS'!B41)</f>
        <v/>
      </c>
      <c r="C41" s="220"/>
      <c r="D41" s="244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634"/>
      <c r="R41" s="246"/>
      <c r="S41" s="229"/>
      <c r="T41" s="396">
        <f>'Prop DUOS'!U41</f>
        <v>0</v>
      </c>
      <c r="U41" s="397">
        <f>'Prop DUOS'!V41</f>
        <v>0</v>
      </c>
      <c r="V41" s="397">
        <f>'Prop DUOS'!W41</f>
        <v>0</v>
      </c>
      <c r="W41" s="397">
        <f>'Prop DUOS'!X41</f>
        <v>0</v>
      </c>
      <c r="X41" s="397">
        <f>'Prop DUOS'!Y41</f>
        <v>0</v>
      </c>
      <c r="Y41" s="397">
        <f>'Prop DUOS'!Z41</f>
        <v>0</v>
      </c>
      <c r="Z41" s="397">
        <f>'Prop DUOS'!AA41</f>
        <v>0</v>
      </c>
      <c r="AA41" s="397">
        <f>'Prop DUOS'!AB41</f>
        <v>0</v>
      </c>
      <c r="AB41" s="397">
        <f>'Prop DUOS'!AC41</f>
        <v>0</v>
      </c>
      <c r="AC41" s="397">
        <f>'Prop DUOS'!AD41</f>
        <v>0</v>
      </c>
      <c r="AD41" s="397">
        <f>'Prop DUOS'!AE41</f>
        <v>0</v>
      </c>
      <c r="AE41" s="397">
        <f>'Prop DUOS'!AF41</f>
        <v>0</v>
      </c>
      <c r="AF41" s="397">
        <f>'Prop DUOS'!AG41</f>
        <v>0</v>
      </c>
      <c r="AG41" s="631">
        <f>'Prop DUOS'!AH41</f>
        <v>0</v>
      </c>
      <c r="AH41" s="398">
        <f>'Prop DUOS'!AI41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0"/>
        <v>0</v>
      </c>
    </row>
    <row r="42" spans="2:51" s="158" customFormat="1">
      <c r="B42" s="360" t="str">
        <f>IF('Prop DUOS'!B42="","",'Prop DUOS'!B42)</f>
        <v/>
      </c>
      <c r="C42" s="220"/>
      <c r="D42" s="244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634"/>
      <c r="R42" s="246"/>
      <c r="S42" s="229"/>
      <c r="T42" s="396">
        <f>'Prop DUOS'!U42</f>
        <v>0</v>
      </c>
      <c r="U42" s="397">
        <f>'Prop DUOS'!V42</f>
        <v>0</v>
      </c>
      <c r="V42" s="397">
        <f>'Prop DUOS'!W42</f>
        <v>0</v>
      </c>
      <c r="W42" s="397">
        <f>'Prop DUOS'!X42</f>
        <v>0</v>
      </c>
      <c r="X42" s="397">
        <f>'Prop DUOS'!Y42</f>
        <v>0</v>
      </c>
      <c r="Y42" s="397">
        <f>'Prop DUOS'!Z42</f>
        <v>0</v>
      </c>
      <c r="Z42" s="397">
        <f>'Prop DUOS'!AA42</f>
        <v>0</v>
      </c>
      <c r="AA42" s="397">
        <f>'Prop DUOS'!AB42</f>
        <v>0</v>
      </c>
      <c r="AB42" s="397">
        <f>'Prop DUOS'!AC42</f>
        <v>0</v>
      </c>
      <c r="AC42" s="397">
        <f>'Prop DUOS'!AD42</f>
        <v>0</v>
      </c>
      <c r="AD42" s="397">
        <f>'Prop DUOS'!AE42</f>
        <v>0</v>
      </c>
      <c r="AE42" s="397">
        <f>'Prop DUOS'!AF42</f>
        <v>0</v>
      </c>
      <c r="AF42" s="397">
        <f>'Prop DUOS'!AG42</f>
        <v>0</v>
      </c>
      <c r="AG42" s="631">
        <f>'Prop DUOS'!AH42</f>
        <v>0</v>
      </c>
      <c r="AH42" s="398">
        <f>'Prop DUOS'!AI42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0"/>
        <v>0</v>
      </c>
    </row>
    <row r="43" spans="2:51" s="158" customFormat="1">
      <c r="B43" s="360" t="str">
        <f>IF('Prop DUOS'!B43="","",'Prop DUOS'!B43)</f>
        <v/>
      </c>
      <c r="C43" s="220"/>
      <c r="D43" s="244"/>
      <c r="E43" s="245"/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634"/>
      <c r="R43" s="246"/>
      <c r="S43" s="229"/>
      <c r="T43" s="396">
        <f>'Prop DUOS'!U43</f>
        <v>0</v>
      </c>
      <c r="U43" s="397">
        <f>'Prop DUOS'!V43</f>
        <v>0</v>
      </c>
      <c r="V43" s="397">
        <f>'Prop DUOS'!W43</f>
        <v>0</v>
      </c>
      <c r="W43" s="397">
        <f>'Prop DUOS'!X43</f>
        <v>0</v>
      </c>
      <c r="X43" s="397">
        <f>'Prop DUOS'!Y43</f>
        <v>0</v>
      </c>
      <c r="Y43" s="397">
        <f>'Prop DUOS'!Z43</f>
        <v>0</v>
      </c>
      <c r="Z43" s="397">
        <f>'Prop DUOS'!AA43</f>
        <v>0</v>
      </c>
      <c r="AA43" s="397">
        <f>'Prop DUOS'!AB43</f>
        <v>0</v>
      </c>
      <c r="AB43" s="397">
        <f>'Prop DUOS'!AC43</f>
        <v>0</v>
      </c>
      <c r="AC43" s="397">
        <f>'Prop DUOS'!AD43</f>
        <v>0</v>
      </c>
      <c r="AD43" s="397">
        <f>'Prop DUOS'!AE43</f>
        <v>0</v>
      </c>
      <c r="AE43" s="397">
        <f>'Prop DUOS'!AF43</f>
        <v>0</v>
      </c>
      <c r="AF43" s="397">
        <f>'Prop DUOS'!AG43</f>
        <v>0</v>
      </c>
      <c r="AG43" s="631">
        <f>'Prop DUOS'!AH43</f>
        <v>0</v>
      </c>
      <c r="AH43" s="398">
        <f>'Prop DUOS'!AI43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0"/>
        <v>0</v>
      </c>
    </row>
    <row r="44" spans="2:51" s="158" customFormat="1">
      <c r="B44" s="360" t="str">
        <f>IF('Prop DUOS'!B44="","",'Prop DUOS'!B44)</f>
        <v/>
      </c>
      <c r="C44" s="220"/>
      <c r="D44" s="244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634"/>
      <c r="R44" s="246"/>
      <c r="S44" s="229"/>
      <c r="T44" s="396">
        <f>'Prop DUOS'!U44</f>
        <v>0</v>
      </c>
      <c r="U44" s="397">
        <f>'Prop DUOS'!V44</f>
        <v>0</v>
      </c>
      <c r="V44" s="397">
        <f>'Prop DUOS'!W44</f>
        <v>0</v>
      </c>
      <c r="W44" s="397">
        <f>'Prop DUOS'!X44</f>
        <v>0</v>
      </c>
      <c r="X44" s="397">
        <f>'Prop DUOS'!Y44</f>
        <v>0</v>
      </c>
      <c r="Y44" s="397">
        <f>'Prop DUOS'!Z44</f>
        <v>0</v>
      </c>
      <c r="Z44" s="397">
        <f>'Prop DUOS'!AA44</f>
        <v>0</v>
      </c>
      <c r="AA44" s="397">
        <f>'Prop DUOS'!AB44</f>
        <v>0</v>
      </c>
      <c r="AB44" s="397">
        <f>'Prop DUOS'!AC44</f>
        <v>0</v>
      </c>
      <c r="AC44" s="397">
        <f>'Prop DUOS'!AD44</f>
        <v>0</v>
      </c>
      <c r="AD44" s="397">
        <f>'Prop DUOS'!AE44</f>
        <v>0</v>
      </c>
      <c r="AE44" s="397">
        <f>'Prop DUOS'!AF44</f>
        <v>0</v>
      </c>
      <c r="AF44" s="397">
        <f>'Prop DUOS'!AG44</f>
        <v>0</v>
      </c>
      <c r="AG44" s="631">
        <f>'Prop DUOS'!AH44</f>
        <v>0</v>
      </c>
      <c r="AH44" s="398">
        <f>'Prop DUOS'!AI44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0"/>
        <v>0</v>
      </c>
    </row>
    <row r="45" spans="2:51" s="158" customFormat="1">
      <c r="B45" s="360" t="str">
        <f>IF('Prop DUOS'!B45="","",'Prop DUOS'!B45)</f>
        <v/>
      </c>
      <c r="C45" s="220"/>
      <c r="D45" s="244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634"/>
      <c r="R45" s="246"/>
      <c r="S45" s="229"/>
      <c r="T45" s="396">
        <f>'Prop DUOS'!U45</f>
        <v>0</v>
      </c>
      <c r="U45" s="397">
        <f>'Prop DUOS'!V45</f>
        <v>0</v>
      </c>
      <c r="V45" s="397">
        <f>'Prop DUOS'!W45</f>
        <v>0</v>
      </c>
      <c r="W45" s="397">
        <f>'Prop DUOS'!X45</f>
        <v>0</v>
      </c>
      <c r="X45" s="397">
        <f>'Prop DUOS'!Y45</f>
        <v>0</v>
      </c>
      <c r="Y45" s="397">
        <f>'Prop DUOS'!Z45</f>
        <v>0</v>
      </c>
      <c r="Z45" s="397">
        <f>'Prop DUOS'!AA45</f>
        <v>0</v>
      </c>
      <c r="AA45" s="397">
        <f>'Prop DUOS'!AB45</f>
        <v>0</v>
      </c>
      <c r="AB45" s="397">
        <f>'Prop DUOS'!AC45</f>
        <v>0</v>
      </c>
      <c r="AC45" s="397">
        <f>'Prop DUOS'!AD45</f>
        <v>0</v>
      </c>
      <c r="AD45" s="397">
        <f>'Prop DUOS'!AE45</f>
        <v>0</v>
      </c>
      <c r="AE45" s="397">
        <f>'Prop DUOS'!AF45</f>
        <v>0</v>
      </c>
      <c r="AF45" s="397">
        <f>'Prop DUOS'!AG45</f>
        <v>0</v>
      </c>
      <c r="AG45" s="631">
        <f>'Prop DUOS'!AH45</f>
        <v>0</v>
      </c>
      <c r="AH45" s="398">
        <f>'Prop DUOS'!AI45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0"/>
        <v>0</v>
      </c>
    </row>
    <row r="46" spans="2:51" s="158" customFormat="1">
      <c r="B46" s="360" t="str">
        <f>IF('Prop DUOS'!B46="","",'Prop DUOS'!B46)</f>
        <v/>
      </c>
      <c r="C46" s="220"/>
      <c r="D46" s="244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634"/>
      <c r="R46" s="246"/>
      <c r="S46" s="229"/>
      <c r="T46" s="396">
        <f>'Prop DUOS'!U46</f>
        <v>0</v>
      </c>
      <c r="U46" s="397">
        <f>'Prop DUOS'!V46</f>
        <v>0</v>
      </c>
      <c r="V46" s="397">
        <f>'Prop DUOS'!W46</f>
        <v>0</v>
      </c>
      <c r="W46" s="397">
        <f>'Prop DUOS'!X46</f>
        <v>0</v>
      </c>
      <c r="X46" s="397">
        <f>'Prop DUOS'!Y46</f>
        <v>0</v>
      </c>
      <c r="Y46" s="397">
        <f>'Prop DUOS'!Z46</f>
        <v>0</v>
      </c>
      <c r="Z46" s="397">
        <f>'Prop DUOS'!AA46</f>
        <v>0</v>
      </c>
      <c r="AA46" s="397">
        <f>'Prop DUOS'!AB46</f>
        <v>0</v>
      </c>
      <c r="AB46" s="397">
        <f>'Prop DUOS'!AC46</f>
        <v>0</v>
      </c>
      <c r="AC46" s="397">
        <f>'Prop DUOS'!AD46</f>
        <v>0</v>
      </c>
      <c r="AD46" s="397">
        <f>'Prop DUOS'!AE46</f>
        <v>0</v>
      </c>
      <c r="AE46" s="397">
        <f>'Prop DUOS'!AF46</f>
        <v>0</v>
      </c>
      <c r="AF46" s="397">
        <f>'Prop DUOS'!AG46</f>
        <v>0</v>
      </c>
      <c r="AG46" s="631">
        <f>'Prop DUOS'!AH46</f>
        <v>0</v>
      </c>
      <c r="AH46" s="398">
        <f>'Prop DUOS'!AI46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0"/>
        <v>0</v>
      </c>
    </row>
    <row r="47" spans="2:51" s="158" customFormat="1">
      <c r="B47" s="360" t="str">
        <f>IF('Prop DUOS'!B47="","",'Prop DUOS'!B47)</f>
        <v/>
      </c>
      <c r="C47" s="220"/>
      <c r="D47" s="244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634"/>
      <c r="R47" s="246"/>
      <c r="S47" s="229"/>
      <c r="T47" s="396">
        <f>'Prop DUOS'!U47</f>
        <v>0</v>
      </c>
      <c r="U47" s="397">
        <f>'Prop DUOS'!V47</f>
        <v>0</v>
      </c>
      <c r="V47" s="397">
        <f>'Prop DUOS'!W47</f>
        <v>0</v>
      </c>
      <c r="W47" s="397">
        <f>'Prop DUOS'!X47</f>
        <v>0</v>
      </c>
      <c r="X47" s="397">
        <f>'Prop DUOS'!Y47</f>
        <v>0</v>
      </c>
      <c r="Y47" s="397">
        <f>'Prop DUOS'!Z47</f>
        <v>0</v>
      </c>
      <c r="Z47" s="397">
        <f>'Prop DUOS'!AA47</f>
        <v>0</v>
      </c>
      <c r="AA47" s="397">
        <f>'Prop DUOS'!AB47</f>
        <v>0</v>
      </c>
      <c r="AB47" s="397">
        <f>'Prop DUOS'!AC47</f>
        <v>0</v>
      </c>
      <c r="AC47" s="397">
        <f>'Prop DUOS'!AD47</f>
        <v>0</v>
      </c>
      <c r="AD47" s="397">
        <f>'Prop DUOS'!AE47</f>
        <v>0</v>
      </c>
      <c r="AE47" s="397">
        <f>'Prop DUOS'!AF47</f>
        <v>0</v>
      </c>
      <c r="AF47" s="397">
        <f>'Prop DUOS'!AG47</f>
        <v>0</v>
      </c>
      <c r="AG47" s="631">
        <f>'Prop DUOS'!AH47</f>
        <v>0</v>
      </c>
      <c r="AH47" s="398">
        <f>'Prop DUOS'!AI47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0"/>
        <v>0</v>
      </c>
    </row>
    <row r="48" spans="2:51" s="158" customFormat="1">
      <c r="B48" s="360" t="str">
        <f>IF('Prop DUOS'!B48="","",'Prop DUOS'!B48)</f>
        <v/>
      </c>
      <c r="C48" s="220"/>
      <c r="D48" s="244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634"/>
      <c r="R48" s="246"/>
      <c r="S48" s="229"/>
      <c r="T48" s="396">
        <f>'Prop DUOS'!U48</f>
        <v>0</v>
      </c>
      <c r="U48" s="397">
        <f>'Prop DUOS'!V48</f>
        <v>0</v>
      </c>
      <c r="V48" s="397">
        <f>'Prop DUOS'!W48</f>
        <v>0</v>
      </c>
      <c r="W48" s="397">
        <f>'Prop DUOS'!X48</f>
        <v>0</v>
      </c>
      <c r="X48" s="397">
        <f>'Prop DUOS'!Y48</f>
        <v>0</v>
      </c>
      <c r="Y48" s="397">
        <f>'Prop DUOS'!Z48</f>
        <v>0</v>
      </c>
      <c r="Z48" s="397">
        <f>'Prop DUOS'!AA48</f>
        <v>0</v>
      </c>
      <c r="AA48" s="397">
        <f>'Prop DUOS'!AB48</f>
        <v>0</v>
      </c>
      <c r="AB48" s="397">
        <f>'Prop DUOS'!AC48</f>
        <v>0</v>
      </c>
      <c r="AC48" s="397">
        <f>'Prop DUOS'!AD48</f>
        <v>0</v>
      </c>
      <c r="AD48" s="397">
        <f>'Prop DUOS'!AE48</f>
        <v>0</v>
      </c>
      <c r="AE48" s="397">
        <f>'Prop DUOS'!AF48</f>
        <v>0</v>
      </c>
      <c r="AF48" s="397">
        <f>'Prop DUOS'!AG48</f>
        <v>0</v>
      </c>
      <c r="AG48" s="631">
        <f>'Prop DUOS'!AH48</f>
        <v>0</v>
      </c>
      <c r="AH48" s="398">
        <f>'Prop DUOS'!AI48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0"/>
        <v>0</v>
      </c>
    </row>
    <row r="49" spans="2:51" s="158" customFormat="1">
      <c r="B49" s="360" t="str">
        <f>IF('Prop DUOS'!B49="","",'Prop DUOS'!B49)</f>
        <v/>
      </c>
      <c r="C49" s="220"/>
      <c r="D49" s="244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634"/>
      <c r="R49" s="246"/>
      <c r="S49" s="229"/>
      <c r="T49" s="396">
        <f>'Prop DUOS'!U49</f>
        <v>0</v>
      </c>
      <c r="U49" s="397">
        <f>'Prop DUOS'!V49</f>
        <v>0</v>
      </c>
      <c r="V49" s="397">
        <f>'Prop DUOS'!W49</f>
        <v>0</v>
      </c>
      <c r="W49" s="397">
        <f>'Prop DUOS'!X49</f>
        <v>0</v>
      </c>
      <c r="X49" s="397">
        <f>'Prop DUOS'!Y49</f>
        <v>0</v>
      </c>
      <c r="Y49" s="397">
        <f>'Prop DUOS'!Z49</f>
        <v>0</v>
      </c>
      <c r="Z49" s="397">
        <f>'Prop DUOS'!AA49</f>
        <v>0</v>
      </c>
      <c r="AA49" s="397">
        <f>'Prop DUOS'!AB49</f>
        <v>0</v>
      </c>
      <c r="AB49" s="397">
        <f>'Prop DUOS'!AC49</f>
        <v>0</v>
      </c>
      <c r="AC49" s="397">
        <f>'Prop DUOS'!AD49</f>
        <v>0</v>
      </c>
      <c r="AD49" s="397">
        <f>'Prop DUOS'!AE49</f>
        <v>0</v>
      </c>
      <c r="AE49" s="397">
        <f>'Prop DUOS'!AF49</f>
        <v>0</v>
      </c>
      <c r="AF49" s="397">
        <f>'Prop DUOS'!AG49</f>
        <v>0</v>
      </c>
      <c r="AG49" s="631">
        <f>'Prop DUOS'!AH49</f>
        <v>0</v>
      </c>
      <c r="AH49" s="398">
        <f>'Prop DUOS'!AI49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0"/>
        <v>0</v>
      </c>
    </row>
    <row r="50" spans="2:51" s="158" customFormat="1">
      <c r="B50" s="360" t="str">
        <f>IF('Prop DUOS'!B50="","",'Prop DUOS'!B50)</f>
        <v/>
      </c>
      <c r="C50" s="220"/>
      <c r="D50" s="244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634"/>
      <c r="R50" s="246"/>
      <c r="S50" s="229"/>
      <c r="T50" s="396">
        <f>'Prop DUOS'!U50</f>
        <v>0</v>
      </c>
      <c r="U50" s="397">
        <f>'Prop DUOS'!V50</f>
        <v>0</v>
      </c>
      <c r="V50" s="397">
        <f>'Prop DUOS'!W50</f>
        <v>0</v>
      </c>
      <c r="W50" s="397">
        <f>'Prop DUOS'!X50</f>
        <v>0</v>
      </c>
      <c r="X50" s="397">
        <f>'Prop DUOS'!Y50</f>
        <v>0</v>
      </c>
      <c r="Y50" s="397">
        <f>'Prop DUOS'!Z50</f>
        <v>0</v>
      </c>
      <c r="Z50" s="397">
        <f>'Prop DUOS'!AA50</f>
        <v>0</v>
      </c>
      <c r="AA50" s="397">
        <f>'Prop DUOS'!AB50</f>
        <v>0</v>
      </c>
      <c r="AB50" s="397">
        <f>'Prop DUOS'!AC50</f>
        <v>0</v>
      </c>
      <c r="AC50" s="397">
        <f>'Prop DUOS'!AD50</f>
        <v>0</v>
      </c>
      <c r="AD50" s="397">
        <f>'Prop DUOS'!AE50</f>
        <v>0</v>
      </c>
      <c r="AE50" s="397">
        <f>'Prop DUOS'!AF50</f>
        <v>0</v>
      </c>
      <c r="AF50" s="397">
        <f>'Prop DUOS'!AG50</f>
        <v>0</v>
      </c>
      <c r="AG50" s="631">
        <f>'Prop DUOS'!AH50</f>
        <v>0</v>
      </c>
      <c r="AH50" s="398">
        <f>'Prop DUOS'!AI50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0"/>
        <v>0</v>
      </c>
    </row>
    <row r="51" spans="2:51" s="158" customFormat="1">
      <c r="B51" s="360" t="str">
        <f>IF('Prop DUOS'!B51="","",'Prop DUOS'!B51)</f>
        <v/>
      </c>
      <c r="C51" s="220"/>
      <c r="D51" s="244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634"/>
      <c r="R51" s="246"/>
      <c r="S51" s="229"/>
      <c r="T51" s="396">
        <f>'Prop DUOS'!U51</f>
        <v>0</v>
      </c>
      <c r="U51" s="397">
        <f>'Prop DUOS'!V51</f>
        <v>0</v>
      </c>
      <c r="V51" s="397">
        <f>'Prop DUOS'!W51</f>
        <v>0</v>
      </c>
      <c r="W51" s="397">
        <f>'Prop DUOS'!X51</f>
        <v>0</v>
      </c>
      <c r="X51" s="397">
        <f>'Prop DUOS'!Y51</f>
        <v>0</v>
      </c>
      <c r="Y51" s="397">
        <f>'Prop DUOS'!Z51</f>
        <v>0</v>
      </c>
      <c r="Z51" s="397">
        <f>'Prop DUOS'!AA51</f>
        <v>0</v>
      </c>
      <c r="AA51" s="397">
        <f>'Prop DUOS'!AB51</f>
        <v>0</v>
      </c>
      <c r="AB51" s="397">
        <f>'Prop DUOS'!AC51</f>
        <v>0</v>
      </c>
      <c r="AC51" s="397">
        <f>'Prop DUOS'!AD51</f>
        <v>0</v>
      </c>
      <c r="AD51" s="397">
        <f>'Prop DUOS'!AE51</f>
        <v>0</v>
      </c>
      <c r="AE51" s="397">
        <f>'Prop DUOS'!AF51</f>
        <v>0</v>
      </c>
      <c r="AF51" s="397">
        <f>'Prop DUOS'!AG51</f>
        <v>0</v>
      </c>
      <c r="AG51" s="631">
        <f>'Prop DUOS'!AH51</f>
        <v>0</v>
      </c>
      <c r="AH51" s="398">
        <f>'Prop DUOS'!AI51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0"/>
        <v>0</v>
      </c>
    </row>
    <row r="52" spans="2:51" s="158" customFormat="1">
      <c r="B52" s="360" t="str">
        <f>IF('Prop DUOS'!B52="","",'Prop DUOS'!B52)</f>
        <v/>
      </c>
      <c r="C52" s="220"/>
      <c r="D52" s="244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634"/>
      <c r="R52" s="246"/>
      <c r="S52" s="229"/>
      <c r="T52" s="396">
        <f>'Prop DUOS'!U52</f>
        <v>0</v>
      </c>
      <c r="U52" s="397">
        <f>'Prop DUOS'!V52</f>
        <v>0</v>
      </c>
      <c r="V52" s="397">
        <f>'Prop DUOS'!W52</f>
        <v>0</v>
      </c>
      <c r="W52" s="397">
        <f>'Prop DUOS'!X52</f>
        <v>0</v>
      </c>
      <c r="X52" s="397">
        <f>'Prop DUOS'!Y52</f>
        <v>0</v>
      </c>
      <c r="Y52" s="397">
        <f>'Prop DUOS'!Z52</f>
        <v>0</v>
      </c>
      <c r="Z52" s="397">
        <f>'Prop DUOS'!AA52</f>
        <v>0</v>
      </c>
      <c r="AA52" s="397">
        <f>'Prop DUOS'!AB52</f>
        <v>0</v>
      </c>
      <c r="AB52" s="397">
        <f>'Prop DUOS'!AC52</f>
        <v>0</v>
      </c>
      <c r="AC52" s="397">
        <f>'Prop DUOS'!AD52</f>
        <v>0</v>
      </c>
      <c r="AD52" s="397">
        <f>'Prop DUOS'!AE52</f>
        <v>0</v>
      </c>
      <c r="AE52" s="397">
        <f>'Prop DUOS'!AF52</f>
        <v>0</v>
      </c>
      <c r="AF52" s="397">
        <f>'Prop DUOS'!AG52</f>
        <v>0</v>
      </c>
      <c r="AG52" s="631">
        <f>'Prop DUOS'!AH52</f>
        <v>0</v>
      </c>
      <c r="AH52" s="398">
        <f>'Prop DUOS'!AI52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0"/>
        <v>0</v>
      </c>
    </row>
    <row r="53" spans="2:51" s="158" customFormat="1">
      <c r="B53" s="360" t="str">
        <f>IF('Prop DUOS'!B53="","",'Prop DUOS'!B53)</f>
        <v/>
      </c>
      <c r="C53" s="220"/>
      <c r="D53" s="244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634"/>
      <c r="R53" s="246"/>
      <c r="S53" s="229"/>
      <c r="T53" s="396">
        <f>'Prop DUOS'!U53</f>
        <v>0</v>
      </c>
      <c r="U53" s="397">
        <f>'Prop DUOS'!V53</f>
        <v>0</v>
      </c>
      <c r="V53" s="397">
        <f>'Prop DUOS'!W53</f>
        <v>0</v>
      </c>
      <c r="W53" s="397">
        <f>'Prop DUOS'!X53</f>
        <v>0</v>
      </c>
      <c r="X53" s="397">
        <f>'Prop DUOS'!Y53</f>
        <v>0</v>
      </c>
      <c r="Y53" s="397">
        <f>'Prop DUOS'!Z53</f>
        <v>0</v>
      </c>
      <c r="Z53" s="397">
        <f>'Prop DUOS'!AA53</f>
        <v>0</v>
      </c>
      <c r="AA53" s="397">
        <f>'Prop DUOS'!AB53</f>
        <v>0</v>
      </c>
      <c r="AB53" s="397">
        <f>'Prop DUOS'!AC53</f>
        <v>0</v>
      </c>
      <c r="AC53" s="397">
        <f>'Prop DUOS'!AD53</f>
        <v>0</v>
      </c>
      <c r="AD53" s="397">
        <f>'Prop DUOS'!AE53</f>
        <v>0</v>
      </c>
      <c r="AE53" s="397">
        <f>'Prop DUOS'!AF53</f>
        <v>0</v>
      </c>
      <c r="AF53" s="397">
        <f>'Prop DUOS'!AG53</f>
        <v>0</v>
      </c>
      <c r="AG53" s="631">
        <f>'Prop DUOS'!AH53</f>
        <v>0</v>
      </c>
      <c r="AH53" s="398">
        <f>'Prop DUOS'!AI53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0"/>
        <v>0</v>
      </c>
    </row>
    <row r="54" spans="2:51" s="158" customFormat="1">
      <c r="B54" s="360" t="str">
        <f>IF('Prop DUOS'!B54="","",'Prop DUOS'!B54)</f>
        <v/>
      </c>
      <c r="C54" s="220"/>
      <c r="D54" s="244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634"/>
      <c r="R54" s="246"/>
      <c r="S54" s="229"/>
      <c r="T54" s="396">
        <f>'Prop DUOS'!U54</f>
        <v>0</v>
      </c>
      <c r="U54" s="397">
        <f>'Prop DUOS'!V54</f>
        <v>0</v>
      </c>
      <c r="V54" s="397">
        <f>'Prop DUOS'!W54</f>
        <v>0</v>
      </c>
      <c r="W54" s="397">
        <f>'Prop DUOS'!X54</f>
        <v>0</v>
      </c>
      <c r="X54" s="397">
        <f>'Prop DUOS'!Y54</f>
        <v>0</v>
      </c>
      <c r="Y54" s="397">
        <f>'Prop DUOS'!Z54</f>
        <v>0</v>
      </c>
      <c r="Z54" s="397">
        <f>'Prop DUOS'!AA54</f>
        <v>0</v>
      </c>
      <c r="AA54" s="397">
        <f>'Prop DUOS'!AB54</f>
        <v>0</v>
      </c>
      <c r="AB54" s="397">
        <f>'Prop DUOS'!AC54</f>
        <v>0</v>
      </c>
      <c r="AC54" s="397">
        <f>'Prop DUOS'!AD54</f>
        <v>0</v>
      </c>
      <c r="AD54" s="397">
        <f>'Prop DUOS'!AE54</f>
        <v>0</v>
      </c>
      <c r="AE54" s="397">
        <f>'Prop DUOS'!AF54</f>
        <v>0</v>
      </c>
      <c r="AF54" s="397">
        <f>'Prop DUOS'!AG54</f>
        <v>0</v>
      </c>
      <c r="AG54" s="631">
        <f>'Prop DUOS'!AH54</f>
        <v>0</v>
      </c>
      <c r="AH54" s="398">
        <f>'Prop DUOS'!AI54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0"/>
        <v>0</v>
      </c>
    </row>
    <row r="55" spans="2:51" s="158" customFormat="1">
      <c r="B55" s="360" t="str">
        <f>IF('Prop DUOS'!B55="","",'Prop DUOS'!B55)</f>
        <v/>
      </c>
      <c r="C55" s="220"/>
      <c r="D55" s="244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634"/>
      <c r="R55" s="246"/>
      <c r="S55" s="229"/>
      <c r="T55" s="396">
        <f>'Prop DUOS'!U55</f>
        <v>0</v>
      </c>
      <c r="U55" s="397">
        <f>'Prop DUOS'!V55</f>
        <v>0</v>
      </c>
      <c r="V55" s="397">
        <f>'Prop DUOS'!W55</f>
        <v>0</v>
      </c>
      <c r="W55" s="397">
        <f>'Prop DUOS'!X55</f>
        <v>0</v>
      </c>
      <c r="X55" s="397">
        <f>'Prop DUOS'!Y55</f>
        <v>0</v>
      </c>
      <c r="Y55" s="397">
        <f>'Prop DUOS'!Z55</f>
        <v>0</v>
      </c>
      <c r="Z55" s="397">
        <f>'Prop DUOS'!AA55</f>
        <v>0</v>
      </c>
      <c r="AA55" s="397">
        <f>'Prop DUOS'!AB55</f>
        <v>0</v>
      </c>
      <c r="AB55" s="397">
        <f>'Prop DUOS'!AC55</f>
        <v>0</v>
      </c>
      <c r="AC55" s="397">
        <f>'Prop DUOS'!AD55</f>
        <v>0</v>
      </c>
      <c r="AD55" s="397">
        <f>'Prop DUOS'!AE55</f>
        <v>0</v>
      </c>
      <c r="AE55" s="397">
        <f>'Prop DUOS'!AF55</f>
        <v>0</v>
      </c>
      <c r="AF55" s="397">
        <f>'Prop DUOS'!AG55</f>
        <v>0</v>
      </c>
      <c r="AG55" s="631">
        <f>'Prop DUOS'!AH55</f>
        <v>0</v>
      </c>
      <c r="AH55" s="398">
        <f>'Prop DUOS'!AI55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0"/>
        <v>0</v>
      </c>
    </row>
    <row r="56" spans="2:51" s="158" customFormat="1">
      <c r="B56" s="360" t="str">
        <f>IF('Prop DUOS'!B56="","",'Prop DUOS'!B56)</f>
        <v/>
      </c>
      <c r="C56" s="220"/>
      <c r="D56" s="221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635"/>
      <c r="R56" s="223"/>
      <c r="S56" s="229"/>
      <c r="T56" s="396">
        <f>'Prop DUOS'!U56</f>
        <v>0</v>
      </c>
      <c r="U56" s="397">
        <f>'Prop DUOS'!V56</f>
        <v>0</v>
      </c>
      <c r="V56" s="397">
        <f>'Prop DUOS'!W56</f>
        <v>0</v>
      </c>
      <c r="W56" s="397">
        <f>'Prop DUOS'!X56</f>
        <v>0</v>
      </c>
      <c r="X56" s="397">
        <f>'Prop DUOS'!Y56</f>
        <v>0</v>
      </c>
      <c r="Y56" s="397">
        <f>'Prop DUOS'!Z56</f>
        <v>0</v>
      </c>
      <c r="Z56" s="397">
        <f>'Prop DUOS'!AA56</f>
        <v>0</v>
      </c>
      <c r="AA56" s="397">
        <f>'Prop DUOS'!AB56</f>
        <v>0</v>
      </c>
      <c r="AB56" s="397">
        <f>'Prop DUOS'!AC56</f>
        <v>0</v>
      </c>
      <c r="AC56" s="397">
        <f>'Prop DUOS'!AD56</f>
        <v>0</v>
      </c>
      <c r="AD56" s="397">
        <f>'Prop DUOS'!AE56</f>
        <v>0</v>
      </c>
      <c r="AE56" s="397">
        <f>'Prop DUOS'!AF56</f>
        <v>0</v>
      </c>
      <c r="AF56" s="397">
        <f>'Prop DUOS'!AG56</f>
        <v>0</v>
      </c>
      <c r="AG56" s="631">
        <f>'Prop DUOS'!AH56</f>
        <v>0</v>
      </c>
      <c r="AH56" s="398">
        <f>'Prop DUOS'!AI56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60" t="str">
        <f>IF('Prop DUOS'!B57="","",'Prop DUOS'!B57)</f>
        <v/>
      </c>
      <c r="C57" s="220"/>
      <c r="D57" s="221"/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635"/>
      <c r="R57" s="223"/>
      <c r="S57" s="229"/>
      <c r="T57" s="396">
        <f>'Prop DUOS'!U57</f>
        <v>0</v>
      </c>
      <c r="U57" s="397">
        <f>'Prop DUOS'!V57</f>
        <v>0</v>
      </c>
      <c r="V57" s="397">
        <f>'Prop DUOS'!W57</f>
        <v>0</v>
      </c>
      <c r="W57" s="397">
        <f>'Prop DUOS'!X57</f>
        <v>0</v>
      </c>
      <c r="X57" s="397">
        <f>'Prop DUOS'!Y57</f>
        <v>0</v>
      </c>
      <c r="Y57" s="397">
        <f>'Prop DUOS'!Z57</f>
        <v>0</v>
      </c>
      <c r="Z57" s="397">
        <f>'Prop DUOS'!AA57</f>
        <v>0</v>
      </c>
      <c r="AA57" s="397">
        <f>'Prop DUOS'!AB57</f>
        <v>0</v>
      </c>
      <c r="AB57" s="397">
        <f>'Prop DUOS'!AC57</f>
        <v>0</v>
      </c>
      <c r="AC57" s="397">
        <f>'Prop DUOS'!AD57</f>
        <v>0</v>
      </c>
      <c r="AD57" s="397">
        <f>'Prop DUOS'!AE57</f>
        <v>0</v>
      </c>
      <c r="AE57" s="397">
        <f>'Prop DUOS'!AF57</f>
        <v>0</v>
      </c>
      <c r="AF57" s="397">
        <f>'Prop DUOS'!AG57</f>
        <v>0</v>
      </c>
      <c r="AG57" s="631">
        <f>'Prop DUOS'!AH57</f>
        <v>0</v>
      </c>
      <c r="AH57" s="398">
        <f>'Prop DUOS'!AI57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60" t="str">
        <f>IF('Prop DUOS'!B58="","",'Prop DUOS'!B58)</f>
        <v/>
      </c>
      <c r="C58" s="220"/>
      <c r="D58" s="221"/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635"/>
      <c r="R58" s="223"/>
      <c r="S58" s="229"/>
      <c r="T58" s="396">
        <f>'Prop DUOS'!U58</f>
        <v>0</v>
      </c>
      <c r="U58" s="397">
        <f>'Prop DUOS'!V58</f>
        <v>0</v>
      </c>
      <c r="V58" s="397">
        <f>'Prop DUOS'!W58</f>
        <v>0</v>
      </c>
      <c r="W58" s="397">
        <f>'Prop DUOS'!X58</f>
        <v>0</v>
      </c>
      <c r="X58" s="397">
        <f>'Prop DUOS'!Y58</f>
        <v>0</v>
      </c>
      <c r="Y58" s="397">
        <f>'Prop DUOS'!Z58</f>
        <v>0</v>
      </c>
      <c r="Z58" s="397">
        <f>'Prop DUOS'!AA58</f>
        <v>0</v>
      </c>
      <c r="AA58" s="397">
        <f>'Prop DUOS'!AB58</f>
        <v>0</v>
      </c>
      <c r="AB58" s="397">
        <f>'Prop DUOS'!AC58</f>
        <v>0</v>
      </c>
      <c r="AC58" s="397">
        <f>'Prop DUOS'!AD58</f>
        <v>0</v>
      </c>
      <c r="AD58" s="397">
        <f>'Prop DUOS'!AE58</f>
        <v>0</v>
      </c>
      <c r="AE58" s="397">
        <f>'Prop DUOS'!AF58</f>
        <v>0</v>
      </c>
      <c r="AF58" s="397">
        <f>'Prop DUOS'!AG58</f>
        <v>0</v>
      </c>
      <c r="AG58" s="631">
        <f>'Prop DUOS'!AH58</f>
        <v>0</v>
      </c>
      <c r="AH58" s="398">
        <f>'Prop DUOS'!AI58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60" t="str">
        <f>IF('Prop DUOS'!B59="","",'Prop DUOS'!B59)</f>
        <v/>
      </c>
      <c r="C59" s="220"/>
      <c r="D59" s="221"/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635"/>
      <c r="R59" s="223"/>
      <c r="S59" s="229"/>
      <c r="T59" s="396">
        <f>'Prop DUOS'!U59</f>
        <v>0</v>
      </c>
      <c r="U59" s="397">
        <f>'Prop DUOS'!V59</f>
        <v>0</v>
      </c>
      <c r="V59" s="397">
        <f>'Prop DUOS'!W59</f>
        <v>0</v>
      </c>
      <c r="W59" s="397">
        <f>'Prop DUOS'!X59</f>
        <v>0</v>
      </c>
      <c r="X59" s="397">
        <f>'Prop DUOS'!Y59</f>
        <v>0</v>
      </c>
      <c r="Y59" s="397">
        <f>'Prop DUOS'!Z59</f>
        <v>0</v>
      </c>
      <c r="Z59" s="397">
        <f>'Prop DUOS'!AA59</f>
        <v>0</v>
      </c>
      <c r="AA59" s="397">
        <f>'Prop DUOS'!AB59</f>
        <v>0</v>
      </c>
      <c r="AB59" s="397">
        <f>'Prop DUOS'!AC59</f>
        <v>0</v>
      </c>
      <c r="AC59" s="397">
        <f>'Prop DUOS'!AD59</f>
        <v>0</v>
      </c>
      <c r="AD59" s="397">
        <f>'Prop DUOS'!AE59</f>
        <v>0</v>
      </c>
      <c r="AE59" s="397">
        <f>'Prop DUOS'!AF59</f>
        <v>0</v>
      </c>
      <c r="AF59" s="397">
        <f>'Prop DUOS'!AG59</f>
        <v>0</v>
      </c>
      <c r="AG59" s="631">
        <f>'Prop DUOS'!AH59</f>
        <v>0</v>
      </c>
      <c r="AH59" s="398">
        <f>'Prop DUOS'!AI59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60" t="str">
        <f>IF('Prop DUOS'!B60="","",'Prop DUOS'!B60)</f>
        <v/>
      </c>
      <c r="C60" s="220"/>
      <c r="D60" s="221"/>
      <c r="E60" s="222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635"/>
      <c r="R60" s="223"/>
      <c r="S60" s="229"/>
      <c r="T60" s="396">
        <f>'Prop DUOS'!U60</f>
        <v>0</v>
      </c>
      <c r="U60" s="397">
        <f>'Prop DUOS'!V60</f>
        <v>0</v>
      </c>
      <c r="V60" s="397">
        <f>'Prop DUOS'!W60</f>
        <v>0</v>
      </c>
      <c r="W60" s="397">
        <f>'Prop DUOS'!X60</f>
        <v>0</v>
      </c>
      <c r="X60" s="397">
        <f>'Prop DUOS'!Y60</f>
        <v>0</v>
      </c>
      <c r="Y60" s="397">
        <f>'Prop DUOS'!Z60</f>
        <v>0</v>
      </c>
      <c r="Z60" s="397">
        <f>'Prop DUOS'!AA60</f>
        <v>0</v>
      </c>
      <c r="AA60" s="397">
        <f>'Prop DUOS'!AB60</f>
        <v>0</v>
      </c>
      <c r="AB60" s="397">
        <f>'Prop DUOS'!AC60</f>
        <v>0</v>
      </c>
      <c r="AC60" s="397">
        <f>'Prop DUOS'!AD60</f>
        <v>0</v>
      </c>
      <c r="AD60" s="397">
        <f>'Prop DUOS'!AE60</f>
        <v>0</v>
      </c>
      <c r="AE60" s="397">
        <f>'Prop DUOS'!AF60</f>
        <v>0</v>
      </c>
      <c r="AF60" s="397">
        <f>'Prop DUOS'!AG60</f>
        <v>0</v>
      </c>
      <c r="AG60" s="631">
        <f>'Prop DUOS'!AH60</f>
        <v>0</v>
      </c>
      <c r="AH60" s="398">
        <f>'Prop DUOS'!AI60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60" t="str">
        <f>IF('Prop DUOS'!B61="","",'Prop DUOS'!B61)</f>
        <v/>
      </c>
      <c r="C61" s="220"/>
      <c r="D61" s="221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635"/>
      <c r="R61" s="223"/>
      <c r="S61" s="229"/>
      <c r="T61" s="396">
        <f>'Prop DUOS'!U61</f>
        <v>0</v>
      </c>
      <c r="U61" s="397">
        <f>'Prop DUOS'!V61</f>
        <v>0</v>
      </c>
      <c r="V61" s="397">
        <f>'Prop DUOS'!W61</f>
        <v>0</v>
      </c>
      <c r="W61" s="397">
        <f>'Prop DUOS'!X61</f>
        <v>0</v>
      </c>
      <c r="X61" s="397">
        <f>'Prop DUOS'!Y61</f>
        <v>0</v>
      </c>
      <c r="Y61" s="397">
        <f>'Prop DUOS'!Z61</f>
        <v>0</v>
      </c>
      <c r="Z61" s="397">
        <f>'Prop DUOS'!AA61</f>
        <v>0</v>
      </c>
      <c r="AA61" s="397">
        <f>'Prop DUOS'!AB61</f>
        <v>0</v>
      </c>
      <c r="AB61" s="397">
        <f>'Prop DUOS'!AC61</f>
        <v>0</v>
      </c>
      <c r="AC61" s="397">
        <f>'Prop DUOS'!AD61</f>
        <v>0</v>
      </c>
      <c r="AD61" s="397">
        <f>'Prop DUOS'!AE61</f>
        <v>0</v>
      </c>
      <c r="AE61" s="397">
        <f>'Prop DUOS'!AF61</f>
        <v>0</v>
      </c>
      <c r="AF61" s="397">
        <f>'Prop DUOS'!AG61</f>
        <v>0</v>
      </c>
      <c r="AG61" s="631">
        <f>'Prop DUOS'!AH61</f>
        <v>0</v>
      </c>
      <c r="AH61" s="398">
        <f>'Prop DUOS'!AI61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60" t="str">
        <f>IF('Prop DUOS'!B62="","",'Prop DUOS'!B62)</f>
        <v/>
      </c>
      <c r="C62" s="220"/>
      <c r="D62" s="221"/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635"/>
      <c r="R62" s="223"/>
      <c r="S62" s="229"/>
      <c r="T62" s="396">
        <f>'Prop DUOS'!U62</f>
        <v>0</v>
      </c>
      <c r="U62" s="397">
        <f>'Prop DUOS'!V62</f>
        <v>0</v>
      </c>
      <c r="V62" s="397">
        <f>'Prop DUOS'!W62</f>
        <v>0</v>
      </c>
      <c r="W62" s="397">
        <f>'Prop DUOS'!X62</f>
        <v>0</v>
      </c>
      <c r="X62" s="397">
        <f>'Prop DUOS'!Y62</f>
        <v>0</v>
      </c>
      <c r="Y62" s="397">
        <f>'Prop DUOS'!Z62</f>
        <v>0</v>
      </c>
      <c r="Z62" s="397">
        <f>'Prop DUOS'!AA62</f>
        <v>0</v>
      </c>
      <c r="AA62" s="397">
        <f>'Prop DUOS'!AB62</f>
        <v>0</v>
      </c>
      <c r="AB62" s="397">
        <f>'Prop DUOS'!AC62</f>
        <v>0</v>
      </c>
      <c r="AC62" s="397">
        <f>'Prop DUOS'!AD62</f>
        <v>0</v>
      </c>
      <c r="AD62" s="397">
        <f>'Prop DUOS'!AE62</f>
        <v>0</v>
      </c>
      <c r="AE62" s="397">
        <f>'Prop DUOS'!AF62</f>
        <v>0</v>
      </c>
      <c r="AF62" s="397">
        <f>'Prop DUOS'!AG62</f>
        <v>0</v>
      </c>
      <c r="AG62" s="631">
        <f>'Prop DUOS'!AH62</f>
        <v>0</v>
      </c>
      <c r="AH62" s="398">
        <f>'Prop DUOS'!AI62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60" t="str">
        <f>IF('Prop DUOS'!B63="","",'Prop DUOS'!B63)</f>
        <v/>
      </c>
      <c r="C63" s="220"/>
      <c r="D63" s="221"/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635"/>
      <c r="R63" s="223"/>
      <c r="S63" s="229"/>
      <c r="T63" s="396">
        <f>'Prop DUOS'!U63</f>
        <v>0</v>
      </c>
      <c r="U63" s="397">
        <f>'Prop DUOS'!V63</f>
        <v>0</v>
      </c>
      <c r="V63" s="397">
        <f>'Prop DUOS'!W63</f>
        <v>0</v>
      </c>
      <c r="W63" s="397">
        <f>'Prop DUOS'!X63</f>
        <v>0</v>
      </c>
      <c r="X63" s="397">
        <f>'Prop DUOS'!Y63</f>
        <v>0</v>
      </c>
      <c r="Y63" s="397">
        <f>'Prop DUOS'!Z63</f>
        <v>0</v>
      </c>
      <c r="Z63" s="397">
        <f>'Prop DUOS'!AA63</f>
        <v>0</v>
      </c>
      <c r="AA63" s="397">
        <f>'Prop DUOS'!AB63</f>
        <v>0</v>
      </c>
      <c r="AB63" s="397">
        <f>'Prop DUOS'!AC63</f>
        <v>0</v>
      </c>
      <c r="AC63" s="397">
        <f>'Prop DUOS'!AD63</f>
        <v>0</v>
      </c>
      <c r="AD63" s="397">
        <f>'Prop DUOS'!AE63</f>
        <v>0</v>
      </c>
      <c r="AE63" s="397">
        <f>'Prop DUOS'!AF63</f>
        <v>0</v>
      </c>
      <c r="AF63" s="397">
        <f>'Prop DUOS'!AG63</f>
        <v>0</v>
      </c>
      <c r="AG63" s="631">
        <f>'Prop DUOS'!AH63</f>
        <v>0</v>
      </c>
      <c r="AH63" s="398">
        <f>'Prop DUOS'!AI63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60" t="str">
        <f>IF('Prop DUOS'!B64="","",'Prop DUOS'!B64)</f>
        <v/>
      </c>
      <c r="C64" s="220"/>
      <c r="D64" s="221"/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635"/>
      <c r="R64" s="223"/>
      <c r="S64" s="229"/>
      <c r="T64" s="396">
        <f>'Prop DUOS'!U64</f>
        <v>0</v>
      </c>
      <c r="U64" s="397">
        <f>'Prop DUOS'!V64</f>
        <v>0</v>
      </c>
      <c r="V64" s="397">
        <f>'Prop DUOS'!W64</f>
        <v>0</v>
      </c>
      <c r="W64" s="397">
        <f>'Prop DUOS'!X64</f>
        <v>0</v>
      </c>
      <c r="X64" s="397">
        <f>'Prop DUOS'!Y64</f>
        <v>0</v>
      </c>
      <c r="Y64" s="397">
        <f>'Prop DUOS'!Z64</f>
        <v>0</v>
      </c>
      <c r="Z64" s="397">
        <f>'Prop DUOS'!AA64</f>
        <v>0</v>
      </c>
      <c r="AA64" s="397">
        <f>'Prop DUOS'!AB64</f>
        <v>0</v>
      </c>
      <c r="AB64" s="397">
        <f>'Prop DUOS'!AC64</f>
        <v>0</v>
      </c>
      <c r="AC64" s="397">
        <f>'Prop DUOS'!AD64</f>
        <v>0</v>
      </c>
      <c r="AD64" s="397">
        <f>'Prop DUOS'!AE64</f>
        <v>0</v>
      </c>
      <c r="AE64" s="397">
        <f>'Prop DUOS'!AF64</f>
        <v>0</v>
      </c>
      <c r="AF64" s="397">
        <f>'Prop DUOS'!AG64</f>
        <v>0</v>
      </c>
      <c r="AG64" s="631">
        <f>'Prop DUOS'!AH64</f>
        <v>0</v>
      </c>
      <c r="AH64" s="398">
        <f>'Prop DUOS'!AI64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60" t="str">
        <f>IF('Prop DUOS'!B65="","",'Prop DUOS'!B65)</f>
        <v/>
      </c>
      <c r="C65" s="220"/>
      <c r="D65" s="221"/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635"/>
      <c r="R65" s="223"/>
      <c r="S65" s="229"/>
      <c r="T65" s="396">
        <f>'Prop DUOS'!U65</f>
        <v>0</v>
      </c>
      <c r="U65" s="397">
        <f>'Prop DUOS'!V65</f>
        <v>0</v>
      </c>
      <c r="V65" s="397">
        <f>'Prop DUOS'!W65</f>
        <v>0</v>
      </c>
      <c r="W65" s="397">
        <f>'Prop DUOS'!X65</f>
        <v>0</v>
      </c>
      <c r="X65" s="397">
        <f>'Prop DUOS'!Y65</f>
        <v>0</v>
      </c>
      <c r="Y65" s="397">
        <f>'Prop DUOS'!Z65</f>
        <v>0</v>
      </c>
      <c r="Z65" s="397">
        <f>'Prop DUOS'!AA65</f>
        <v>0</v>
      </c>
      <c r="AA65" s="397">
        <f>'Prop DUOS'!AB65</f>
        <v>0</v>
      </c>
      <c r="AB65" s="397">
        <f>'Prop DUOS'!AC65</f>
        <v>0</v>
      </c>
      <c r="AC65" s="397">
        <f>'Prop DUOS'!AD65</f>
        <v>0</v>
      </c>
      <c r="AD65" s="397">
        <f>'Prop DUOS'!AE65</f>
        <v>0</v>
      </c>
      <c r="AE65" s="397">
        <f>'Prop DUOS'!AF65</f>
        <v>0</v>
      </c>
      <c r="AF65" s="397">
        <f>'Prop DUOS'!AG65</f>
        <v>0</v>
      </c>
      <c r="AG65" s="631">
        <f>'Prop DUOS'!AH65</f>
        <v>0</v>
      </c>
      <c r="AH65" s="398">
        <f>'Prop DUOS'!AI65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62" t="str">
        <f>IF('Prop DUOS'!B66="","",'Prop DUOS'!B66)</f>
        <v/>
      </c>
      <c r="C66" s="224"/>
      <c r="D66" s="225"/>
      <c r="E66" s="226"/>
      <c r="F66" s="226"/>
      <c r="G66" s="226"/>
      <c r="H66" s="226"/>
      <c r="I66" s="226"/>
      <c r="J66" s="226"/>
      <c r="K66" s="226"/>
      <c r="L66" s="226"/>
      <c r="M66" s="226"/>
      <c r="N66" s="226"/>
      <c r="O66" s="226"/>
      <c r="P66" s="226"/>
      <c r="Q66" s="636"/>
      <c r="R66" s="227"/>
      <c r="S66" s="230"/>
      <c r="T66" s="399">
        <f>'Prop DUOS'!U66</f>
        <v>0</v>
      </c>
      <c r="U66" s="400">
        <f>'Prop DUOS'!V66</f>
        <v>0</v>
      </c>
      <c r="V66" s="400">
        <f>'Prop DUOS'!W66</f>
        <v>0</v>
      </c>
      <c r="W66" s="400">
        <f>'Prop DUOS'!X66</f>
        <v>0</v>
      </c>
      <c r="X66" s="400">
        <f>'Prop DUOS'!Y66</f>
        <v>0</v>
      </c>
      <c r="Y66" s="400">
        <f>'Prop DUOS'!Z66</f>
        <v>0</v>
      </c>
      <c r="Z66" s="400">
        <f>'Prop DUOS'!AA66</f>
        <v>0</v>
      </c>
      <c r="AA66" s="400">
        <f>'Prop DUOS'!AB66</f>
        <v>0</v>
      </c>
      <c r="AB66" s="400">
        <f>'Prop DUOS'!AC66</f>
        <v>0</v>
      </c>
      <c r="AC66" s="400">
        <f>'Prop DUOS'!AD66</f>
        <v>0</v>
      </c>
      <c r="AD66" s="400">
        <f>'Prop DUOS'!AE66</f>
        <v>0</v>
      </c>
      <c r="AE66" s="400">
        <f>'Prop DUOS'!AF66</f>
        <v>0</v>
      </c>
      <c r="AF66" s="400">
        <f>'Prop DUOS'!AG66</f>
        <v>0</v>
      </c>
      <c r="AG66" s="632">
        <f>'Prop DUOS'!AH66</f>
        <v>0</v>
      </c>
      <c r="AH66" s="401">
        <f>'Prop DUOS'!AI66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S67" s="84"/>
      <c r="T67" s="104">
        <f t="shared" ref="T67:Z67" si="1">SUM(T7:T66)</f>
        <v>763236.03561643825</v>
      </c>
      <c r="U67" s="104">
        <f t="shared" si="1"/>
        <v>3557847669.4482479</v>
      </c>
      <c r="V67" s="104">
        <f t="shared" si="1"/>
        <v>1636760928.6109133</v>
      </c>
      <c r="W67" s="104">
        <f t="shared" si="1"/>
        <v>2233285032.6550646</v>
      </c>
      <c r="X67" s="104">
        <f t="shared" si="1"/>
        <v>0</v>
      </c>
      <c r="Y67" s="104">
        <f t="shared" si="1"/>
        <v>0</v>
      </c>
      <c r="Z67" s="104">
        <f t="shared" si="1"/>
        <v>0</v>
      </c>
      <c r="AA67" s="104">
        <f t="shared" ref="AA67:AF67" si="2">SUM(AA7:AA66)</f>
        <v>0</v>
      </c>
      <c r="AB67" s="104">
        <f t="shared" ref="AB67" si="3">SUM(AB7:AB66)</f>
        <v>0</v>
      </c>
      <c r="AC67" s="104">
        <f t="shared" si="2"/>
        <v>0</v>
      </c>
      <c r="AD67" s="104">
        <f t="shared" si="2"/>
        <v>1108399.8200000005</v>
      </c>
      <c r="AE67" s="104">
        <f t="shared" si="2"/>
        <v>257763.90520547942</v>
      </c>
      <c r="AF67" s="104">
        <f t="shared" si="2"/>
        <v>76354.047000018239</v>
      </c>
      <c r="AG67" s="104">
        <f t="shared" ref="AG67:AH67" si="4">SUM(AG7:AG66)</f>
        <v>127765.9635423755</v>
      </c>
      <c r="AH67" s="104">
        <f t="shared" si="4"/>
        <v>0</v>
      </c>
      <c r="AJ67" s="104">
        <f t="shared" ref="AJ67:AP67" si="5">SUM(AJ7:AJ66)</f>
        <v>12502598.8104</v>
      </c>
      <c r="AK67" s="104">
        <f t="shared" si="5"/>
        <v>0</v>
      </c>
      <c r="AL67" s="104">
        <f t="shared" si="5"/>
        <v>0</v>
      </c>
      <c r="AM67" s="104">
        <f t="shared" si="5"/>
        <v>0</v>
      </c>
      <c r="AN67" s="104">
        <f t="shared" si="5"/>
        <v>0</v>
      </c>
      <c r="AO67" s="104">
        <f t="shared" si="5"/>
        <v>0</v>
      </c>
      <c r="AP67" s="104">
        <f t="shared" si="5"/>
        <v>0</v>
      </c>
      <c r="AQ67" s="104">
        <f t="shared" ref="AQ67:AY67" si="6">SUM(AQ7:AQ66)</f>
        <v>0</v>
      </c>
      <c r="AR67" s="104">
        <f t="shared" ref="AR67" si="7">SUM(AR7:AR66)</f>
        <v>0</v>
      </c>
      <c r="AS67" s="104">
        <f t="shared" si="6"/>
        <v>0</v>
      </c>
      <c r="AT67" s="104">
        <f t="shared" si="6"/>
        <v>0</v>
      </c>
      <c r="AU67" s="104">
        <f t="shared" si="6"/>
        <v>0</v>
      </c>
      <c r="AV67" s="104">
        <f t="shared" si="6"/>
        <v>0</v>
      </c>
      <c r="AW67" s="104">
        <f t="shared" ref="AW67:AX67" si="8">SUM(AW7:AW66)</f>
        <v>0</v>
      </c>
      <c r="AX67" s="104">
        <f t="shared" si="8"/>
        <v>0</v>
      </c>
      <c r="AY67" s="104">
        <f t="shared" si="6"/>
        <v>12502598.8104</v>
      </c>
    </row>
    <row r="68" spans="2:51" ht="13.5" thickTop="1">
      <c r="B68" s="103"/>
      <c r="C68" s="70"/>
      <c r="S68" s="84"/>
    </row>
    <row r="69" spans="2:51">
      <c r="B69" s="103"/>
      <c r="C69" s="70"/>
      <c r="AY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  <row r="104" spans="2:3">
      <c r="B104" s="103"/>
      <c r="C104" s="70"/>
    </row>
    <row r="105" spans="2:3">
      <c r="B105" s="103"/>
      <c r="C105" s="70"/>
    </row>
    <row r="106" spans="2:3">
      <c r="B106" s="103"/>
      <c r="C106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1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28" max="1048575" man="1"/>
    <brk id="52" max="6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39997558519241921"/>
    <pageSetUpPr autoPageBreaks="0"/>
  </sheetPr>
  <dimension ref="B1:BB103"/>
  <sheetViews>
    <sheetView zoomScale="80" zoomScaleNormal="80" workbookViewId="0">
      <pane xSplit="3" ySplit="6" topLeftCell="D7" activePane="bottomRight" state="frozen"/>
      <selection pane="topRight"/>
      <selection pane="bottomLeft"/>
      <selection pane="bottomRight" activeCell="BB36" sqref="BB36"/>
    </sheetView>
  </sheetViews>
  <sheetFormatPr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2.28515625" style="87" customWidth="1"/>
    <col min="21" max="21" width="19.140625" style="87" customWidth="1"/>
    <col min="22" max="22" width="14.28515625" style="87" customWidth="1"/>
    <col min="23" max="23" width="12.28515625" style="87" customWidth="1"/>
    <col min="24" max="24" width="14.42578125" style="87" customWidth="1"/>
    <col min="25" max="25" width="17.140625" style="87" customWidth="1"/>
    <col min="26" max="26" width="12.28515625" style="87" customWidth="1"/>
    <col min="27" max="28" width="14.42578125" style="87" customWidth="1"/>
    <col min="29" max="29" width="17.5703125" style="87" customWidth="1"/>
    <col min="30" max="30" width="18.7109375" style="87" bestFit="1" customWidth="1"/>
    <col min="31" max="31" width="18" style="87" customWidth="1"/>
    <col min="32" max="32" width="16.7109375" style="87" bestFit="1" customWidth="1"/>
    <col min="33" max="33" width="16.7109375" style="87" customWidth="1"/>
    <col min="34" max="34" width="16.7109375" style="87" bestFit="1" customWidth="1"/>
    <col min="35" max="35" width="7.7109375" style="87" customWidth="1"/>
    <col min="36" max="37" width="16.7109375" style="87" bestFit="1" customWidth="1"/>
    <col min="38" max="38" width="11" style="87" customWidth="1"/>
    <col min="39" max="40" width="14.85546875" style="87" bestFit="1" customWidth="1"/>
    <col min="41" max="41" width="15.42578125" style="87" customWidth="1"/>
    <col min="42" max="42" width="12.28515625" style="87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1.28515625" style="87" customWidth="1"/>
    <col min="48" max="49" width="15.85546875" style="87" customWidth="1"/>
    <col min="50" max="51" width="14.85546875" style="87" customWidth="1"/>
    <col min="52" max="53" width="9.140625" style="87"/>
    <col min="54" max="54" width="15.140625" style="87" bestFit="1" customWidth="1"/>
    <col min="55" max="16384" width="9.140625" style="87"/>
  </cols>
  <sheetData>
    <row r="1" spans="2:54" ht="15">
      <c r="B1" s="69" t="str">
        <f>"Tariff Approval - "&amp;Input!E3</f>
        <v>Tariff Approval - United Energy</v>
      </c>
      <c r="C1" s="69"/>
      <c r="D1" s="276" t="s">
        <v>143</v>
      </c>
    </row>
    <row r="2" spans="2:54">
      <c r="G2" s="177"/>
    </row>
    <row r="3" spans="2:54">
      <c r="B3" s="99" t="str">
        <f>"ESTIMATED "&amp;Input!E8&amp;" JURISDICTIONAL SCHEME REVENUE"</f>
        <v>ESTIMATED HY21 JURISDICTIONAL SCHEME REVENUE</v>
      </c>
      <c r="C3" s="99"/>
    </row>
    <row r="4" spans="2:54">
      <c r="B4" s="99"/>
      <c r="C4" s="99"/>
    </row>
    <row r="5" spans="2:54" ht="13.5" thickBot="1">
      <c r="D5" s="391" t="str">
        <f>"Current Jurisdictional scheme Tariffs (Pt-1) for "&amp;Input!$E$8</f>
        <v>Current Jurisdictional scheme Tariffs (Pt-1) for HY21</v>
      </c>
      <c r="E5" s="392"/>
      <c r="F5" s="392"/>
      <c r="G5" s="392"/>
      <c r="H5" s="392"/>
      <c r="I5" s="84"/>
      <c r="J5" s="84"/>
      <c r="T5" s="391" t="str">
        <f>"Estimated Quantities (Qt-1) for "&amp;Input!$E$8</f>
        <v>Estimated Quantities (Qt-1) for HY21</v>
      </c>
      <c r="U5" s="392"/>
      <c r="V5" s="392"/>
      <c r="W5" s="84"/>
      <c r="X5" s="84"/>
      <c r="AJ5" s="391" t="str">
        <f>"Estimated Revenue (Pt-1 "&amp;Input!$E$8&amp;")*(Qt-1 " &amp;Input!$E$8&amp;")"</f>
        <v>Estimated Revenue (Pt-1 HY21)*(Qt-1 HY21)</v>
      </c>
      <c r="AK5" s="392"/>
      <c r="AL5" s="392"/>
      <c r="AM5" s="392"/>
    </row>
    <row r="6" spans="2:54" s="158" customFormat="1">
      <c r="B6" s="100" t="str">
        <f>"Tariffs "&amp;Input!E8</f>
        <v>Tariffs HY21</v>
      </c>
      <c r="C6" s="217"/>
      <c r="D6" s="161" t="str">
        <f>'Prop DUOS'!E6</f>
        <v>Fixed</v>
      </c>
      <c r="E6" s="162" t="str">
        <f>'Prop DUOS'!F6</f>
        <v>PkBlk1</v>
      </c>
      <c r="F6" s="162" t="str">
        <f>'Prop DUOS'!G6</f>
        <v>PkBlk2</v>
      </c>
      <c r="G6" s="162" t="str">
        <f>'Prop DUOS'!H6</f>
        <v>PkBlk3</v>
      </c>
      <c r="H6" s="162" t="str">
        <f>'Prop DUOS'!I6</f>
        <v>PkBlk4</v>
      </c>
      <c r="I6" s="162" t="str">
        <f>'Prop DUOS'!J6</f>
        <v>OPkBlk1</v>
      </c>
      <c r="J6" s="162" t="str">
        <f>'Prop DUOS'!K6</f>
        <v>OPkBlk2</v>
      </c>
      <c r="K6" s="162" t="str">
        <f>'Prop DUOS'!L6</f>
        <v>OPkBlk3</v>
      </c>
      <c r="L6" s="162" t="str">
        <f>'Prop DUOS'!M6</f>
        <v>OPkBlk4</v>
      </c>
      <c r="M6" s="162" t="str">
        <f>'Prop DUOS'!N6</f>
        <v>OPkBlk5</v>
      </c>
      <c r="N6" s="162" t="str">
        <f>'Prop DUOS'!O6</f>
        <v>DemBlk1</v>
      </c>
      <c r="O6" s="162" t="str">
        <f>'Prop DUOS'!P6</f>
        <v>DemBlk2</v>
      </c>
      <c r="P6" s="162" t="str">
        <f>'Prop DUOS'!Q6</f>
        <v>DemBlk3</v>
      </c>
      <c r="Q6" s="610" t="str">
        <f>'Prop DUOS'!R6</f>
        <v>DemBlk4</v>
      </c>
      <c r="R6" s="163" t="str">
        <f>'Prop DUOS'!S6</f>
        <v>DemBlk5</v>
      </c>
      <c r="T6" s="161" t="str">
        <f>'Prop DUOS'!E6</f>
        <v>Fixed</v>
      </c>
      <c r="U6" s="162" t="str">
        <f>'Prop DUOS'!F6</f>
        <v>PkBlk1</v>
      </c>
      <c r="V6" s="162" t="str">
        <f>'Prop DUOS'!G6</f>
        <v>PkBlk2</v>
      </c>
      <c r="W6" s="162" t="str">
        <f>'Prop DUOS'!H6</f>
        <v>PkBlk3</v>
      </c>
      <c r="X6" s="162" t="str">
        <f>'Prop DUOS'!I6</f>
        <v>PkBlk4</v>
      </c>
      <c r="Y6" s="162" t="str">
        <f>'Prop DUOS'!J6</f>
        <v>OPkBlk1</v>
      </c>
      <c r="Z6" s="162" t="str">
        <f>'Prop DUOS'!K6</f>
        <v>OPkBlk2</v>
      </c>
      <c r="AA6" s="162" t="str">
        <f>'Prop DUOS'!L6</f>
        <v>OPkBlk3</v>
      </c>
      <c r="AB6" s="162" t="str">
        <f>'Prop DUOS'!M6</f>
        <v>OPkBlk4</v>
      </c>
      <c r="AC6" s="162" t="str">
        <f>'Prop DUOS'!N6</f>
        <v>OPkBlk5</v>
      </c>
      <c r="AD6" s="162" t="str">
        <f>'Prop DUOS'!O6</f>
        <v>DemBlk1</v>
      </c>
      <c r="AE6" s="162" t="str">
        <f>'Prop DUOS'!P6</f>
        <v>DemBlk2</v>
      </c>
      <c r="AF6" s="162" t="str">
        <f>'Prop DUOS'!Q6</f>
        <v>DemBlk3</v>
      </c>
      <c r="AG6" s="610" t="str">
        <f>'Prop DUOS'!R6</f>
        <v>DemBlk4</v>
      </c>
      <c r="AH6" s="163" t="str">
        <f>'Prop DUOS'!S6</f>
        <v>DemBlk5</v>
      </c>
      <c r="AJ6" s="161" t="str">
        <f>'Prop DUOS'!E6</f>
        <v>Fixed</v>
      </c>
      <c r="AK6" s="162" t="str">
        <f>'Prop DUOS'!F6</f>
        <v>PkBlk1</v>
      </c>
      <c r="AL6" s="162" t="str">
        <f>'Prop DUOS'!G6</f>
        <v>PkBlk2</v>
      </c>
      <c r="AM6" s="162" t="str">
        <f>'Prop DUOS'!H6</f>
        <v>PkBlk3</v>
      </c>
      <c r="AN6" s="162" t="str">
        <f>'Prop DUOS'!I6</f>
        <v>PkBlk4</v>
      </c>
      <c r="AO6" s="162" t="str">
        <f>'Prop DUOS'!J6</f>
        <v>OPkBlk1</v>
      </c>
      <c r="AP6" s="162" t="str">
        <f>'Prop DUOS'!K6</f>
        <v>OPkBlk2</v>
      </c>
      <c r="AQ6" s="162" t="str">
        <f>'Prop DUOS'!L6</f>
        <v>OPkBlk3</v>
      </c>
      <c r="AR6" s="162" t="str">
        <f>'Prop DUOS'!M6</f>
        <v>OPkBlk4</v>
      </c>
      <c r="AS6" s="162" t="str">
        <f>'Prop DUOS'!N6</f>
        <v>OPkBlk5</v>
      </c>
      <c r="AT6" s="162" t="str">
        <f>'Prop DUOS'!O6</f>
        <v>DemBlk1</v>
      </c>
      <c r="AU6" s="162" t="str">
        <f>'Prop DUOS'!P6</f>
        <v>DemBlk2</v>
      </c>
      <c r="AV6" s="162" t="str">
        <f>'Prop DUOS'!Q6</f>
        <v>DemBlk3</v>
      </c>
      <c r="AW6" s="162" t="str">
        <f>'Prop DUOS'!R6</f>
        <v>DemBlk4</v>
      </c>
      <c r="AX6" s="162" t="str">
        <f>'Prop DUOS'!S6</f>
        <v>DemBlk5</v>
      </c>
      <c r="AY6" s="163" t="s">
        <v>28</v>
      </c>
      <c r="BA6" s="87"/>
      <c r="BB6" s="87"/>
    </row>
    <row r="7" spans="2:54" s="158" customFormat="1">
      <c r="B7" s="360" t="str">
        <f>IF('t-1 DUOS'!B7="","",'t-1 TUOS'!B7)</f>
        <v>Low voltage small 1 rate</v>
      </c>
      <c r="C7" s="218"/>
      <c r="D7" s="559">
        <v>5.45</v>
      </c>
      <c r="E7" s="560">
        <v>0</v>
      </c>
      <c r="F7" s="560">
        <v>0</v>
      </c>
      <c r="G7" s="560">
        <v>0</v>
      </c>
      <c r="H7" s="560">
        <v>0</v>
      </c>
      <c r="I7" s="560">
        <v>0</v>
      </c>
      <c r="J7" s="560">
        <v>0</v>
      </c>
      <c r="K7" s="560">
        <v>0</v>
      </c>
      <c r="L7" s="560">
        <v>0</v>
      </c>
      <c r="M7" s="560">
        <v>0</v>
      </c>
      <c r="N7" s="560">
        <v>0</v>
      </c>
      <c r="O7" s="560">
        <v>0</v>
      </c>
      <c r="P7" s="560">
        <v>0</v>
      </c>
      <c r="Q7" s="633">
        <v>0</v>
      </c>
      <c r="R7" s="562">
        <v>0</v>
      </c>
      <c r="T7" s="393">
        <f>'t-1 DUOS'!T7</f>
        <v>583066.93423498294</v>
      </c>
      <c r="U7" s="394">
        <f>'t-1 DUOS'!U7</f>
        <v>572145373.2901603</v>
      </c>
      <c r="V7" s="394">
        <f>'t-1 DUOS'!V7</f>
        <v>0</v>
      </c>
      <c r="W7" s="394">
        <f>'t-1 DUOS'!W7</f>
        <v>0</v>
      </c>
      <c r="X7" s="394">
        <f>'t-1 DUOS'!X7</f>
        <v>640153901.86116874</v>
      </c>
      <c r="Y7" s="394">
        <f>'t-1 DUOS'!Y7</f>
        <v>0</v>
      </c>
      <c r="Z7" s="394">
        <f>'t-1 DUOS'!Z7</f>
        <v>0</v>
      </c>
      <c r="AA7" s="394">
        <f>'t-1 DUOS'!AA7</f>
        <v>0</v>
      </c>
      <c r="AB7" s="394">
        <f>'t-1 DUOS'!AB7</f>
        <v>0</v>
      </c>
      <c r="AC7" s="394">
        <f>'t-1 DUOS'!AC7</f>
        <v>0</v>
      </c>
      <c r="AD7" s="394">
        <f>'t-1 DUOS'!AD7</f>
        <v>0</v>
      </c>
      <c r="AE7" s="394">
        <f>'t-1 DUOS'!AE7</f>
        <v>0</v>
      </c>
      <c r="AF7" s="394">
        <f>'t-1 DUOS'!AF7</f>
        <v>0</v>
      </c>
      <c r="AG7" s="630">
        <f>'t-1 DUOS'!AG7</f>
        <v>0</v>
      </c>
      <c r="AH7" s="395">
        <f>'t-1 DUOS'!AH7</f>
        <v>0</v>
      </c>
      <c r="AJ7" s="164">
        <f>IF('Prop DUOS'!$E$69="cents",D7/100,D7)*IF('Prop DUOS'!$E$71="day",T7*'Prop DUOS'!$D$74,T7)</f>
        <v>11598658.989269398</v>
      </c>
      <c r="AK7" s="165">
        <f>IF('Prop DUOS'!F$69="cents",E7/100,E7)*U7</f>
        <v>0</v>
      </c>
      <c r="AL7" s="165">
        <f>IF('Prop DUOS'!G$69="cents",F7/100,F7)*V7</f>
        <v>0</v>
      </c>
      <c r="AM7" s="165">
        <f>IF('Prop DUOS'!H$69="cents",G7/100,G7)*W7</f>
        <v>0</v>
      </c>
      <c r="AN7" s="165">
        <f>IF('Prop DUOS'!I$69="cents",H7/100,H7)*X7</f>
        <v>0</v>
      </c>
      <c r="AO7" s="165">
        <f>IF('Prop DUOS'!J$69="cents",I7/100,I7)*Y7</f>
        <v>0</v>
      </c>
      <c r="AP7" s="165">
        <f>IF('Prop DUOS'!K$69="cents",J7/100,J7)*Z7</f>
        <v>0</v>
      </c>
      <c r="AQ7" s="165">
        <f>IF('Prop DUOS'!L$69="cents",K7/100,K7)*AA7</f>
        <v>0</v>
      </c>
      <c r="AR7" s="165">
        <f>IF('Prop DUOS'!M$69="cents",L7/100,L7)*AB7</f>
        <v>0</v>
      </c>
      <c r="AS7" s="165">
        <f>IF('Prop DUOS'!N$69="cents",M7/100,M7)*AC7</f>
        <v>0</v>
      </c>
      <c r="AT7" s="165">
        <f>IF('Prop DUOS'!O$69="cents",N7/100,N7)*IF('Prop DUOS'!O$71="day",AD7*'Prop DUOS'!$D$74,IF('Prop DUOS'!O$71="month",AD7*12,AD7))</f>
        <v>0</v>
      </c>
      <c r="AU7" s="165">
        <f>IF('Prop DUOS'!P$69="cents",O7/100,O7)*IF('Prop DUOS'!P$71="day",AE7*'Prop DUOS'!$D$74,IF('Prop DUOS'!P$71="month",AE7*12,AE7))</f>
        <v>0</v>
      </c>
      <c r="AV7" s="165">
        <f>IF('Prop DUOS'!Q$69="cents",P7/100,P7)*IF('Prop DUOS'!Q$71="day",AF7*'Prop DUOS'!$D$74,IF('Prop DUOS'!Q$71="month",AF7*12,AF7))</f>
        <v>0</v>
      </c>
      <c r="AW7" s="165">
        <f>IF('Prop DUOS'!R$69="cents",Q7/100,Q7)*IF('Prop DUOS'!R$71="day",AG7*'Prop DUOS'!$D$74,IF('Prop DUOS'!R$71="month",AG7*12,AG7))</f>
        <v>0</v>
      </c>
      <c r="AX7" s="165">
        <f>IF('Prop DUOS'!S$69="cents",R7/100,R7)*IF('Prop DUOS'!S$71="day",AH7*'Prop DUOS'!$D$74,IF('Prop DUOS'!S$71="month",AH7*12,AH7))</f>
        <v>0</v>
      </c>
      <c r="AY7" s="219">
        <f>SUM(AJ7:AX7)</f>
        <v>11598658.989269398</v>
      </c>
      <c r="BA7" s="87"/>
      <c r="BB7" s="87"/>
    </row>
    <row r="8" spans="2:54" s="158" customFormat="1">
      <c r="B8" s="360" t="str">
        <f>IF('t-1 DUOS'!B8="","",'t-1 TUOS'!B8)</f>
        <v>Winter economy tariff</v>
      </c>
      <c r="C8" s="220"/>
      <c r="D8" s="547">
        <v>5.45</v>
      </c>
      <c r="E8" s="548">
        <v>0</v>
      </c>
      <c r="F8" s="548">
        <v>0</v>
      </c>
      <c r="G8" s="548">
        <v>0</v>
      </c>
      <c r="H8" s="548">
        <v>0</v>
      </c>
      <c r="I8" s="548">
        <v>0</v>
      </c>
      <c r="J8" s="548">
        <v>0</v>
      </c>
      <c r="K8" s="548">
        <v>0</v>
      </c>
      <c r="L8" s="548">
        <v>0</v>
      </c>
      <c r="M8" s="548">
        <v>0</v>
      </c>
      <c r="N8" s="548">
        <v>0</v>
      </c>
      <c r="O8" s="548">
        <v>0</v>
      </c>
      <c r="P8" s="548">
        <v>0</v>
      </c>
      <c r="Q8" s="621">
        <v>0</v>
      </c>
      <c r="R8" s="549">
        <v>0</v>
      </c>
      <c r="T8" s="396">
        <f>'t-1 DUOS'!T8</f>
        <v>112.17139942958501</v>
      </c>
      <c r="U8" s="397">
        <f>'t-1 DUOS'!U8</f>
        <v>180346.30856219973</v>
      </c>
      <c r="V8" s="397">
        <f>'t-1 DUOS'!V8</f>
        <v>0</v>
      </c>
      <c r="W8" s="397">
        <f>'t-1 DUOS'!W8</f>
        <v>0</v>
      </c>
      <c r="X8" s="397">
        <f>'t-1 DUOS'!X8</f>
        <v>214428.06058738832</v>
      </c>
      <c r="Y8" s="397">
        <f>'t-1 DUOS'!Y8</f>
        <v>0</v>
      </c>
      <c r="Z8" s="397">
        <f>'t-1 DUOS'!Z8</f>
        <v>0</v>
      </c>
      <c r="AA8" s="397">
        <f>'t-1 DUOS'!AA8</f>
        <v>0</v>
      </c>
      <c r="AB8" s="397">
        <f>'t-1 DUOS'!AB8</f>
        <v>0</v>
      </c>
      <c r="AC8" s="397">
        <f>'t-1 DUOS'!AC8</f>
        <v>0</v>
      </c>
      <c r="AD8" s="397">
        <f>'t-1 DUOS'!AD8</f>
        <v>0</v>
      </c>
      <c r="AE8" s="397">
        <f>'t-1 DUOS'!AE8</f>
        <v>0</v>
      </c>
      <c r="AF8" s="397">
        <f>'t-1 DUOS'!AF8</f>
        <v>0</v>
      </c>
      <c r="AG8" s="631">
        <f>'t-1 DUOS'!AG8</f>
        <v>0</v>
      </c>
      <c r="AH8" s="398">
        <f>'t-1 DUOS'!AH8</f>
        <v>0</v>
      </c>
      <c r="AJ8" s="210">
        <f>IF('Prop DUOS'!$E$69="cents",D8/100,D8)*IF('Prop DUOS'!$E$71="day",T8*'Prop DUOS'!$D$74,T8)</f>
        <v>2231.3695631530195</v>
      </c>
      <c r="AK8" s="211">
        <f>IF('Prop DUOS'!F$69="cents",E8/100,E8)*U8</f>
        <v>0</v>
      </c>
      <c r="AL8" s="211">
        <f>IF('Prop DUOS'!G$69="cents",F8/100,F8)*V8</f>
        <v>0</v>
      </c>
      <c r="AM8" s="211">
        <f>IF('Prop DUOS'!H$69="cents",G8/100,G8)*W8</f>
        <v>0</v>
      </c>
      <c r="AN8" s="211">
        <f>IF('Prop DUOS'!I$69="cents",H8/100,H8)*X8</f>
        <v>0</v>
      </c>
      <c r="AO8" s="211">
        <f>IF('Prop DUOS'!J$69="cents",I8/100,I8)*Y8</f>
        <v>0</v>
      </c>
      <c r="AP8" s="211">
        <f>IF('Prop DUOS'!K$69="cents",J8/100,J8)*Z8</f>
        <v>0</v>
      </c>
      <c r="AQ8" s="211">
        <f>IF('Prop DUOS'!L$69="cents",K8/100,K8)*AA8</f>
        <v>0</v>
      </c>
      <c r="AR8" s="211">
        <f>IF('Prop DUOS'!M$69="cents",L8/100,L8)*AB8</f>
        <v>0</v>
      </c>
      <c r="AS8" s="211">
        <f>IF('Prop DUOS'!N$69="cents",M8/100,M8)*AC8</f>
        <v>0</v>
      </c>
      <c r="AT8" s="211">
        <f>IF('Prop DUOS'!O$69="cents",N8/100,N8)*IF('Prop DUOS'!O$71="day",AD8*'Prop DUOS'!$D$74,IF('Prop DUOS'!O$71="month",AD8*12,AD8))</f>
        <v>0</v>
      </c>
      <c r="AU8" s="211">
        <f>IF('Prop DUOS'!P$69="cents",O8/100,O8)*IF('Prop DUOS'!P$71="day",AE8*'Prop DUOS'!$D$74,IF('Prop DUOS'!P$71="month",AE8*12,AE8))</f>
        <v>0</v>
      </c>
      <c r="AV8" s="211">
        <f>IF('Prop DUOS'!Q$69="cents",P8/100,P8)*IF('Prop DUOS'!Q$71="day",AF8*'Prop DUOS'!$D$74,IF('Prop DUOS'!Q$71="month",AF8*12,AF8))</f>
        <v>0</v>
      </c>
      <c r="AW8" s="211">
        <f>IF('Prop DUOS'!R$69="cents",Q8/100,Q8)*IF('Prop DUOS'!R$71="day",AG8*'Prop DUOS'!$D$74,IF('Prop DUOS'!R$71="month",AG8*12,AG8))</f>
        <v>0</v>
      </c>
      <c r="AX8" s="211">
        <f>IF('Prop DUOS'!S$69="cents",R8/100,R8)*IF('Prop DUOS'!S$71="day",AH8*'Prop DUOS'!$D$74,IF('Prop DUOS'!S$71="month",AH8*12,AH8))</f>
        <v>0</v>
      </c>
      <c r="AY8" s="166">
        <f t="shared" ref="AY8:AY66" si="0">SUM(AJ8:AX8)</f>
        <v>2231.3695631530195</v>
      </c>
      <c r="BA8" s="87"/>
      <c r="BB8" s="87"/>
    </row>
    <row r="9" spans="2:54" s="158" customFormat="1">
      <c r="B9" s="360" t="str">
        <f>IF('t-1 DUOS'!B9="","",'t-1 TUOS'!B9)</f>
        <v>Low voltage small 2 rate</v>
      </c>
      <c r="C9" s="220"/>
      <c r="D9" s="547">
        <v>5.45</v>
      </c>
      <c r="E9" s="548">
        <v>0</v>
      </c>
      <c r="F9" s="548">
        <v>0</v>
      </c>
      <c r="G9" s="548">
        <v>0</v>
      </c>
      <c r="H9" s="548">
        <v>0</v>
      </c>
      <c r="I9" s="548">
        <v>0</v>
      </c>
      <c r="J9" s="548">
        <v>0</v>
      </c>
      <c r="K9" s="548">
        <v>0</v>
      </c>
      <c r="L9" s="548">
        <v>0</v>
      </c>
      <c r="M9" s="548">
        <v>0</v>
      </c>
      <c r="N9" s="548">
        <v>0</v>
      </c>
      <c r="O9" s="548">
        <v>0</v>
      </c>
      <c r="P9" s="548">
        <v>0</v>
      </c>
      <c r="Q9" s="621">
        <v>0</v>
      </c>
      <c r="R9" s="549">
        <v>0</v>
      </c>
      <c r="T9" s="396">
        <f>'t-1 DUOS'!T9</f>
        <v>4100.8246746419454</v>
      </c>
      <c r="U9" s="397">
        <f>'t-1 DUOS'!U9</f>
        <v>0</v>
      </c>
      <c r="V9" s="397">
        <f>'t-1 DUOS'!V9</f>
        <v>0</v>
      </c>
      <c r="W9" s="397">
        <f>'t-1 DUOS'!W9</f>
        <v>2486340.8267023819</v>
      </c>
      <c r="X9" s="397">
        <f>'t-1 DUOS'!X9</f>
        <v>0</v>
      </c>
      <c r="Y9" s="397">
        <f>'t-1 DUOS'!Y9</f>
        <v>0</v>
      </c>
      <c r="Z9" s="397">
        <f>'t-1 DUOS'!Z9</f>
        <v>2813021.5307253245</v>
      </c>
      <c r="AA9" s="397">
        <f>'t-1 DUOS'!AA9</f>
        <v>6962515.389820559</v>
      </c>
      <c r="AB9" s="397">
        <f>'t-1 DUOS'!AB9</f>
        <v>0</v>
      </c>
      <c r="AC9" s="397">
        <f>'t-1 DUOS'!AC9</f>
        <v>0</v>
      </c>
      <c r="AD9" s="397">
        <f>'t-1 DUOS'!AD9</f>
        <v>0</v>
      </c>
      <c r="AE9" s="397">
        <f>'t-1 DUOS'!AE9</f>
        <v>0</v>
      </c>
      <c r="AF9" s="397">
        <f>'t-1 DUOS'!AF9</f>
        <v>0</v>
      </c>
      <c r="AG9" s="631">
        <f>'t-1 DUOS'!AG9</f>
        <v>0</v>
      </c>
      <c r="AH9" s="398">
        <f>'t-1 DUOS'!AH9</f>
        <v>0</v>
      </c>
      <c r="AJ9" s="210">
        <f>IF('Prop DUOS'!$E$69="cents",D9/100,D9)*IF('Prop DUOS'!$E$71="day",T9*'Prop DUOS'!$D$74,T9)</f>
        <v>81575.654840314906</v>
      </c>
      <c r="AK9" s="211">
        <f>IF('Prop DUOS'!F$69="cents",E9/100,E9)*U9</f>
        <v>0</v>
      </c>
      <c r="AL9" s="211">
        <f>IF('Prop DUOS'!G$69="cents",F9/100,F9)*V9</f>
        <v>0</v>
      </c>
      <c r="AM9" s="211">
        <f>IF('Prop DUOS'!H$69="cents",G9/100,G9)*W9</f>
        <v>0</v>
      </c>
      <c r="AN9" s="211">
        <f>IF('Prop DUOS'!I$69="cents",H9/100,H9)*X9</f>
        <v>0</v>
      </c>
      <c r="AO9" s="211">
        <f>IF('Prop DUOS'!J$69="cents",I9/100,I9)*Y9</f>
        <v>0</v>
      </c>
      <c r="AP9" s="211">
        <f>IF('Prop DUOS'!K$69="cents",J9/100,J9)*Z9</f>
        <v>0</v>
      </c>
      <c r="AQ9" s="211">
        <f>IF('Prop DUOS'!L$69="cents",K9/100,K9)*AA9</f>
        <v>0</v>
      </c>
      <c r="AR9" s="211">
        <f>IF('Prop DUOS'!M$69="cents",L9/100,L9)*AB9</f>
        <v>0</v>
      </c>
      <c r="AS9" s="211">
        <f>IF('Prop DUOS'!N$69="cents",M9/100,M9)*AC9</f>
        <v>0</v>
      </c>
      <c r="AT9" s="211">
        <f>IF('Prop DUOS'!O$69="cents",N9/100,N9)*IF('Prop DUOS'!O$71="day",AD9*'Prop DUOS'!$D$74,IF('Prop DUOS'!O$71="month",AD9*12,AD9))</f>
        <v>0</v>
      </c>
      <c r="AU9" s="211">
        <f>IF('Prop DUOS'!P$69="cents",O9/100,O9)*IF('Prop DUOS'!P$71="day",AE9*'Prop DUOS'!$D$74,IF('Prop DUOS'!P$71="month",AE9*12,AE9))</f>
        <v>0</v>
      </c>
      <c r="AV9" s="211">
        <f>IF('Prop DUOS'!Q$69="cents",P9/100,P9)*IF('Prop DUOS'!Q$71="day",AF9*'Prop DUOS'!$D$74,IF('Prop DUOS'!Q$71="month",AF9*12,AF9))</f>
        <v>0</v>
      </c>
      <c r="AW9" s="211">
        <f>IF('Prop DUOS'!R$69="cents",Q9/100,Q9)*IF('Prop DUOS'!R$71="day",AG9*'Prop DUOS'!$D$74,IF('Prop DUOS'!R$71="month",AG9*12,AG9))</f>
        <v>0</v>
      </c>
      <c r="AX9" s="211">
        <f>IF('Prop DUOS'!S$69="cents",R9/100,R9)*IF('Prop DUOS'!S$71="day",AH9*'Prop DUOS'!$D$74,IF('Prop DUOS'!S$71="month",AH9*12,AH9))</f>
        <v>0</v>
      </c>
      <c r="AY9" s="166">
        <f t="shared" si="0"/>
        <v>81575.654840314906</v>
      </c>
      <c r="BA9" s="87"/>
      <c r="BB9" s="87"/>
    </row>
    <row r="10" spans="2:54" s="158" customFormat="1">
      <c r="B10" s="360" t="str">
        <f>IF('t-1 DUOS'!B10="","",'t-1 TUOS'!B10)</f>
        <v>Dedicated circuit</v>
      </c>
      <c r="C10" s="220"/>
      <c r="D10" s="547">
        <v>0</v>
      </c>
      <c r="E10" s="548">
        <v>0</v>
      </c>
      <c r="F10" s="548">
        <v>0</v>
      </c>
      <c r="G10" s="548">
        <v>0</v>
      </c>
      <c r="H10" s="548">
        <v>0</v>
      </c>
      <c r="I10" s="548">
        <v>0</v>
      </c>
      <c r="J10" s="548">
        <v>0</v>
      </c>
      <c r="K10" s="548">
        <v>0</v>
      </c>
      <c r="L10" s="548">
        <v>0</v>
      </c>
      <c r="M10" s="548">
        <v>0</v>
      </c>
      <c r="N10" s="548">
        <v>0</v>
      </c>
      <c r="O10" s="548">
        <v>0</v>
      </c>
      <c r="P10" s="548">
        <v>0</v>
      </c>
      <c r="Q10" s="621">
        <v>0</v>
      </c>
      <c r="R10" s="549">
        <v>0</v>
      </c>
      <c r="T10" s="396">
        <f>'t-1 DUOS'!T10</f>
        <v>57999.687377131551</v>
      </c>
      <c r="U10" s="397">
        <f>'t-1 DUOS'!U10</f>
        <v>0</v>
      </c>
      <c r="V10" s="397">
        <f>'t-1 DUOS'!V10</f>
        <v>0</v>
      </c>
      <c r="W10" s="397">
        <f>'t-1 DUOS'!W10</f>
        <v>0</v>
      </c>
      <c r="X10" s="397">
        <f>'t-1 DUOS'!X10</f>
        <v>0</v>
      </c>
      <c r="Y10" s="397">
        <f>'t-1 DUOS'!Y10</f>
        <v>0</v>
      </c>
      <c r="Z10" s="397">
        <f>'t-1 DUOS'!Z10</f>
        <v>0</v>
      </c>
      <c r="AA10" s="397">
        <f>'t-1 DUOS'!AA10</f>
        <v>38999293.318953753</v>
      </c>
      <c r="AB10" s="397">
        <f>'t-1 DUOS'!AB10</f>
        <v>0</v>
      </c>
      <c r="AC10" s="397">
        <f>'t-1 DUOS'!AC10</f>
        <v>0</v>
      </c>
      <c r="AD10" s="397">
        <f>'t-1 DUOS'!AD10</f>
        <v>0</v>
      </c>
      <c r="AE10" s="397">
        <f>'t-1 DUOS'!AE10</f>
        <v>0</v>
      </c>
      <c r="AF10" s="397">
        <f>'t-1 DUOS'!AF10</f>
        <v>0</v>
      </c>
      <c r="AG10" s="631">
        <f>'t-1 DUOS'!AG10</f>
        <v>0</v>
      </c>
      <c r="AH10" s="398">
        <f>'t-1 DUOS'!AH10</f>
        <v>0</v>
      </c>
      <c r="AJ10" s="210">
        <f>IF('Prop DUOS'!$E$69="cents",D10/100,D10)*IF('Prop DUOS'!$E$71="day",T10*'Prop DUOS'!$D$74,T10)</f>
        <v>0</v>
      </c>
      <c r="AK10" s="211">
        <f>IF('Prop DUOS'!F$69="cents",E10/100,E10)*U10</f>
        <v>0</v>
      </c>
      <c r="AL10" s="211">
        <f>IF('Prop DUOS'!G$69="cents",F10/100,F10)*V10</f>
        <v>0</v>
      </c>
      <c r="AM10" s="211">
        <f>IF('Prop DUOS'!H$69="cents",G10/100,G10)*W10</f>
        <v>0</v>
      </c>
      <c r="AN10" s="211">
        <f>IF('Prop DUOS'!I$69="cents",H10/100,H10)*X10</f>
        <v>0</v>
      </c>
      <c r="AO10" s="211">
        <f>IF('Prop DUOS'!J$69="cents",I10/100,I10)*Y10</f>
        <v>0</v>
      </c>
      <c r="AP10" s="211">
        <f>IF('Prop DUOS'!K$69="cents",J10/100,J10)*Z10</f>
        <v>0</v>
      </c>
      <c r="AQ10" s="211">
        <f>IF('Prop DUOS'!L$69="cents",K10/100,K10)*AA10</f>
        <v>0</v>
      </c>
      <c r="AR10" s="211">
        <f>IF('Prop DUOS'!M$69="cents",L10/100,L10)*AB10</f>
        <v>0</v>
      </c>
      <c r="AS10" s="211">
        <f>IF('Prop DUOS'!N$69="cents",M10/100,M10)*AC10</f>
        <v>0</v>
      </c>
      <c r="AT10" s="211">
        <f>IF('Prop DUOS'!O$69="cents",N10/100,N10)*IF('Prop DUOS'!O$71="day",AD10*'Prop DUOS'!$D$74,IF('Prop DUOS'!O$71="month",AD10*12,AD10))</f>
        <v>0</v>
      </c>
      <c r="AU10" s="211">
        <f>IF('Prop DUOS'!P$69="cents",O10/100,O10)*IF('Prop DUOS'!P$71="day",AE10*'Prop DUOS'!$D$74,IF('Prop DUOS'!P$71="month",AE10*12,AE10))</f>
        <v>0</v>
      </c>
      <c r="AV10" s="211">
        <f>IF('Prop DUOS'!Q$69="cents",P10/100,P10)*IF('Prop DUOS'!Q$71="day",AF10*'Prop DUOS'!$D$74,IF('Prop DUOS'!Q$71="month",AF10*12,AF10))</f>
        <v>0</v>
      </c>
      <c r="AW10" s="211">
        <f>IF('Prop DUOS'!R$69="cents",Q10/100,Q10)*IF('Prop DUOS'!R$71="day",AG10*'Prop DUOS'!$D$74,IF('Prop DUOS'!R$71="month",AG10*12,AG10))</f>
        <v>0</v>
      </c>
      <c r="AX10" s="211">
        <f>IF('Prop DUOS'!S$69="cents",R10/100,R10)*IF('Prop DUOS'!S$71="day",AH10*'Prop DUOS'!$D$74,IF('Prop DUOS'!S$71="month",AH10*12,AH10))</f>
        <v>0</v>
      </c>
      <c r="AY10" s="166">
        <f t="shared" si="0"/>
        <v>0</v>
      </c>
      <c r="BA10" s="87"/>
      <c r="BB10" s="87"/>
    </row>
    <row r="11" spans="2:54" s="158" customFormat="1">
      <c r="B11" s="360" t="str">
        <f>IF('t-1 DUOS'!B11="","",'t-1 TUOS'!B11)</f>
        <v>Low voltage medium 1 rate</v>
      </c>
      <c r="C11" s="220"/>
      <c r="D11" s="547">
        <v>5.45</v>
      </c>
      <c r="E11" s="548">
        <v>0</v>
      </c>
      <c r="F11" s="548">
        <v>0</v>
      </c>
      <c r="G11" s="548">
        <v>0</v>
      </c>
      <c r="H11" s="548">
        <v>0</v>
      </c>
      <c r="I11" s="548">
        <v>0</v>
      </c>
      <c r="J11" s="548">
        <v>0</v>
      </c>
      <c r="K11" s="548">
        <v>0</v>
      </c>
      <c r="L11" s="548">
        <v>0</v>
      </c>
      <c r="M11" s="548">
        <v>0</v>
      </c>
      <c r="N11" s="548">
        <v>0</v>
      </c>
      <c r="O11" s="548">
        <v>0</v>
      </c>
      <c r="P11" s="548">
        <v>0</v>
      </c>
      <c r="Q11" s="621">
        <v>0</v>
      </c>
      <c r="R11" s="549">
        <v>0</v>
      </c>
      <c r="T11" s="396">
        <f>'t-1 DUOS'!T11</f>
        <v>36259.32507256652</v>
      </c>
      <c r="U11" s="397">
        <f>'t-1 DUOS'!U11</f>
        <v>93025913.444147393</v>
      </c>
      <c r="V11" s="397">
        <f>'t-1 DUOS'!V11</f>
        <v>0</v>
      </c>
      <c r="W11" s="397">
        <f>'t-1 DUOS'!W11</f>
        <v>0</v>
      </c>
      <c r="X11" s="397">
        <f>'t-1 DUOS'!X11</f>
        <v>97466133.89275226</v>
      </c>
      <c r="Y11" s="397">
        <f>'t-1 DUOS'!Y11</f>
        <v>0</v>
      </c>
      <c r="Z11" s="397">
        <f>'t-1 DUOS'!Z11</f>
        <v>0</v>
      </c>
      <c r="AA11" s="397">
        <f>'t-1 DUOS'!AA11</f>
        <v>0</v>
      </c>
      <c r="AB11" s="397">
        <f>'t-1 DUOS'!AB11</f>
        <v>0</v>
      </c>
      <c r="AC11" s="397">
        <f>'t-1 DUOS'!AC11</f>
        <v>0</v>
      </c>
      <c r="AD11" s="397">
        <f>'t-1 DUOS'!AD11</f>
        <v>0</v>
      </c>
      <c r="AE11" s="397">
        <f>'t-1 DUOS'!AE11</f>
        <v>0</v>
      </c>
      <c r="AF11" s="397">
        <f>'t-1 DUOS'!AF11</f>
        <v>0</v>
      </c>
      <c r="AG11" s="631">
        <f>'t-1 DUOS'!AG11</f>
        <v>0</v>
      </c>
      <c r="AH11" s="398">
        <f>'t-1 DUOS'!AH11</f>
        <v>0</v>
      </c>
      <c r="AJ11" s="210">
        <f>IF('Prop DUOS'!$E$69="cents",D11/100,D11)*IF('Prop DUOS'!$E$71="day",T11*'Prop DUOS'!$D$74,T11)</f>
        <v>721288.62400602957</v>
      </c>
      <c r="AK11" s="211">
        <f>IF('Prop DUOS'!F$69="cents",E11/100,E11)*U11</f>
        <v>0</v>
      </c>
      <c r="AL11" s="211">
        <f>IF('Prop DUOS'!G$69="cents",F11/100,F11)*V11</f>
        <v>0</v>
      </c>
      <c r="AM11" s="211">
        <f>IF('Prop DUOS'!H$69="cents",G11/100,G11)*W11</f>
        <v>0</v>
      </c>
      <c r="AN11" s="211">
        <f>IF('Prop DUOS'!I$69="cents",H11/100,H11)*X11</f>
        <v>0</v>
      </c>
      <c r="AO11" s="211">
        <f>IF('Prop DUOS'!J$69="cents",I11/100,I11)*Y11</f>
        <v>0</v>
      </c>
      <c r="AP11" s="211">
        <f>IF('Prop DUOS'!K$69="cents",J11/100,J11)*Z11</f>
        <v>0</v>
      </c>
      <c r="AQ11" s="211">
        <f>IF('Prop DUOS'!L$69="cents",K11/100,K11)*AA11</f>
        <v>0</v>
      </c>
      <c r="AR11" s="211">
        <f>IF('Prop DUOS'!M$69="cents",L11/100,L11)*AB11</f>
        <v>0</v>
      </c>
      <c r="AS11" s="211">
        <f>IF('Prop DUOS'!N$69="cents",M11/100,M11)*AC11</f>
        <v>0</v>
      </c>
      <c r="AT11" s="211">
        <f>IF('Prop DUOS'!O$69="cents",N11/100,N11)*IF('Prop DUOS'!O$71="day",AD11*'Prop DUOS'!$D$74,IF('Prop DUOS'!O$71="month",AD11*12,AD11))</f>
        <v>0</v>
      </c>
      <c r="AU11" s="211">
        <f>IF('Prop DUOS'!P$69="cents",O11/100,O11)*IF('Prop DUOS'!P$71="day",AE11*'Prop DUOS'!$D$74,IF('Prop DUOS'!P$71="month",AE11*12,AE11))</f>
        <v>0</v>
      </c>
      <c r="AV11" s="211">
        <f>IF('Prop DUOS'!Q$69="cents",P11/100,P11)*IF('Prop DUOS'!Q$71="day",AF11*'Prop DUOS'!$D$74,IF('Prop DUOS'!Q$71="month",AF11*12,AF11))</f>
        <v>0</v>
      </c>
      <c r="AW11" s="211">
        <f>IF('Prop DUOS'!R$69="cents",Q11/100,Q11)*IF('Prop DUOS'!R$71="day",AG11*'Prop DUOS'!$D$74,IF('Prop DUOS'!R$71="month",AG11*12,AG11))</f>
        <v>0</v>
      </c>
      <c r="AX11" s="211">
        <f>IF('Prop DUOS'!S$69="cents",R11/100,R11)*IF('Prop DUOS'!S$71="day",AH11*'Prop DUOS'!$D$74,IF('Prop DUOS'!S$71="month",AH11*12,AH11))</f>
        <v>0</v>
      </c>
      <c r="AY11" s="166">
        <f t="shared" si="0"/>
        <v>721288.62400602957</v>
      </c>
      <c r="BA11" s="87"/>
      <c r="BB11" s="87"/>
    </row>
    <row r="12" spans="2:54" s="158" customFormat="1">
      <c r="B12" s="360" t="str">
        <f>IF('t-1 DUOS'!B12="","",'t-1 TUOS'!B12)</f>
        <v>Low voltage medium 2 rate 5 day</v>
      </c>
      <c r="C12" s="220"/>
      <c r="D12" s="547">
        <v>5.45</v>
      </c>
      <c r="E12" s="548">
        <v>0</v>
      </c>
      <c r="F12" s="548">
        <v>0</v>
      </c>
      <c r="G12" s="548">
        <v>0</v>
      </c>
      <c r="H12" s="548">
        <v>0</v>
      </c>
      <c r="I12" s="548">
        <v>0</v>
      </c>
      <c r="J12" s="548">
        <v>0</v>
      </c>
      <c r="K12" s="548">
        <v>0</v>
      </c>
      <c r="L12" s="548">
        <v>0</v>
      </c>
      <c r="M12" s="548">
        <v>0</v>
      </c>
      <c r="N12" s="548">
        <v>0</v>
      </c>
      <c r="O12" s="548">
        <v>0</v>
      </c>
      <c r="P12" s="548">
        <v>0</v>
      </c>
      <c r="Q12" s="621">
        <v>0</v>
      </c>
      <c r="R12" s="549">
        <v>0</v>
      </c>
      <c r="T12" s="396">
        <f>'t-1 DUOS'!T12</f>
        <v>9342.5698936425651</v>
      </c>
      <c r="U12" s="397">
        <f>'t-1 DUOS'!U12</f>
        <v>0</v>
      </c>
      <c r="V12" s="397">
        <f>'t-1 DUOS'!V12</f>
        <v>0</v>
      </c>
      <c r="W12" s="397">
        <f>'t-1 DUOS'!W12</f>
        <v>25740969.509915289</v>
      </c>
      <c r="X12" s="397">
        <f>'t-1 DUOS'!X12</f>
        <v>0</v>
      </c>
      <c r="Y12" s="397">
        <f>'t-1 DUOS'!Y12</f>
        <v>0</v>
      </c>
      <c r="Z12" s="397">
        <f>'t-1 DUOS'!Z12</f>
        <v>25122012.931248948</v>
      </c>
      <c r="AA12" s="397">
        <f>'t-1 DUOS'!AA12</f>
        <v>31903025.485105995</v>
      </c>
      <c r="AB12" s="397">
        <f>'t-1 DUOS'!AB12</f>
        <v>0</v>
      </c>
      <c r="AC12" s="397">
        <f>'t-1 DUOS'!AC12</f>
        <v>0</v>
      </c>
      <c r="AD12" s="397">
        <f>'t-1 DUOS'!AD12</f>
        <v>0</v>
      </c>
      <c r="AE12" s="397">
        <f>'t-1 DUOS'!AE12</f>
        <v>0</v>
      </c>
      <c r="AF12" s="397">
        <f>'t-1 DUOS'!AF12</f>
        <v>0</v>
      </c>
      <c r="AG12" s="631">
        <f>'t-1 DUOS'!AG12</f>
        <v>0</v>
      </c>
      <c r="AH12" s="398">
        <f>'t-1 DUOS'!AH12</f>
        <v>0</v>
      </c>
      <c r="AJ12" s="210">
        <f>IF('Prop DUOS'!$E$69="cents",D12/100,D12)*IF('Prop DUOS'!$E$71="day",T12*'Prop DUOS'!$D$74,T12)</f>
        <v>185847.07160928473</v>
      </c>
      <c r="AK12" s="211">
        <f>IF('Prop DUOS'!F$69="cents",E12/100,E12)*U12</f>
        <v>0</v>
      </c>
      <c r="AL12" s="211">
        <f>IF('Prop DUOS'!G$69="cents",F12/100,F12)*V12</f>
        <v>0</v>
      </c>
      <c r="AM12" s="211">
        <f>IF('Prop DUOS'!H$69="cents",G12/100,G12)*W12</f>
        <v>0</v>
      </c>
      <c r="AN12" s="211">
        <f>IF('Prop DUOS'!I$69="cents",H12/100,H12)*X12</f>
        <v>0</v>
      </c>
      <c r="AO12" s="211">
        <f>IF('Prop DUOS'!J$69="cents",I12/100,I12)*Y12</f>
        <v>0</v>
      </c>
      <c r="AP12" s="211">
        <f>IF('Prop DUOS'!K$69="cents",J12/100,J12)*Z12</f>
        <v>0</v>
      </c>
      <c r="AQ12" s="211">
        <f>IF('Prop DUOS'!L$69="cents",K12/100,K12)*AA12</f>
        <v>0</v>
      </c>
      <c r="AR12" s="211">
        <f>IF('Prop DUOS'!M$69="cents",L12/100,L12)*AB12</f>
        <v>0</v>
      </c>
      <c r="AS12" s="211">
        <f>IF('Prop DUOS'!N$69="cents",M12/100,M12)*AC12</f>
        <v>0</v>
      </c>
      <c r="AT12" s="211">
        <f>IF('Prop DUOS'!O$69="cents",N12/100,N12)*IF('Prop DUOS'!O$71="day",AD12*'Prop DUOS'!$D$74,IF('Prop DUOS'!O$71="month",AD12*12,AD12))</f>
        <v>0</v>
      </c>
      <c r="AU12" s="211">
        <f>IF('Prop DUOS'!P$69="cents",O12/100,O12)*IF('Prop DUOS'!P$71="day",AE12*'Prop DUOS'!$D$74,IF('Prop DUOS'!P$71="month",AE12*12,AE12))</f>
        <v>0</v>
      </c>
      <c r="AV12" s="211">
        <f>IF('Prop DUOS'!Q$69="cents",P12/100,P12)*IF('Prop DUOS'!Q$71="day",AF12*'Prop DUOS'!$D$74,IF('Prop DUOS'!Q$71="month",AF12*12,AF12))</f>
        <v>0</v>
      </c>
      <c r="AW12" s="211">
        <f>IF('Prop DUOS'!R$69="cents",Q12/100,Q12)*IF('Prop DUOS'!R$71="day",AG12*'Prop DUOS'!$D$74,IF('Prop DUOS'!R$71="month",AG12*12,AG12))</f>
        <v>0</v>
      </c>
      <c r="AX12" s="211">
        <f>IF('Prop DUOS'!S$69="cents",R12/100,R12)*IF('Prop DUOS'!S$71="day",AH12*'Prop DUOS'!$D$74,IF('Prop DUOS'!S$71="month",AH12*12,AH12))</f>
        <v>0</v>
      </c>
      <c r="AY12" s="166">
        <f t="shared" si="0"/>
        <v>185847.07160928473</v>
      </c>
      <c r="BA12" s="87"/>
      <c r="BB12" s="87"/>
    </row>
    <row r="13" spans="2:54" s="158" customFormat="1">
      <c r="B13" s="360" t="str">
        <f>IF('t-1 DUOS'!B13="","",'t-1 TUOS'!B13)</f>
        <v>Low voltage medium 2 rate 7 day</v>
      </c>
      <c r="C13" s="220"/>
      <c r="D13" s="547">
        <v>5.45</v>
      </c>
      <c r="E13" s="548">
        <v>0</v>
      </c>
      <c r="F13" s="548">
        <v>0</v>
      </c>
      <c r="G13" s="548">
        <v>0</v>
      </c>
      <c r="H13" s="548">
        <v>0</v>
      </c>
      <c r="I13" s="548">
        <v>0</v>
      </c>
      <c r="J13" s="548">
        <v>0</v>
      </c>
      <c r="K13" s="548">
        <v>0</v>
      </c>
      <c r="L13" s="548">
        <v>0</v>
      </c>
      <c r="M13" s="548">
        <v>0</v>
      </c>
      <c r="N13" s="548">
        <v>0</v>
      </c>
      <c r="O13" s="548">
        <v>0</v>
      </c>
      <c r="P13" s="548">
        <v>0</v>
      </c>
      <c r="Q13" s="621">
        <v>0</v>
      </c>
      <c r="R13" s="549">
        <v>0</v>
      </c>
      <c r="T13" s="396">
        <f>'t-1 DUOS'!T13</f>
        <v>4794.226596460584</v>
      </c>
      <c r="U13" s="397">
        <f>'t-1 DUOS'!U13</f>
        <v>0</v>
      </c>
      <c r="V13" s="397">
        <f>'t-1 DUOS'!V13</f>
        <v>0</v>
      </c>
      <c r="W13" s="397">
        <f>'t-1 DUOS'!W13</f>
        <v>11642265.740953906</v>
      </c>
      <c r="X13" s="397">
        <f>'t-1 DUOS'!X13</f>
        <v>0</v>
      </c>
      <c r="Y13" s="397">
        <f>'t-1 DUOS'!Y13</f>
        <v>0</v>
      </c>
      <c r="Z13" s="397">
        <f>'t-1 DUOS'!Z13</f>
        <v>11958387.790862266</v>
      </c>
      <c r="AA13" s="397">
        <f>'t-1 DUOS'!AA13</f>
        <v>6397297.3012028877</v>
      </c>
      <c r="AB13" s="397">
        <f>'t-1 DUOS'!AB13</f>
        <v>0</v>
      </c>
      <c r="AC13" s="397">
        <f>'t-1 DUOS'!AC13</f>
        <v>0</v>
      </c>
      <c r="AD13" s="397">
        <f>'t-1 DUOS'!AD13</f>
        <v>0</v>
      </c>
      <c r="AE13" s="397">
        <f>'t-1 DUOS'!AE13</f>
        <v>0</v>
      </c>
      <c r="AF13" s="397">
        <f>'t-1 DUOS'!AF13</f>
        <v>0</v>
      </c>
      <c r="AG13" s="631">
        <f>'t-1 DUOS'!AG13</f>
        <v>0</v>
      </c>
      <c r="AH13" s="398">
        <f>'t-1 DUOS'!AH13</f>
        <v>0</v>
      </c>
      <c r="AJ13" s="210">
        <f>IF('Prop DUOS'!$E$69="cents",D13/100,D13)*IF('Prop DUOS'!$E$71="day",T13*'Prop DUOS'!$D$74,T13)</f>
        <v>95369.152570092163</v>
      </c>
      <c r="AK13" s="211">
        <f>IF('Prop DUOS'!F$69="cents",E13/100,E13)*U13</f>
        <v>0</v>
      </c>
      <c r="AL13" s="211">
        <f>IF('Prop DUOS'!G$69="cents",F13/100,F13)*V13</f>
        <v>0</v>
      </c>
      <c r="AM13" s="211">
        <f>IF('Prop DUOS'!H$69="cents",G13/100,G13)*W13</f>
        <v>0</v>
      </c>
      <c r="AN13" s="211">
        <f>IF('Prop DUOS'!I$69="cents",H13/100,H13)*X13</f>
        <v>0</v>
      </c>
      <c r="AO13" s="211">
        <f>IF('Prop DUOS'!J$69="cents",I13/100,I13)*Y13</f>
        <v>0</v>
      </c>
      <c r="AP13" s="211">
        <f>IF('Prop DUOS'!K$69="cents",J13/100,J13)*Z13</f>
        <v>0</v>
      </c>
      <c r="AQ13" s="211">
        <f>IF('Prop DUOS'!L$69="cents",K13/100,K13)*AA13</f>
        <v>0</v>
      </c>
      <c r="AR13" s="211">
        <f>IF('Prop DUOS'!M$69="cents",L13/100,L13)*AB13</f>
        <v>0</v>
      </c>
      <c r="AS13" s="211">
        <f>IF('Prop DUOS'!N$69="cents",M13/100,M13)*AC13</f>
        <v>0</v>
      </c>
      <c r="AT13" s="211">
        <f>IF('Prop DUOS'!O$69="cents",N13/100,N13)*IF('Prop DUOS'!O$71="day",AD13*'Prop DUOS'!$D$74,IF('Prop DUOS'!O$71="month",AD13*12,AD13))</f>
        <v>0</v>
      </c>
      <c r="AU13" s="211">
        <f>IF('Prop DUOS'!P$69="cents",O13/100,O13)*IF('Prop DUOS'!P$71="day",AE13*'Prop DUOS'!$D$74,IF('Prop DUOS'!P$71="month",AE13*12,AE13))</f>
        <v>0</v>
      </c>
      <c r="AV13" s="211">
        <f>IF('Prop DUOS'!Q$69="cents",P13/100,P13)*IF('Prop DUOS'!Q$71="day",AF13*'Prop DUOS'!$D$74,IF('Prop DUOS'!Q$71="month",AF13*12,AF13))</f>
        <v>0</v>
      </c>
      <c r="AW13" s="211">
        <f>IF('Prop DUOS'!R$69="cents",Q13/100,Q13)*IF('Prop DUOS'!R$71="day",AG13*'Prop DUOS'!$D$74,IF('Prop DUOS'!R$71="month",AG13*12,AG13))</f>
        <v>0</v>
      </c>
      <c r="AX13" s="211">
        <f>IF('Prop DUOS'!S$69="cents",R13/100,R13)*IF('Prop DUOS'!S$71="day",AH13*'Prop DUOS'!$D$74,IF('Prop DUOS'!S$71="month",AH13*12,AH13))</f>
        <v>0</v>
      </c>
      <c r="AY13" s="166">
        <f t="shared" si="0"/>
        <v>95369.152570092163</v>
      </c>
      <c r="BA13" s="87"/>
      <c r="BB13" s="87"/>
    </row>
    <row r="14" spans="2:54" s="158" customFormat="1">
      <c r="B14" s="360" t="str">
        <f>IF('t-1 DUOS'!B14="","",'t-1 TUOS'!B14)</f>
        <v>Unmetered supplies</v>
      </c>
      <c r="C14" s="220"/>
      <c r="D14" s="547">
        <v>0</v>
      </c>
      <c r="E14" s="548">
        <v>0</v>
      </c>
      <c r="F14" s="548">
        <v>0</v>
      </c>
      <c r="G14" s="548">
        <v>0</v>
      </c>
      <c r="H14" s="548">
        <v>0</v>
      </c>
      <c r="I14" s="548">
        <v>0</v>
      </c>
      <c r="J14" s="548">
        <v>0</v>
      </c>
      <c r="K14" s="548">
        <v>0</v>
      </c>
      <c r="L14" s="548">
        <v>0</v>
      </c>
      <c r="M14" s="548">
        <v>0</v>
      </c>
      <c r="N14" s="548">
        <v>0</v>
      </c>
      <c r="O14" s="548">
        <v>0</v>
      </c>
      <c r="P14" s="548">
        <v>0</v>
      </c>
      <c r="Q14" s="621">
        <v>0</v>
      </c>
      <c r="R14" s="549">
        <v>0</v>
      </c>
      <c r="T14" s="396">
        <f>'t-1 DUOS'!T14</f>
        <v>10070.331491712706</v>
      </c>
      <c r="U14" s="397">
        <f>'t-1 DUOS'!U14</f>
        <v>0</v>
      </c>
      <c r="V14" s="397">
        <f>'t-1 DUOS'!V14</f>
        <v>0</v>
      </c>
      <c r="W14" s="397">
        <f>'t-1 DUOS'!W14</f>
        <v>7860660.7721843058</v>
      </c>
      <c r="X14" s="397">
        <f>'t-1 DUOS'!X14</f>
        <v>0</v>
      </c>
      <c r="Y14" s="397">
        <f>'t-1 DUOS'!Y14</f>
        <v>0</v>
      </c>
      <c r="Z14" s="397">
        <f>'t-1 DUOS'!Z14</f>
        <v>9071878.8425180931</v>
      </c>
      <c r="AA14" s="397">
        <f>'t-1 DUOS'!AA14</f>
        <v>31359108.223164964</v>
      </c>
      <c r="AB14" s="397">
        <f>'t-1 DUOS'!AB14</f>
        <v>0</v>
      </c>
      <c r="AC14" s="397">
        <f>'t-1 DUOS'!AC14</f>
        <v>0</v>
      </c>
      <c r="AD14" s="397">
        <f>'t-1 DUOS'!AD14</f>
        <v>0</v>
      </c>
      <c r="AE14" s="397">
        <f>'t-1 DUOS'!AE14</f>
        <v>0</v>
      </c>
      <c r="AF14" s="397">
        <f>'t-1 DUOS'!AF14</f>
        <v>0</v>
      </c>
      <c r="AG14" s="631">
        <f>'t-1 DUOS'!AG14</f>
        <v>0</v>
      </c>
      <c r="AH14" s="398">
        <f>'t-1 DUOS'!AH14</f>
        <v>0</v>
      </c>
      <c r="AJ14" s="210">
        <f>IF('Prop DUOS'!$E$69="cents",D14/100,D14)*IF('Prop DUOS'!$E$71="day",T14*'Prop DUOS'!$D$74,T14)</f>
        <v>0</v>
      </c>
      <c r="AK14" s="211">
        <f>IF('Prop DUOS'!F$69="cents",E14/100,E14)*U14</f>
        <v>0</v>
      </c>
      <c r="AL14" s="211">
        <f>IF('Prop DUOS'!G$69="cents",F14/100,F14)*V14</f>
        <v>0</v>
      </c>
      <c r="AM14" s="211">
        <f>IF('Prop DUOS'!H$69="cents",G14/100,G14)*W14</f>
        <v>0</v>
      </c>
      <c r="AN14" s="211">
        <f>IF('Prop DUOS'!I$69="cents",H14/100,H14)*X14</f>
        <v>0</v>
      </c>
      <c r="AO14" s="211">
        <f>IF('Prop DUOS'!J$69="cents",I14/100,I14)*Y14</f>
        <v>0</v>
      </c>
      <c r="AP14" s="211">
        <f>IF('Prop DUOS'!K$69="cents",J14/100,J14)*Z14</f>
        <v>0</v>
      </c>
      <c r="AQ14" s="211">
        <f>IF('Prop DUOS'!L$69="cents",K14/100,K14)*AA14</f>
        <v>0</v>
      </c>
      <c r="AR14" s="211">
        <f>IF('Prop DUOS'!M$69="cents",L14/100,L14)*AB14</f>
        <v>0</v>
      </c>
      <c r="AS14" s="211">
        <f>IF('Prop DUOS'!N$69="cents",M14/100,M14)*AC14</f>
        <v>0</v>
      </c>
      <c r="AT14" s="211">
        <f>IF('Prop DUOS'!O$69="cents",N14/100,N14)*IF('Prop DUOS'!O$71="day",AD14*'Prop DUOS'!$D$74,IF('Prop DUOS'!O$71="month",AD14*12,AD14))</f>
        <v>0</v>
      </c>
      <c r="AU14" s="211">
        <f>IF('Prop DUOS'!P$69="cents",O14/100,O14)*IF('Prop DUOS'!P$71="day",AE14*'Prop DUOS'!$D$74,IF('Prop DUOS'!P$71="month",AE14*12,AE14))</f>
        <v>0</v>
      </c>
      <c r="AV14" s="211">
        <f>IF('Prop DUOS'!Q$69="cents",P14/100,P14)*IF('Prop DUOS'!Q$71="day",AF14*'Prop DUOS'!$D$74,IF('Prop DUOS'!Q$71="month",AF14*12,AF14))</f>
        <v>0</v>
      </c>
      <c r="AW14" s="211">
        <f>IF('Prop DUOS'!R$69="cents",Q14/100,Q14)*IF('Prop DUOS'!R$71="day",AG14*'Prop DUOS'!$D$74,IF('Prop DUOS'!R$71="month",AG14*12,AG14))</f>
        <v>0</v>
      </c>
      <c r="AX14" s="211">
        <f>IF('Prop DUOS'!S$69="cents",R14/100,R14)*IF('Prop DUOS'!S$71="day",AH14*'Prop DUOS'!$D$74,IF('Prop DUOS'!S$71="month",AH14*12,AH14))</f>
        <v>0</v>
      </c>
      <c r="AY14" s="166">
        <f t="shared" si="0"/>
        <v>0</v>
      </c>
      <c r="BA14" s="87"/>
      <c r="BB14" s="87"/>
    </row>
    <row r="15" spans="2:54" s="158" customFormat="1">
      <c r="B15" s="360" t="str">
        <f>IF('t-1 DUOS'!B15="","",'t-1 TUOS'!B15)</f>
        <v>Low voltage large 1 rate</v>
      </c>
      <c r="C15" s="220"/>
      <c r="D15" s="547">
        <v>5.45</v>
      </c>
      <c r="E15" s="548">
        <v>0</v>
      </c>
      <c r="F15" s="548">
        <v>0</v>
      </c>
      <c r="G15" s="548">
        <v>0</v>
      </c>
      <c r="H15" s="548">
        <v>0</v>
      </c>
      <c r="I15" s="548">
        <v>0</v>
      </c>
      <c r="J15" s="548">
        <v>0</v>
      </c>
      <c r="K15" s="548">
        <v>0</v>
      </c>
      <c r="L15" s="548">
        <v>0</v>
      </c>
      <c r="M15" s="548">
        <v>0</v>
      </c>
      <c r="N15" s="548">
        <v>0</v>
      </c>
      <c r="O15" s="548">
        <v>0</v>
      </c>
      <c r="P15" s="548">
        <v>0</v>
      </c>
      <c r="Q15" s="621">
        <v>0</v>
      </c>
      <c r="R15" s="549">
        <v>0</v>
      </c>
      <c r="T15" s="396">
        <f>'t-1 DUOS'!T15</f>
        <v>5.9728736666867741</v>
      </c>
      <c r="U15" s="397">
        <f>'t-1 DUOS'!U15</f>
        <v>350830.86554110394</v>
      </c>
      <c r="V15" s="397">
        <f>'t-1 DUOS'!V15</f>
        <v>0</v>
      </c>
      <c r="W15" s="397">
        <f>'t-1 DUOS'!W15</f>
        <v>0</v>
      </c>
      <c r="X15" s="397">
        <f>'t-1 DUOS'!X15</f>
        <v>336597.5053836623</v>
      </c>
      <c r="Y15" s="397">
        <f>'t-1 DUOS'!Y15</f>
        <v>0</v>
      </c>
      <c r="Z15" s="397">
        <f>'t-1 DUOS'!Z15</f>
        <v>0</v>
      </c>
      <c r="AA15" s="397">
        <f>'t-1 DUOS'!AA15</f>
        <v>0</v>
      </c>
      <c r="AB15" s="397">
        <f>'t-1 DUOS'!AB15</f>
        <v>0</v>
      </c>
      <c r="AC15" s="397">
        <f>'t-1 DUOS'!AC15</f>
        <v>0</v>
      </c>
      <c r="AD15" s="397">
        <f>'t-1 DUOS'!AD15</f>
        <v>0</v>
      </c>
      <c r="AE15" s="397">
        <f>'t-1 DUOS'!AE15</f>
        <v>0</v>
      </c>
      <c r="AF15" s="397">
        <f>'t-1 DUOS'!AF15</f>
        <v>0</v>
      </c>
      <c r="AG15" s="631">
        <f>'t-1 DUOS'!AG15</f>
        <v>0</v>
      </c>
      <c r="AH15" s="398">
        <f>'t-1 DUOS'!AH15</f>
        <v>0</v>
      </c>
      <c r="AJ15" s="210">
        <f>IF('Prop DUOS'!$E$69="cents",D15/100,D15)*IF('Prop DUOS'!$E$71="day",T15*'Prop DUOS'!$D$74,T15)</f>
        <v>118.81538941456665</v>
      </c>
      <c r="AK15" s="211">
        <f>IF('Prop DUOS'!F$69="cents",E15/100,E15)*U15</f>
        <v>0</v>
      </c>
      <c r="AL15" s="211">
        <f>IF('Prop DUOS'!G$69="cents",F15/100,F15)*V15</f>
        <v>0</v>
      </c>
      <c r="AM15" s="211">
        <f>IF('Prop DUOS'!H$69="cents",G15/100,G15)*W15</f>
        <v>0</v>
      </c>
      <c r="AN15" s="211">
        <f>IF('Prop DUOS'!I$69="cents",H15/100,H15)*X15</f>
        <v>0</v>
      </c>
      <c r="AO15" s="211">
        <f>IF('Prop DUOS'!J$69="cents",I15/100,I15)*Y15</f>
        <v>0</v>
      </c>
      <c r="AP15" s="211">
        <f>IF('Prop DUOS'!K$69="cents",J15/100,J15)*Z15</f>
        <v>0</v>
      </c>
      <c r="AQ15" s="211">
        <f>IF('Prop DUOS'!L$69="cents",K15/100,K15)*AA15</f>
        <v>0</v>
      </c>
      <c r="AR15" s="211">
        <f>IF('Prop DUOS'!M$69="cents",L15/100,L15)*AB15</f>
        <v>0</v>
      </c>
      <c r="AS15" s="211">
        <f>IF('Prop DUOS'!N$69="cents",M15/100,M15)*AC15</f>
        <v>0</v>
      </c>
      <c r="AT15" s="211">
        <f>IF('Prop DUOS'!O$69="cents",N15/100,N15)*IF('Prop DUOS'!O$71="day",AD15*'Prop DUOS'!$D$74,IF('Prop DUOS'!O$71="month",AD15*12,AD15))</f>
        <v>0</v>
      </c>
      <c r="AU15" s="211">
        <f>IF('Prop DUOS'!P$69="cents",O15/100,O15)*IF('Prop DUOS'!P$71="day",AE15*'Prop DUOS'!$D$74,IF('Prop DUOS'!P$71="month",AE15*12,AE15))</f>
        <v>0</v>
      </c>
      <c r="AV15" s="211">
        <f>IF('Prop DUOS'!Q$69="cents",P15/100,P15)*IF('Prop DUOS'!Q$71="day",AF15*'Prop DUOS'!$D$74,IF('Prop DUOS'!Q$71="month",AF15*12,AF15))</f>
        <v>0</v>
      </c>
      <c r="AW15" s="211">
        <f>IF('Prop DUOS'!R$69="cents",Q15/100,Q15)*IF('Prop DUOS'!R$71="day",AG15*'Prop DUOS'!$D$74,IF('Prop DUOS'!R$71="month",AG15*12,AG15))</f>
        <v>0</v>
      </c>
      <c r="AX15" s="211">
        <f>IF('Prop DUOS'!S$69="cents",R15/100,R15)*IF('Prop DUOS'!S$71="day",AH15*'Prop DUOS'!$D$74,IF('Prop DUOS'!S$71="month",AH15*12,AH15))</f>
        <v>0</v>
      </c>
      <c r="AY15" s="166">
        <f t="shared" si="0"/>
        <v>118.81538941456665</v>
      </c>
      <c r="BA15" s="87"/>
      <c r="BB15" s="87"/>
    </row>
    <row r="16" spans="2:54" s="158" customFormat="1">
      <c r="B16" s="360" t="str">
        <f>IF('t-1 DUOS'!B16="","",'t-1 TUOS'!B16)</f>
        <v>Low voltage large 2 rate</v>
      </c>
      <c r="C16" s="220"/>
      <c r="D16" s="547">
        <v>5.45</v>
      </c>
      <c r="E16" s="548">
        <v>0</v>
      </c>
      <c r="F16" s="548">
        <v>0</v>
      </c>
      <c r="G16" s="548">
        <v>0</v>
      </c>
      <c r="H16" s="548">
        <v>0</v>
      </c>
      <c r="I16" s="548">
        <v>0</v>
      </c>
      <c r="J16" s="548">
        <v>0</v>
      </c>
      <c r="K16" s="548">
        <v>0</v>
      </c>
      <c r="L16" s="548">
        <v>0</v>
      </c>
      <c r="M16" s="548">
        <v>0</v>
      </c>
      <c r="N16" s="548">
        <v>0</v>
      </c>
      <c r="O16" s="548">
        <v>0</v>
      </c>
      <c r="P16" s="548">
        <v>0</v>
      </c>
      <c r="Q16" s="621">
        <v>0</v>
      </c>
      <c r="R16" s="549">
        <v>0</v>
      </c>
      <c r="T16" s="396">
        <f>'t-1 DUOS'!T16</f>
        <v>15.92766311116473</v>
      </c>
      <c r="U16" s="397">
        <f>'t-1 DUOS'!U16</f>
        <v>0</v>
      </c>
      <c r="V16" s="397">
        <f>'t-1 DUOS'!V16</f>
        <v>0</v>
      </c>
      <c r="W16" s="397">
        <f>'t-1 DUOS'!W16</f>
        <v>353584.4990283752</v>
      </c>
      <c r="X16" s="397">
        <f>'t-1 DUOS'!X16</f>
        <v>0</v>
      </c>
      <c r="Y16" s="397">
        <f>'t-1 DUOS'!Y16</f>
        <v>0</v>
      </c>
      <c r="Z16" s="397">
        <f>'t-1 DUOS'!Z16</f>
        <v>290139.17790064623</v>
      </c>
      <c r="AA16" s="397">
        <f>'t-1 DUOS'!AA16</f>
        <v>432412.9860858029</v>
      </c>
      <c r="AB16" s="397">
        <f>'t-1 DUOS'!AB16</f>
        <v>0</v>
      </c>
      <c r="AC16" s="397">
        <f>'t-1 DUOS'!AC16</f>
        <v>0</v>
      </c>
      <c r="AD16" s="397">
        <f>'t-1 DUOS'!AD16</f>
        <v>0</v>
      </c>
      <c r="AE16" s="397">
        <f>'t-1 DUOS'!AE16</f>
        <v>0</v>
      </c>
      <c r="AF16" s="397">
        <f>'t-1 DUOS'!AF16</f>
        <v>0</v>
      </c>
      <c r="AG16" s="631">
        <f>'t-1 DUOS'!AG16</f>
        <v>0</v>
      </c>
      <c r="AH16" s="398">
        <f>'t-1 DUOS'!AH16</f>
        <v>0</v>
      </c>
      <c r="AJ16" s="210">
        <f>IF('Prop DUOS'!$E$69="cents",D16/100,D16)*IF('Prop DUOS'!$E$71="day",T16*'Prop DUOS'!$D$74,T16)</f>
        <v>316.84103843884435</v>
      </c>
      <c r="AK16" s="211">
        <f>IF('Prop DUOS'!F$69="cents",E16/100,E16)*U16</f>
        <v>0</v>
      </c>
      <c r="AL16" s="211">
        <f>IF('Prop DUOS'!G$69="cents",F16/100,F16)*V16</f>
        <v>0</v>
      </c>
      <c r="AM16" s="211">
        <f>IF('Prop DUOS'!H$69="cents",G16/100,G16)*W16</f>
        <v>0</v>
      </c>
      <c r="AN16" s="211">
        <f>IF('Prop DUOS'!I$69="cents",H16/100,H16)*X16</f>
        <v>0</v>
      </c>
      <c r="AO16" s="211">
        <f>IF('Prop DUOS'!J$69="cents",I16/100,I16)*Y16</f>
        <v>0</v>
      </c>
      <c r="AP16" s="211">
        <f>IF('Prop DUOS'!K$69="cents",J16/100,J16)*Z16</f>
        <v>0</v>
      </c>
      <c r="AQ16" s="211">
        <f>IF('Prop DUOS'!L$69="cents",K16/100,K16)*AA16</f>
        <v>0</v>
      </c>
      <c r="AR16" s="211">
        <f>IF('Prop DUOS'!M$69="cents",L16/100,L16)*AB16</f>
        <v>0</v>
      </c>
      <c r="AS16" s="211">
        <f>IF('Prop DUOS'!N$69="cents",M16/100,M16)*AC16</f>
        <v>0</v>
      </c>
      <c r="AT16" s="211">
        <f>IF('Prop DUOS'!O$69="cents",N16/100,N16)*IF('Prop DUOS'!O$71="day",AD16*'Prop DUOS'!$D$74,IF('Prop DUOS'!O$71="month",AD16*12,AD16))</f>
        <v>0</v>
      </c>
      <c r="AU16" s="211">
        <f>IF('Prop DUOS'!P$69="cents",O16/100,O16)*IF('Prop DUOS'!P$71="day",AE16*'Prop DUOS'!$D$74,IF('Prop DUOS'!P$71="month",AE16*12,AE16))</f>
        <v>0</v>
      </c>
      <c r="AV16" s="211">
        <f>IF('Prop DUOS'!Q$69="cents",P16/100,P16)*IF('Prop DUOS'!Q$71="day",AF16*'Prop DUOS'!$D$74,IF('Prop DUOS'!Q$71="month",AF16*12,AF16))</f>
        <v>0</v>
      </c>
      <c r="AW16" s="211">
        <f>IF('Prop DUOS'!R$69="cents",Q16/100,Q16)*IF('Prop DUOS'!R$71="day",AG16*'Prop DUOS'!$D$74,IF('Prop DUOS'!R$71="month",AG16*12,AG16))</f>
        <v>0</v>
      </c>
      <c r="AX16" s="211">
        <f>IF('Prop DUOS'!S$69="cents",R16/100,R16)*IF('Prop DUOS'!S$71="day",AH16*'Prop DUOS'!$D$74,IF('Prop DUOS'!S$71="month",AH16*12,AH16))</f>
        <v>0</v>
      </c>
      <c r="AY16" s="166">
        <f t="shared" si="0"/>
        <v>316.84103843884435</v>
      </c>
      <c r="BA16" s="87"/>
      <c r="BB16" s="87"/>
    </row>
    <row r="17" spans="2:54" s="158" customFormat="1">
      <c r="B17" s="360" t="str">
        <f>IF('t-1 DUOS'!B17="","",'t-1 TUOS'!B17)</f>
        <v>Low voltage KW time of use</v>
      </c>
      <c r="C17" s="220"/>
      <c r="D17" s="547">
        <v>5.45</v>
      </c>
      <c r="E17" s="548">
        <v>0</v>
      </c>
      <c r="F17" s="548">
        <v>0</v>
      </c>
      <c r="G17" s="548">
        <v>0</v>
      </c>
      <c r="H17" s="548">
        <v>0</v>
      </c>
      <c r="I17" s="548">
        <v>0</v>
      </c>
      <c r="J17" s="548">
        <v>0</v>
      </c>
      <c r="K17" s="548">
        <v>0</v>
      </c>
      <c r="L17" s="548">
        <v>0</v>
      </c>
      <c r="M17" s="548">
        <v>0</v>
      </c>
      <c r="N17" s="548">
        <v>0</v>
      </c>
      <c r="O17" s="548">
        <v>0</v>
      </c>
      <c r="P17" s="548">
        <v>0</v>
      </c>
      <c r="Q17" s="621">
        <v>0</v>
      </c>
      <c r="R17" s="549">
        <v>0</v>
      </c>
      <c r="T17" s="396">
        <f>'t-1 DUOS'!T17</f>
        <v>184.09132648983291</v>
      </c>
      <c r="U17" s="397">
        <f>'t-1 DUOS'!U17</f>
        <v>0</v>
      </c>
      <c r="V17" s="397">
        <f>'t-1 DUOS'!V17</f>
        <v>0</v>
      </c>
      <c r="W17" s="397">
        <f>'t-1 DUOS'!W17</f>
        <v>1467338.0455547343</v>
      </c>
      <c r="X17" s="397">
        <f>'t-1 DUOS'!X17</f>
        <v>0</v>
      </c>
      <c r="Y17" s="397">
        <f>'t-1 DUOS'!Y17</f>
        <v>0</v>
      </c>
      <c r="Z17" s="397">
        <f>'t-1 DUOS'!Z17</f>
        <v>1363210.8776693761</v>
      </c>
      <c r="AA17" s="397">
        <f>'t-1 DUOS'!AA17</f>
        <v>2579484.0260986136</v>
      </c>
      <c r="AB17" s="397">
        <f>'t-1 DUOS'!AB17</f>
        <v>0</v>
      </c>
      <c r="AC17" s="397">
        <f>'t-1 DUOS'!AC17</f>
        <v>0</v>
      </c>
      <c r="AD17" s="397">
        <f>'t-1 DUOS'!AD17</f>
        <v>0</v>
      </c>
      <c r="AE17" s="397">
        <f>'t-1 DUOS'!AE17</f>
        <v>2154.6059818268682</v>
      </c>
      <c r="AF17" s="397">
        <f>'t-1 DUOS'!AF17</f>
        <v>0</v>
      </c>
      <c r="AG17" s="631">
        <f>'t-1 DUOS'!AG17</f>
        <v>0</v>
      </c>
      <c r="AH17" s="398">
        <f>'t-1 DUOS'!AH17</f>
        <v>0</v>
      </c>
      <c r="AJ17" s="210">
        <f>IF('Prop DUOS'!$E$69="cents",D17/100,D17)*IF('Prop DUOS'!$E$71="day",T17*'Prop DUOS'!$D$74,T17)</f>
        <v>3662.0367121990007</v>
      </c>
      <c r="AK17" s="211">
        <f>IF('Prop DUOS'!F$69="cents",E17/100,E17)*U17</f>
        <v>0</v>
      </c>
      <c r="AL17" s="211">
        <f>IF('Prop DUOS'!G$69="cents",F17/100,F17)*V17</f>
        <v>0</v>
      </c>
      <c r="AM17" s="211">
        <f>IF('Prop DUOS'!H$69="cents",G17/100,G17)*W17</f>
        <v>0</v>
      </c>
      <c r="AN17" s="211">
        <f>IF('Prop DUOS'!I$69="cents",H17/100,H17)*X17</f>
        <v>0</v>
      </c>
      <c r="AO17" s="211">
        <f>IF('Prop DUOS'!J$69="cents",I17/100,I17)*Y17</f>
        <v>0</v>
      </c>
      <c r="AP17" s="211">
        <f>IF('Prop DUOS'!K$69="cents",J17/100,J17)*Z17</f>
        <v>0</v>
      </c>
      <c r="AQ17" s="211">
        <f>IF('Prop DUOS'!L$69="cents",K17/100,K17)*AA17</f>
        <v>0</v>
      </c>
      <c r="AR17" s="211">
        <f>IF('Prop DUOS'!M$69="cents",L17/100,L17)*AB17</f>
        <v>0</v>
      </c>
      <c r="AS17" s="211">
        <f>IF('Prop DUOS'!N$69="cents",M17/100,M17)*AC17</f>
        <v>0</v>
      </c>
      <c r="AT17" s="211">
        <f>IF('Prop DUOS'!O$69="cents",N17/100,N17)*IF('Prop DUOS'!O$71="day",AD17*'Prop DUOS'!$D$74,IF('Prop DUOS'!O$71="month",AD17*12,AD17))</f>
        <v>0</v>
      </c>
      <c r="AU17" s="211">
        <f>IF('Prop DUOS'!P$69="cents",O17/100,O17)*IF('Prop DUOS'!P$71="day",AE17*'Prop DUOS'!$D$74,IF('Prop DUOS'!P$71="month",AE17*12,AE17))</f>
        <v>0</v>
      </c>
      <c r="AV17" s="211">
        <f>IF('Prop DUOS'!Q$69="cents",P17/100,P17)*IF('Prop DUOS'!Q$71="day",AF17*'Prop DUOS'!$D$74,IF('Prop DUOS'!Q$71="month",AF17*12,AF17))</f>
        <v>0</v>
      </c>
      <c r="AW17" s="211">
        <f>IF('Prop DUOS'!R$69="cents",Q17/100,Q17)*IF('Prop DUOS'!R$71="day",AG17*'Prop DUOS'!$D$74,IF('Prop DUOS'!R$71="month",AG17*12,AG17))</f>
        <v>0</v>
      </c>
      <c r="AX17" s="211">
        <f>IF('Prop DUOS'!S$69="cents",R17/100,R17)*IF('Prop DUOS'!S$71="day",AH17*'Prop DUOS'!$D$74,IF('Prop DUOS'!S$71="month",AH17*12,AH17))</f>
        <v>0</v>
      </c>
      <c r="AY17" s="166">
        <f t="shared" si="0"/>
        <v>3662.0367121990007</v>
      </c>
      <c r="BA17" s="87"/>
      <c r="BB17" s="87"/>
    </row>
    <row r="18" spans="2:54" s="158" customFormat="1">
      <c r="B18" s="360" t="str">
        <f>IF('t-1 DUOS'!B18="","",'t-1 TUOS'!B18)</f>
        <v>Low voltage KW time of use - HOT</v>
      </c>
      <c r="C18" s="220"/>
      <c r="D18" s="547">
        <v>5.45</v>
      </c>
      <c r="E18" s="548">
        <v>0</v>
      </c>
      <c r="F18" s="548">
        <v>0</v>
      </c>
      <c r="G18" s="548">
        <v>0</v>
      </c>
      <c r="H18" s="548">
        <v>0</v>
      </c>
      <c r="I18" s="548">
        <v>0</v>
      </c>
      <c r="J18" s="548">
        <v>0</v>
      </c>
      <c r="K18" s="548">
        <v>0</v>
      </c>
      <c r="L18" s="548">
        <v>0</v>
      </c>
      <c r="M18" s="548">
        <v>0</v>
      </c>
      <c r="N18" s="548">
        <v>0</v>
      </c>
      <c r="O18" s="548">
        <v>0</v>
      </c>
      <c r="P18" s="548">
        <v>0</v>
      </c>
      <c r="Q18" s="621">
        <v>0</v>
      </c>
      <c r="R18" s="549">
        <v>0</v>
      </c>
      <c r="T18" s="396">
        <f>'t-1 DUOS'!T18</f>
        <v>15.007445094279857</v>
      </c>
      <c r="U18" s="397">
        <f>'t-1 DUOS'!U18</f>
        <v>0</v>
      </c>
      <c r="V18" s="397">
        <f>'t-1 DUOS'!V18</f>
        <v>0</v>
      </c>
      <c r="W18" s="397">
        <f>'t-1 DUOS'!W18</f>
        <v>19702.965516851335</v>
      </c>
      <c r="X18" s="397">
        <f>'t-1 DUOS'!X18</f>
        <v>0</v>
      </c>
      <c r="Y18" s="397">
        <f>'t-1 DUOS'!Y18</f>
        <v>0</v>
      </c>
      <c r="Z18" s="397">
        <f>'t-1 DUOS'!Z18</f>
        <v>29910.390410208027</v>
      </c>
      <c r="AA18" s="397">
        <f>'t-1 DUOS'!AA18</f>
        <v>52406.070065336957</v>
      </c>
      <c r="AB18" s="397">
        <f>'t-1 DUOS'!AB18</f>
        <v>0</v>
      </c>
      <c r="AC18" s="397">
        <f>'t-1 DUOS'!AC18</f>
        <v>0</v>
      </c>
      <c r="AD18" s="397">
        <f>'t-1 DUOS'!AD18</f>
        <v>0</v>
      </c>
      <c r="AE18" s="397">
        <f>'t-1 DUOS'!AE18</f>
        <v>41.813557402395517</v>
      </c>
      <c r="AF18" s="397">
        <f>'t-1 DUOS'!AF18</f>
        <v>0</v>
      </c>
      <c r="AG18" s="631">
        <f>'t-1 DUOS'!AG18</f>
        <v>0</v>
      </c>
      <c r="AH18" s="398">
        <f>'t-1 DUOS'!AH18</f>
        <v>0</v>
      </c>
      <c r="AJ18" s="210">
        <f>IF('Prop DUOS'!$E$69="cents",D18/100,D18)*IF('Prop DUOS'!$E$71="day",T18*'Prop DUOS'!$D$74,T18)</f>
        <v>298.53560153796207</v>
      </c>
      <c r="AK18" s="211">
        <f>IF('Prop DUOS'!F$69="cents",E18/100,E18)*U18</f>
        <v>0</v>
      </c>
      <c r="AL18" s="211">
        <f>IF('Prop DUOS'!G$69="cents",F18/100,F18)*V18</f>
        <v>0</v>
      </c>
      <c r="AM18" s="211">
        <f>IF('Prop DUOS'!H$69="cents",G18/100,G18)*W18</f>
        <v>0</v>
      </c>
      <c r="AN18" s="211">
        <f>IF('Prop DUOS'!I$69="cents",H18/100,H18)*X18</f>
        <v>0</v>
      </c>
      <c r="AO18" s="211">
        <f>IF('Prop DUOS'!J$69="cents",I18/100,I18)*Y18</f>
        <v>0</v>
      </c>
      <c r="AP18" s="211">
        <f>IF('Prop DUOS'!K$69="cents",J18/100,J18)*Z18</f>
        <v>0</v>
      </c>
      <c r="AQ18" s="211">
        <f>IF('Prop DUOS'!L$69="cents",K18/100,K18)*AA18</f>
        <v>0</v>
      </c>
      <c r="AR18" s="211">
        <f>IF('Prop DUOS'!M$69="cents",L18/100,L18)*AB18</f>
        <v>0</v>
      </c>
      <c r="AS18" s="211">
        <f>IF('Prop DUOS'!N$69="cents",M18/100,M18)*AC18</f>
        <v>0</v>
      </c>
      <c r="AT18" s="211">
        <f>IF('Prop DUOS'!O$69="cents",N18/100,N18)*IF('Prop DUOS'!O$71="day",AD18*'Prop DUOS'!$D$74,IF('Prop DUOS'!O$71="month",AD18*12,AD18))</f>
        <v>0</v>
      </c>
      <c r="AU18" s="211">
        <f>IF('Prop DUOS'!P$69="cents",O18/100,O18)*IF('Prop DUOS'!P$71="day",AE18*'Prop DUOS'!$D$74,IF('Prop DUOS'!P$71="month",AE18*12,AE18))</f>
        <v>0</v>
      </c>
      <c r="AV18" s="211">
        <f>IF('Prop DUOS'!Q$69="cents",P18/100,P18)*IF('Prop DUOS'!Q$71="day",AF18*'Prop DUOS'!$D$74,IF('Prop DUOS'!Q$71="month",AF18*12,AF18))</f>
        <v>0</v>
      </c>
      <c r="AW18" s="211">
        <f>IF('Prop DUOS'!R$69="cents",Q18/100,Q18)*IF('Prop DUOS'!R$71="day",AG18*'Prop DUOS'!$D$74,IF('Prop DUOS'!R$71="month",AG18*12,AG18))</f>
        <v>0</v>
      </c>
      <c r="AX18" s="211">
        <f>IF('Prop DUOS'!S$69="cents",R18/100,R18)*IF('Prop DUOS'!S$71="day",AH18*'Prop DUOS'!$D$74,IF('Prop DUOS'!S$71="month",AH18*12,AH18))</f>
        <v>0</v>
      </c>
      <c r="AY18" s="166">
        <f t="shared" si="0"/>
        <v>298.53560153796207</v>
      </c>
      <c r="BA18" s="87"/>
      <c r="BB18" s="87"/>
    </row>
    <row r="19" spans="2:54" s="158" customFormat="1">
      <c r="B19" s="360" t="str">
        <f>IF('t-1 DUOS'!B19="","",'t-1 TUOS'!B19)</f>
        <v>Low voltage large KVA time of use</v>
      </c>
      <c r="C19" s="220"/>
      <c r="D19" s="547">
        <v>5.45</v>
      </c>
      <c r="E19" s="548">
        <v>0</v>
      </c>
      <c r="F19" s="548">
        <v>0</v>
      </c>
      <c r="G19" s="548">
        <v>0</v>
      </c>
      <c r="H19" s="548">
        <v>0</v>
      </c>
      <c r="I19" s="548">
        <v>0</v>
      </c>
      <c r="J19" s="548">
        <v>0</v>
      </c>
      <c r="K19" s="548">
        <v>0</v>
      </c>
      <c r="L19" s="548">
        <v>0</v>
      </c>
      <c r="M19" s="548">
        <v>0</v>
      </c>
      <c r="N19" s="548">
        <v>0</v>
      </c>
      <c r="O19" s="548">
        <v>0</v>
      </c>
      <c r="P19" s="548">
        <v>0</v>
      </c>
      <c r="Q19" s="621">
        <v>0</v>
      </c>
      <c r="R19" s="549">
        <v>0</v>
      </c>
      <c r="T19" s="396">
        <f>'t-1 DUOS'!T19</f>
        <v>2990.4835591201668</v>
      </c>
      <c r="U19" s="397">
        <f>'t-1 DUOS'!U19</f>
        <v>0</v>
      </c>
      <c r="V19" s="397">
        <f>'t-1 DUOS'!V19</f>
        <v>0</v>
      </c>
      <c r="W19" s="397">
        <f>'t-1 DUOS'!W19</f>
        <v>264766533.82841039</v>
      </c>
      <c r="X19" s="397">
        <f>'t-1 DUOS'!X19</f>
        <v>0</v>
      </c>
      <c r="Y19" s="397">
        <f>'t-1 DUOS'!Y19</f>
        <v>0</v>
      </c>
      <c r="Z19" s="397">
        <f>'t-1 DUOS'!Z19</f>
        <v>249154719.5247803</v>
      </c>
      <c r="AA19" s="397">
        <f>'t-1 DUOS'!AA19</f>
        <v>608652762.28100646</v>
      </c>
      <c r="AB19" s="397">
        <f>'t-1 DUOS'!AB19</f>
        <v>0</v>
      </c>
      <c r="AC19" s="397">
        <f>'t-1 DUOS'!AC19</f>
        <v>0</v>
      </c>
      <c r="AD19" s="397">
        <f>'t-1 DUOS'!AD19</f>
        <v>876782.3725837149</v>
      </c>
      <c r="AE19" s="397">
        <f>'t-1 DUOS'!AE19</f>
        <v>311412.56295965891</v>
      </c>
      <c r="AF19" s="397">
        <f>'t-1 DUOS'!AF19</f>
        <v>0</v>
      </c>
      <c r="AG19" s="631">
        <f>'t-1 DUOS'!AG19</f>
        <v>0</v>
      </c>
      <c r="AH19" s="398">
        <f>'t-1 DUOS'!AH19</f>
        <v>0</v>
      </c>
      <c r="AJ19" s="210">
        <f>IF('Prop DUOS'!$E$69="cents",D19/100,D19)*IF('Prop DUOS'!$E$71="day",T19*'Prop DUOS'!$D$74,T19)</f>
        <v>59488.194199797923</v>
      </c>
      <c r="AK19" s="211">
        <f>IF('Prop DUOS'!F$69="cents",E19/100,E19)*U19</f>
        <v>0</v>
      </c>
      <c r="AL19" s="211">
        <f>IF('Prop DUOS'!G$69="cents",F19/100,F19)*V19</f>
        <v>0</v>
      </c>
      <c r="AM19" s="211">
        <f>IF('Prop DUOS'!H$69="cents",G19/100,G19)*W19</f>
        <v>0</v>
      </c>
      <c r="AN19" s="211">
        <f>IF('Prop DUOS'!I$69="cents",H19/100,H19)*X19</f>
        <v>0</v>
      </c>
      <c r="AO19" s="211">
        <f>IF('Prop DUOS'!J$69="cents",I19/100,I19)*Y19</f>
        <v>0</v>
      </c>
      <c r="AP19" s="211">
        <f>IF('Prop DUOS'!K$69="cents",J19/100,J19)*Z19</f>
        <v>0</v>
      </c>
      <c r="AQ19" s="211">
        <f>IF('Prop DUOS'!L$69="cents",K19/100,K19)*AA19</f>
        <v>0</v>
      </c>
      <c r="AR19" s="211">
        <f>IF('Prop DUOS'!M$69="cents",L19/100,L19)*AB19</f>
        <v>0</v>
      </c>
      <c r="AS19" s="211">
        <f>IF('Prop DUOS'!N$69="cents",M19/100,M19)*AC19</f>
        <v>0</v>
      </c>
      <c r="AT19" s="211">
        <f>IF('Prop DUOS'!O$69="cents",N19/100,N19)*IF('Prop DUOS'!O$71="day",AD19*'Prop DUOS'!$D$74,IF('Prop DUOS'!O$71="month",AD19*12,AD19))</f>
        <v>0</v>
      </c>
      <c r="AU19" s="211">
        <f>IF('Prop DUOS'!P$69="cents",O19/100,O19)*IF('Prop DUOS'!P$71="day",AE19*'Prop DUOS'!$D$74,IF('Prop DUOS'!P$71="month",AE19*12,AE19))</f>
        <v>0</v>
      </c>
      <c r="AV19" s="211">
        <f>IF('Prop DUOS'!Q$69="cents",P19/100,P19)*IF('Prop DUOS'!Q$71="day",AF19*'Prop DUOS'!$D$74,IF('Prop DUOS'!Q$71="month",AF19*12,AF19))</f>
        <v>0</v>
      </c>
      <c r="AW19" s="211">
        <f>IF('Prop DUOS'!R$69="cents",Q19/100,Q19)*IF('Prop DUOS'!R$71="day",AG19*'Prop DUOS'!$D$74,IF('Prop DUOS'!R$71="month",AG19*12,AG19))</f>
        <v>0</v>
      </c>
      <c r="AX19" s="211">
        <f>IF('Prop DUOS'!S$69="cents",R19/100,R19)*IF('Prop DUOS'!S$71="day",AH19*'Prop DUOS'!$D$74,IF('Prop DUOS'!S$71="month",AH19*12,AH19))</f>
        <v>0</v>
      </c>
      <c r="AY19" s="166">
        <f t="shared" si="0"/>
        <v>59488.194199797923</v>
      </c>
      <c r="BA19" s="87"/>
      <c r="BB19" s="87"/>
    </row>
    <row r="20" spans="2:54" s="158" customFormat="1">
      <c r="B20" s="360" t="str">
        <f>IF('t-1 DUOS'!B20="","",'t-1 TUOS'!B20)</f>
        <v>High voltage KVA time of use</v>
      </c>
      <c r="C20" s="220"/>
      <c r="D20" s="547">
        <v>5.45</v>
      </c>
      <c r="E20" s="548">
        <v>0</v>
      </c>
      <c r="F20" s="548">
        <v>0</v>
      </c>
      <c r="G20" s="548">
        <v>0</v>
      </c>
      <c r="H20" s="548">
        <v>0</v>
      </c>
      <c r="I20" s="548">
        <v>0</v>
      </c>
      <c r="J20" s="548">
        <v>0</v>
      </c>
      <c r="K20" s="548">
        <v>0</v>
      </c>
      <c r="L20" s="548">
        <v>0</v>
      </c>
      <c r="M20" s="548">
        <v>0</v>
      </c>
      <c r="N20" s="548">
        <v>0</v>
      </c>
      <c r="O20" s="548">
        <v>0</v>
      </c>
      <c r="P20" s="548">
        <v>0</v>
      </c>
      <c r="Q20" s="621">
        <v>0</v>
      </c>
      <c r="R20" s="549">
        <v>0</v>
      </c>
      <c r="T20" s="396">
        <f>'t-1 DUOS'!T20</f>
        <v>99.546961325966848</v>
      </c>
      <c r="U20" s="397">
        <f>'t-1 DUOS'!U20</f>
        <v>0</v>
      </c>
      <c r="V20" s="397">
        <f>'t-1 DUOS'!V20</f>
        <v>0</v>
      </c>
      <c r="W20" s="397">
        <f>'t-1 DUOS'!W20</f>
        <v>104444858.81358697</v>
      </c>
      <c r="X20" s="397">
        <f>'t-1 DUOS'!X20</f>
        <v>0</v>
      </c>
      <c r="Y20" s="397">
        <f>'t-1 DUOS'!Y20</f>
        <v>0</v>
      </c>
      <c r="Z20" s="397">
        <f>'t-1 DUOS'!Z20</f>
        <v>104799686.74907821</v>
      </c>
      <c r="AA20" s="397">
        <f>'t-1 DUOS'!AA20</f>
        <v>324542942.21344072</v>
      </c>
      <c r="AB20" s="397">
        <f>'t-1 DUOS'!AB20</f>
        <v>0</v>
      </c>
      <c r="AC20" s="397">
        <f>'t-1 DUOS'!AC20</f>
        <v>0</v>
      </c>
      <c r="AD20" s="397">
        <f>'t-1 DUOS'!AD20</f>
        <v>282904.68509821675</v>
      </c>
      <c r="AE20" s="397">
        <f>'t-1 DUOS'!AE20</f>
        <v>108559.6052980422</v>
      </c>
      <c r="AF20" s="397">
        <f>'t-1 DUOS'!AF20</f>
        <v>0</v>
      </c>
      <c r="AG20" s="631">
        <f>'t-1 DUOS'!AG20</f>
        <v>0</v>
      </c>
      <c r="AH20" s="398">
        <f>'t-1 DUOS'!AH20</f>
        <v>0</v>
      </c>
      <c r="AJ20" s="210">
        <f>IF('Prop DUOS'!$E$69="cents",D20/100,D20)*IF('Prop DUOS'!$E$71="day",T20*'Prop DUOS'!$D$74,T20)</f>
        <v>1980.2379281767953</v>
      </c>
      <c r="AK20" s="211">
        <f>IF('Prop DUOS'!F$69="cents",E20/100,E20)*U20</f>
        <v>0</v>
      </c>
      <c r="AL20" s="211">
        <f>IF('Prop DUOS'!G$69="cents",F20/100,F20)*V20</f>
        <v>0</v>
      </c>
      <c r="AM20" s="211">
        <f>IF('Prop DUOS'!H$69="cents",G20/100,G20)*W20</f>
        <v>0</v>
      </c>
      <c r="AN20" s="211">
        <f>IF('Prop DUOS'!I$69="cents",H20/100,H20)*X20</f>
        <v>0</v>
      </c>
      <c r="AO20" s="211">
        <f>IF('Prop DUOS'!J$69="cents",I20/100,I20)*Y20</f>
        <v>0</v>
      </c>
      <c r="AP20" s="211">
        <f>IF('Prop DUOS'!K$69="cents",J20/100,J20)*Z20</f>
        <v>0</v>
      </c>
      <c r="AQ20" s="211">
        <f>IF('Prop DUOS'!L$69="cents",K20/100,K20)*AA20</f>
        <v>0</v>
      </c>
      <c r="AR20" s="211">
        <f>IF('Prop DUOS'!M$69="cents",L20/100,L20)*AB20</f>
        <v>0</v>
      </c>
      <c r="AS20" s="211">
        <f>IF('Prop DUOS'!N$69="cents",M20/100,M20)*AC20</f>
        <v>0</v>
      </c>
      <c r="AT20" s="211">
        <f>IF('Prop DUOS'!O$69="cents",N20/100,N20)*IF('Prop DUOS'!O$71="day",AD20*'Prop DUOS'!$D$74,IF('Prop DUOS'!O$71="month",AD20*12,AD20))</f>
        <v>0</v>
      </c>
      <c r="AU20" s="211">
        <f>IF('Prop DUOS'!P$69="cents",O20/100,O20)*IF('Prop DUOS'!P$71="day",AE20*'Prop DUOS'!$D$74,IF('Prop DUOS'!P$71="month",AE20*12,AE20))</f>
        <v>0</v>
      </c>
      <c r="AV20" s="211">
        <f>IF('Prop DUOS'!Q$69="cents",P20/100,P20)*IF('Prop DUOS'!Q$71="day",AF20*'Prop DUOS'!$D$74,IF('Prop DUOS'!Q$71="month",AF20*12,AF20))</f>
        <v>0</v>
      </c>
      <c r="AW20" s="211">
        <f>IF('Prop DUOS'!R$69="cents",Q20/100,Q20)*IF('Prop DUOS'!R$71="day",AG20*'Prop DUOS'!$D$74,IF('Prop DUOS'!R$71="month",AG20*12,AG20))</f>
        <v>0</v>
      </c>
      <c r="AX20" s="211">
        <f>IF('Prop DUOS'!S$69="cents",R20/100,R20)*IF('Prop DUOS'!S$71="day",AH20*'Prop DUOS'!$D$74,IF('Prop DUOS'!S$71="month",AH20*12,AH20))</f>
        <v>0</v>
      </c>
      <c r="AY20" s="166">
        <f t="shared" si="0"/>
        <v>1980.2379281767953</v>
      </c>
      <c r="BA20" s="87"/>
      <c r="BB20" s="87"/>
    </row>
    <row r="21" spans="2:54" s="158" customFormat="1">
      <c r="B21" s="360" t="str">
        <f>IF('t-1 DUOS'!B21="","",'t-1 TUOS'!B21)</f>
        <v>Subtransmission KVA time of use</v>
      </c>
      <c r="C21" s="220"/>
      <c r="D21" s="547">
        <v>5.45</v>
      </c>
      <c r="E21" s="548">
        <v>0</v>
      </c>
      <c r="F21" s="548">
        <v>0</v>
      </c>
      <c r="G21" s="548">
        <v>0</v>
      </c>
      <c r="H21" s="548">
        <v>0</v>
      </c>
      <c r="I21" s="548">
        <v>0</v>
      </c>
      <c r="J21" s="548">
        <v>0</v>
      </c>
      <c r="K21" s="548">
        <v>0</v>
      </c>
      <c r="L21" s="548">
        <v>0</v>
      </c>
      <c r="M21" s="548">
        <v>0</v>
      </c>
      <c r="N21" s="548">
        <v>0</v>
      </c>
      <c r="O21" s="548">
        <v>0</v>
      </c>
      <c r="P21" s="548">
        <v>0</v>
      </c>
      <c r="Q21" s="621">
        <v>0</v>
      </c>
      <c r="R21" s="549">
        <v>0</v>
      </c>
      <c r="T21" s="396">
        <f>'t-1 DUOS'!T21</f>
        <v>1.0055248618784531</v>
      </c>
      <c r="U21" s="397">
        <f>'t-1 DUOS'!U21</f>
        <v>0</v>
      </c>
      <c r="V21" s="397">
        <f>'t-1 DUOS'!V21</f>
        <v>0</v>
      </c>
      <c r="W21" s="397">
        <f>'t-1 DUOS'!W21</f>
        <v>3651496.6607272844</v>
      </c>
      <c r="X21" s="397">
        <f>'t-1 DUOS'!X21</f>
        <v>0</v>
      </c>
      <c r="Y21" s="397">
        <f>'t-1 DUOS'!Y21</f>
        <v>0</v>
      </c>
      <c r="Z21" s="397">
        <f>'t-1 DUOS'!Z21</f>
        <v>3565697.1587428786</v>
      </c>
      <c r="AA21" s="397">
        <f>'t-1 DUOS'!AA21</f>
        <v>5677232.8560057655</v>
      </c>
      <c r="AB21" s="397">
        <f>'t-1 DUOS'!AB21</f>
        <v>0</v>
      </c>
      <c r="AC21" s="397">
        <f>'t-1 DUOS'!AC21</f>
        <v>0</v>
      </c>
      <c r="AD21" s="397">
        <f>'t-1 DUOS'!AD21</f>
        <v>11095.000395241932</v>
      </c>
      <c r="AE21" s="397">
        <f>'t-1 DUOS'!AE21</f>
        <v>3870.844297341459</v>
      </c>
      <c r="AF21" s="397">
        <f>'t-1 DUOS'!AF21</f>
        <v>0</v>
      </c>
      <c r="AG21" s="631">
        <f>'t-1 DUOS'!AG21</f>
        <v>0</v>
      </c>
      <c r="AH21" s="398">
        <f>'t-1 DUOS'!AH21</f>
        <v>0</v>
      </c>
      <c r="AJ21" s="210">
        <f>IF('Prop DUOS'!$E$69="cents",D21/100,D21)*IF('Prop DUOS'!$E$71="day",T21*'Prop DUOS'!$D$74,T21)</f>
        <v>20.002403314917128</v>
      </c>
      <c r="AK21" s="211">
        <f>IF('Prop DUOS'!F$69="cents",E21/100,E21)*U21</f>
        <v>0</v>
      </c>
      <c r="AL21" s="211">
        <f>IF('Prop DUOS'!G$69="cents",F21/100,F21)*V21</f>
        <v>0</v>
      </c>
      <c r="AM21" s="211">
        <f>IF('Prop DUOS'!H$69="cents",G21/100,G21)*W21</f>
        <v>0</v>
      </c>
      <c r="AN21" s="211">
        <f>IF('Prop DUOS'!I$69="cents",H21/100,H21)*X21</f>
        <v>0</v>
      </c>
      <c r="AO21" s="211">
        <f>IF('Prop DUOS'!J$69="cents",I21/100,I21)*Y21</f>
        <v>0</v>
      </c>
      <c r="AP21" s="211">
        <f>IF('Prop DUOS'!K$69="cents",J21/100,J21)*Z21</f>
        <v>0</v>
      </c>
      <c r="AQ21" s="211">
        <f>IF('Prop DUOS'!L$69="cents",K21/100,K21)*AA21</f>
        <v>0</v>
      </c>
      <c r="AR21" s="211">
        <f>IF('Prop DUOS'!M$69="cents",L21/100,L21)*AB21</f>
        <v>0</v>
      </c>
      <c r="AS21" s="211">
        <f>IF('Prop DUOS'!N$69="cents",M21/100,M21)*AC21</f>
        <v>0</v>
      </c>
      <c r="AT21" s="211">
        <f>IF('Prop DUOS'!O$69="cents",N21/100,N21)*IF('Prop DUOS'!O$71="day",AD21*'Prop DUOS'!$D$74,IF('Prop DUOS'!O$71="month",AD21*12,AD21))</f>
        <v>0</v>
      </c>
      <c r="AU21" s="211">
        <f>IF('Prop DUOS'!P$69="cents",O21/100,O21)*IF('Prop DUOS'!P$71="day",AE21*'Prop DUOS'!$D$74,IF('Prop DUOS'!P$71="month",AE21*12,AE21))</f>
        <v>0</v>
      </c>
      <c r="AV21" s="211">
        <f>IF('Prop DUOS'!Q$69="cents",P21/100,P21)*IF('Prop DUOS'!Q$71="day",AF21*'Prop DUOS'!$D$74,IF('Prop DUOS'!Q$71="month",AF21*12,AF21))</f>
        <v>0</v>
      </c>
      <c r="AW21" s="211">
        <f>IF('Prop DUOS'!R$69="cents",Q21/100,Q21)*IF('Prop DUOS'!R$71="day",AG21*'Prop DUOS'!$D$74,IF('Prop DUOS'!R$71="month",AG21*12,AG21))</f>
        <v>0</v>
      </c>
      <c r="AX21" s="211">
        <f>IF('Prop DUOS'!S$69="cents",R21/100,R21)*IF('Prop DUOS'!S$71="day",AH21*'Prop DUOS'!$D$74,IF('Prop DUOS'!S$71="month",AH21*12,AH21))</f>
        <v>0</v>
      </c>
      <c r="AY21" s="166">
        <f t="shared" si="0"/>
        <v>20.002403314917128</v>
      </c>
      <c r="BA21" s="87"/>
      <c r="BB21" s="87"/>
    </row>
    <row r="22" spans="2:54" s="158" customFormat="1">
      <c r="B22" s="360" t="str">
        <f>IF('t-1 DUOS'!B22="","",'t-1 TUOS'!B22)</f>
        <v>TOD</v>
      </c>
      <c r="C22" s="220"/>
      <c r="D22" s="547">
        <v>5.45</v>
      </c>
      <c r="E22" s="548">
        <v>0</v>
      </c>
      <c r="F22" s="548">
        <v>0</v>
      </c>
      <c r="G22" s="548">
        <v>0</v>
      </c>
      <c r="H22" s="548">
        <v>0</v>
      </c>
      <c r="I22" s="548">
        <v>0</v>
      </c>
      <c r="J22" s="548">
        <v>0</v>
      </c>
      <c r="K22" s="548">
        <v>0</v>
      </c>
      <c r="L22" s="548">
        <v>0</v>
      </c>
      <c r="M22" s="548">
        <v>0</v>
      </c>
      <c r="N22" s="548">
        <v>0</v>
      </c>
      <c r="O22" s="548">
        <v>0</v>
      </c>
      <c r="P22" s="548">
        <v>0</v>
      </c>
      <c r="Q22" s="621">
        <v>0</v>
      </c>
      <c r="R22" s="549">
        <v>0</v>
      </c>
      <c r="T22" s="396">
        <f>'t-1 DUOS'!T22</f>
        <v>43126.366144657382</v>
      </c>
      <c r="U22" s="397">
        <f>'t-1 DUOS'!U22</f>
        <v>0</v>
      </c>
      <c r="V22" s="397">
        <f>'t-1 DUOS'!V22</f>
        <v>7925776.4394278461</v>
      </c>
      <c r="W22" s="397">
        <f>'t-1 DUOS'!W22</f>
        <v>13849969.816743661</v>
      </c>
      <c r="X22" s="397">
        <f>'t-1 DUOS'!X22</f>
        <v>0</v>
      </c>
      <c r="Y22" s="397">
        <f>'t-1 DUOS'!Y22</f>
        <v>0</v>
      </c>
      <c r="Z22" s="397">
        <f>'t-1 DUOS'!Z22</f>
        <v>17976843.687074248</v>
      </c>
      <c r="AA22" s="397">
        <f>'t-1 DUOS'!AA22</f>
        <v>53726166.128976628</v>
      </c>
      <c r="AB22" s="397">
        <f>'t-1 DUOS'!AB22</f>
        <v>10287419.108887965</v>
      </c>
      <c r="AC22" s="397">
        <f>'t-1 DUOS'!AC22</f>
        <v>0</v>
      </c>
      <c r="AD22" s="397">
        <f>'t-1 DUOS'!AD22</f>
        <v>0</v>
      </c>
      <c r="AE22" s="397">
        <f>'t-1 DUOS'!AE22</f>
        <v>0</v>
      </c>
      <c r="AF22" s="397">
        <f>'t-1 DUOS'!AF22</f>
        <v>0</v>
      </c>
      <c r="AG22" s="631">
        <f>'t-1 DUOS'!AG22</f>
        <v>0</v>
      </c>
      <c r="AH22" s="398">
        <f>'t-1 DUOS'!AH22</f>
        <v>0</v>
      </c>
      <c r="AJ22" s="210">
        <f>IF('Prop DUOS'!$E$69="cents",D22/100,D22)*IF('Prop DUOS'!$E$71="day",T22*'Prop DUOS'!$D$74,T22)</f>
        <v>857891.23853259697</v>
      </c>
      <c r="AK22" s="211">
        <f>IF('Prop DUOS'!F$69="cents",E22/100,E22)*U22</f>
        <v>0</v>
      </c>
      <c r="AL22" s="211">
        <f>IF('Prop DUOS'!G$69="cents",F22/100,F22)*V22</f>
        <v>0</v>
      </c>
      <c r="AM22" s="211">
        <f>IF('Prop DUOS'!H$69="cents",G22/100,G22)*W22</f>
        <v>0</v>
      </c>
      <c r="AN22" s="211">
        <f>IF('Prop DUOS'!I$69="cents",H22/100,H22)*X22</f>
        <v>0</v>
      </c>
      <c r="AO22" s="211">
        <f>IF('Prop DUOS'!J$69="cents",I22/100,I22)*Y22</f>
        <v>0</v>
      </c>
      <c r="AP22" s="211">
        <f>IF('Prop DUOS'!K$69="cents",J22/100,J22)*Z22</f>
        <v>0</v>
      </c>
      <c r="AQ22" s="211">
        <f>IF('Prop DUOS'!L$69="cents",K22/100,K22)*AA22</f>
        <v>0</v>
      </c>
      <c r="AR22" s="211">
        <f>IF('Prop DUOS'!M$69="cents",L22/100,L22)*AB22</f>
        <v>0</v>
      </c>
      <c r="AS22" s="211">
        <f>IF('Prop DUOS'!N$69="cents",M22/100,M22)*AC22</f>
        <v>0</v>
      </c>
      <c r="AT22" s="211">
        <f>IF('Prop DUOS'!O$69="cents",N22/100,N22)*IF('Prop DUOS'!O$71="day",AD22*'Prop DUOS'!$D$74,IF('Prop DUOS'!O$71="month",AD22*12,AD22))</f>
        <v>0</v>
      </c>
      <c r="AU22" s="211">
        <f>IF('Prop DUOS'!P$69="cents",O22/100,O22)*IF('Prop DUOS'!P$71="day",AE22*'Prop DUOS'!$D$74,IF('Prop DUOS'!P$71="month",AE22*12,AE22))</f>
        <v>0</v>
      </c>
      <c r="AV22" s="211">
        <f>IF('Prop DUOS'!Q$69="cents",P22/100,P22)*IF('Prop DUOS'!Q$71="day",AF22*'Prop DUOS'!$D$74,IF('Prop DUOS'!Q$71="month",AF22*12,AF22))</f>
        <v>0</v>
      </c>
      <c r="AW22" s="211">
        <f>IF('Prop DUOS'!R$69="cents",Q22/100,Q22)*IF('Prop DUOS'!R$71="day",AG22*'Prop DUOS'!$D$74,IF('Prop DUOS'!R$71="month",AG22*12,AG22))</f>
        <v>0</v>
      </c>
      <c r="AX22" s="211">
        <f>IF('Prop DUOS'!S$69="cents",R22/100,R22)*IF('Prop DUOS'!S$71="day",AH22*'Prop DUOS'!$D$74,IF('Prop DUOS'!S$71="month",AH22*12,AH22))</f>
        <v>0</v>
      </c>
      <c r="AY22" s="166">
        <f t="shared" si="0"/>
        <v>857891.23853259697</v>
      </c>
      <c r="BA22" s="87"/>
      <c r="BB22" s="87"/>
    </row>
    <row r="23" spans="2:54" s="158" customFormat="1">
      <c r="B23" s="360" t="str">
        <f>IF('t-1 DUOS'!B23="","",'t-1 TUOS'!B23)</f>
        <v>TOD9</v>
      </c>
      <c r="C23" s="220"/>
      <c r="D23" s="547">
        <v>5.45</v>
      </c>
      <c r="E23" s="548">
        <v>0</v>
      </c>
      <c r="F23" s="548">
        <v>0</v>
      </c>
      <c r="G23" s="548">
        <v>0</v>
      </c>
      <c r="H23" s="548">
        <v>0</v>
      </c>
      <c r="I23" s="548">
        <v>0</v>
      </c>
      <c r="J23" s="548">
        <v>0</v>
      </c>
      <c r="K23" s="548">
        <v>0</v>
      </c>
      <c r="L23" s="548">
        <v>0</v>
      </c>
      <c r="M23" s="548">
        <v>0</v>
      </c>
      <c r="N23" s="548">
        <v>0</v>
      </c>
      <c r="O23" s="548">
        <v>0</v>
      </c>
      <c r="P23" s="548">
        <v>0</v>
      </c>
      <c r="Q23" s="621">
        <v>0</v>
      </c>
      <c r="R23" s="549">
        <v>0</v>
      </c>
      <c r="T23" s="396">
        <f>'t-1 DUOS'!T23</f>
        <v>3576.347590822535</v>
      </c>
      <c r="U23" s="397">
        <f>'t-1 DUOS'!U23</f>
        <v>0</v>
      </c>
      <c r="V23" s="397">
        <f>'t-1 DUOS'!V23</f>
        <v>491043.64741557912</v>
      </c>
      <c r="W23" s="397">
        <f>'t-1 DUOS'!W23</f>
        <v>728361.14647642965</v>
      </c>
      <c r="X23" s="397">
        <f>'t-1 DUOS'!X23</f>
        <v>0</v>
      </c>
      <c r="Y23" s="397">
        <f>'t-1 DUOS'!Y23</f>
        <v>0</v>
      </c>
      <c r="Z23" s="397">
        <f>'t-1 DUOS'!Z23</f>
        <v>1122233.5696906063</v>
      </c>
      <c r="AA23" s="397">
        <f>'t-1 DUOS'!AA23</f>
        <v>5007878.7734459853</v>
      </c>
      <c r="AB23" s="397">
        <f>'t-1 DUOS'!AB23</f>
        <v>756583.00553091592</v>
      </c>
      <c r="AC23" s="397">
        <f>'t-1 DUOS'!AC23</f>
        <v>0</v>
      </c>
      <c r="AD23" s="397">
        <f>'t-1 DUOS'!AD23</f>
        <v>0</v>
      </c>
      <c r="AE23" s="397">
        <f>'t-1 DUOS'!AE23</f>
        <v>0</v>
      </c>
      <c r="AF23" s="397">
        <f>'t-1 DUOS'!AF23</f>
        <v>0</v>
      </c>
      <c r="AG23" s="631">
        <f>'t-1 DUOS'!AG23</f>
        <v>0</v>
      </c>
      <c r="AH23" s="398">
        <f>'t-1 DUOS'!AH23</f>
        <v>0</v>
      </c>
      <c r="AJ23" s="210">
        <f>IF('Prop DUOS'!$E$69="cents",D23/100,D23)*IF('Prop DUOS'!$E$71="day",T23*'Prop DUOS'!$D$74,T23)</f>
        <v>71142.494450437283</v>
      </c>
      <c r="AK23" s="211">
        <f>IF('Prop DUOS'!F$69="cents",E23/100,E23)*U23</f>
        <v>0</v>
      </c>
      <c r="AL23" s="211">
        <f>IF('Prop DUOS'!G$69="cents",F23/100,F23)*V23</f>
        <v>0</v>
      </c>
      <c r="AM23" s="211">
        <f>IF('Prop DUOS'!H$69="cents",G23/100,G23)*W23</f>
        <v>0</v>
      </c>
      <c r="AN23" s="211">
        <f>IF('Prop DUOS'!I$69="cents",H23/100,H23)*X23</f>
        <v>0</v>
      </c>
      <c r="AO23" s="211">
        <f>IF('Prop DUOS'!J$69="cents",I23/100,I23)*Y23</f>
        <v>0</v>
      </c>
      <c r="AP23" s="211">
        <f>IF('Prop DUOS'!K$69="cents",J23/100,J23)*Z23</f>
        <v>0</v>
      </c>
      <c r="AQ23" s="211">
        <f>IF('Prop DUOS'!L$69="cents",K23/100,K23)*AA23</f>
        <v>0</v>
      </c>
      <c r="AR23" s="211">
        <f>IF('Prop DUOS'!M$69="cents",L23/100,L23)*AB23</f>
        <v>0</v>
      </c>
      <c r="AS23" s="211">
        <f>IF('Prop DUOS'!N$69="cents",M23/100,M23)*AC23</f>
        <v>0</v>
      </c>
      <c r="AT23" s="211">
        <f>IF('Prop DUOS'!O$69="cents",N23/100,N23)*IF('Prop DUOS'!O$71="day",AD23*'Prop DUOS'!$D$74,IF('Prop DUOS'!O$71="month",AD23*12,AD23))</f>
        <v>0</v>
      </c>
      <c r="AU23" s="211">
        <f>IF('Prop DUOS'!P$69="cents",O23/100,O23)*IF('Prop DUOS'!P$71="day",AE23*'Prop DUOS'!$D$74,IF('Prop DUOS'!P$71="month",AE23*12,AE23))</f>
        <v>0</v>
      </c>
      <c r="AV23" s="211">
        <f>IF('Prop DUOS'!Q$69="cents",P23/100,P23)*IF('Prop DUOS'!Q$71="day",AF23*'Prop DUOS'!$D$74,IF('Prop DUOS'!Q$71="month",AF23*12,AF23))</f>
        <v>0</v>
      </c>
      <c r="AW23" s="211">
        <f>IF('Prop DUOS'!R$69="cents",Q23/100,Q23)*IF('Prop DUOS'!R$71="day",AG23*'Prop DUOS'!$D$74,IF('Prop DUOS'!R$71="month",AG23*12,AG23))</f>
        <v>0</v>
      </c>
      <c r="AX23" s="211">
        <f>IF('Prop DUOS'!S$69="cents",R23/100,R23)*IF('Prop DUOS'!S$71="day",AH23*'Prop DUOS'!$D$74,IF('Prop DUOS'!S$71="month",AH23*12,AH23))</f>
        <v>0</v>
      </c>
      <c r="AY23" s="166">
        <f t="shared" si="0"/>
        <v>71142.494450437283</v>
      </c>
      <c r="BA23" s="87"/>
      <c r="BB23" s="87"/>
    </row>
    <row r="24" spans="2:54" s="158" customFormat="1">
      <c r="B24" s="360" t="str">
        <f>IF('t-1 DUOS'!B24="","",'t-1 TUOS'!B24)</f>
        <v>TOU</v>
      </c>
      <c r="C24" s="220"/>
      <c r="D24" s="547">
        <v>5.45</v>
      </c>
      <c r="E24" s="548">
        <v>0</v>
      </c>
      <c r="F24" s="548">
        <v>0</v>
      </c>
      <c r="G24" s="548">
        <v>0</v>
      </c>
      <c r="H24" s="548">
        <v>0</v>
      </c>
      <c r="I24" s="548">
        <v>0</v>
      </c>
      <c r="J24" s="548">
        <v>0</v>
      </c>
      <c r="K24" s="548">
        <v>0</v>
      </c>
      <c r="L24" s="548">
        <v>0</v>
      </c>
      <c r="M24" s="548">
        <v>0</v>
      </c>
      <c r="N24" s="548">
        <v>0</v>
      </c>
      <c r="O24" s="548">
        <v>0</v>
      </c>
      <c r="P24" s="548">
        <v>0</v>
      </c>
      <c r="Q24" s="621">
        <v>0</v>
      </c>
      <c r="R24" s="549">
        <v>0</v>
      </c>
      <c r="T24" s="396">
        <f>'t-1 DUOS'!T24</f>
        <v>806.40004973263763</v>
      </c>
      <c r="U24" s="397">
        <f>'t-1 DUOS'!U24</f>
        <v>0</v>
      </c>
      <c r="V24" s="397">
        <f>'t-1 DUOS'!V24</f>
        <v>0</v>
      </c>
      <c r="W24" s="397">
        <f>'t-1 DUOS'!W24</f>
        <v>2976666.4033114938</v>
      </c>
      <c r="X24" s="397">
        <f>'t-1 DUOS'!X24</f>
        <v>0</v>
      </c>
      <c r="Y24" s="397">
        <f>'t-1 DUOS'!Y24</f>
        <v>0</v>
      </c>
      <c r="Z24" s="397">
        <f>'t-1 DUOS'!Z24</f>
        <v>3471702.148983431</v>
      </c>
      <c r="AA24" s="397">
        <f>'t-1 DUOS'!AA24</f>
        <v>5305775.5548778065</v>
      </c>
      <c r="AB24" s="397">
        <f>'t-1 DUOS'!AB24</f>
        <v>0</v>
      </c>
      <c r="AC24" s="397">
        <f>'t-1 DUOS'!AC24</f>
        <v>0</v>
      </c>
      <c r="AD24" s="397">
        <f>'t-1 DUOS'!AD24</f>
        <v>0</v>
      </c>
      <c r="AE24" s="397">
        <f>'t-1 DUOS'!AE24</f>
        <v>4009.7071902581765</v>
      </c>
      <c r="AF24" s="397">
        <f>'t-1 DUOS'!AF24</f>
        <v>0</v>
      </c>
      <c r="AG24" s="631">
        <f>'t-1 DUOS'!AG24</f>
        <v>0</v>
      </c>
      <c r="AH24" s="398">
        <f>'t-1 DUOS'!AH24</f>
        <v>0</v>
      </c>
      <c r="AJ24" s="210">
        <f>IF('Prop DUOS'!$E$69="cents",D24/100,D24)*IF('Prop DUOS'!$E$71="day",T24*'Prop DUOS'!$D$74,T24)</f>
        <v>16041.312989306494</v>
      </c>
      <c r="AK24" s="211">
        <f>IF('Prop DUOS'!F$69="cents",E24/100,E24)*U24</f>
        <v>0</v>
      </c>
      <c r="AL24" s="211">
        <f>IF('Prop DUOS'!G$69="cents",F24/100,F24)*V24</f>
        <v>0</v>
      </c>
      <c r="AM24" s="211">
        <f>IF('Prop DUOS'!H$69="cents",G24/100,G24)*W24</f>
        <v>0</v>
      </c>
      <c r="AN24" s="211">
        <f>IF('Prop DUOS'!I$69="cents",H24/100,H24)*X24</f>
        <v>0</v>
      </c>
      <c r="AO24" s="211">
        <f>IF('Prop DUOS'!J$69="cents",I24/100,I24)*Y24</f>
        <v>0</v>
      </c>
      <c r="AP24" s="211">
        <f>IF('Prop DUOS'!K$69="cents",J24/100,J24)*Z24</f>
        <v>0</v>
      </c>
      <c r="AQ24" s="211">
        <f>IF('Prop DUOS'!L$69="cents",K24/100,K24)*AA24</f>
        <v>0</v>
      </c>
      <c r="AR24" s="211">
        <f>IF('Prop DUOS'!M$69="cents",L24/100,L24)*AB24</f>
        <v>0</v>
      </c>
      <c r="AS24" s="211">
        <f>IF('Prop DUOS'!N$69="cents",M24/100,M24)*AC24</f>
        <v>0</v>
      </c>
      <c r="AT24" s="211">
        <f>IF('Prop DUOS'!O$69="cents",N24/100,N24)*IF('Prop DUOS'!O$71="day",AD24*'Prop DUOS'!$D$74,IF('Prop DUOS'!O$71="month",AD24*12,AD24))</f>
        <v>0</v>
      </c>
      <c r="AU24" s="211">
        <f>IF('Prop DUOS'!P$69="cents",O24/100,O24)*IF('Prop DUOS'!P$71="day",AE24*'Prop DUOS'!$D$74,IF('Prop DUOS'!P$71="month",AE24*12,AE24))</f>
        <v>0</v>
      </c>
      <c r="AV24" s="211">
        <f>IF('Prop DUOS'!Q$69="cents",P24/100,P24)*IF('Prop DUOS'!Q$71="day",AF24*'Prop DUOS'!$D$74,IF('Prop DUOS'!Q$71="month",AF24*12,AF24))</f>
        <v>0</v>
      </c>
      <c r="AW24" s="211">
        <f>IF('Prop DUOS'!R$69="cents",Q24/100,Q24)*IF('Prop DUOS'!R$71="day",AG24*'Prop DUOS'!$D$74,IF('Prop DUOS'!R$71="month",AG24*12,AG24))</f>
        <v>0</v>
      </c>
      <c r="AX24" s="211">
        <f>IF('Prop DUOS'!S$69="cents",R24/100,R24)*IF('Prop DUOS'!S$71="day",AH24*'Prop DUOS'!$D$74,IF('Prop DUOS'!S$71="month",AH24*12,AH24))</f>
        <v>0</v>
      </c>
      <c r="AY24" s="166">
        <f t="shared" si="0"/>
        <v>16041.312989306494</v>
      </c>
      <c r="BA24" s="87"/>
      <c r="BB24" s="87"/>
    </row>
    <row r="25" spans="2:54" s="158" customFormat="1">
      <c r="B25" s="360" t="str">
        <f>IF('t-1 DUOS'!B25="","",'t-1 TUOS'!B25)</f>
        <v>TODFLEX</v>
      </c>
      <c r="C25" s="220"/>
      <c r="D25" s="547">
        <v>5.45</v>
      </c>
      <c r="E25" s="548">
        <v>0</v>
      </c>
      <c r="F25" s="548">
        <v>0</v>
      </c>
      <c r="G25" s="548">
        <v>0</v>
      </c>
      <c r="H25" s="548">
        <v>0</v>
      </c>
      <c r="I25" s="548">
        <v>0</v>
      </c>
      <c r="J25" s="548">
        <v>0</v>
      </c>
      <c r="K25" s="548">
        <v>0</v>
      </c>
      <c r="L25" s="548">
        <v>0</v>
      </c>
      <c r="M25" s="548">
        <v>0</v>
      </c>
      <c r="N25" s="548">
        <v>0</v>
      </c>
      <c r="O25" s="548">
        <v>0</v>
      </c>
      <c r="P25" s="548">
        <v>0</v>
      </c>
      <c r="Q25" s="621">
        <v>0</v>
      </c>
      <c r="R25" s="549">
        <v>0</v>
      </c>
      <c r="T25" s="396">
        <f>'t-1 DUOS'!T25</f>
        <v>1904.8926840069166</v>
      </c>
      <c r="U25" s="397">
        <f>'t-1 DUOS'!U25</f>
        <v>0</v>
      </c>
      <c r="V25" s="397">
        <f>'t-1 DUOS'!V25</f>
        <v>962788.32966170495</v>
      </c>
      <c r="W25" s="397">
        <f>'t-1 DUOS'!W25</f>
        <v>469939.90352925833</v>
      </c>
      <c r="X25" s="397">
        <f>'t-1 DUOS'!X25</f>
        <v>0</v>
      </c>
      <c r="Y25" s="397">
        <f>'t-1 DUOS'!Y25</f>
        <v>0</v>
      </c>
      <c r="Z25" s="397">
        <f>'t-1 DUOS'!Z25</f>
        <v>559294.1435940722</v>
      </c>
      <c r="AA25" s="397">
        <f>'t-1 DUOS'!AA25</f>
        <v>1649300.9690260014</v>
      </c>
      <c r="AB25" s="397">
        <f>'t-1 DUOS'!AB25</f>
        <v>1145852.6297862784</v>
      </c>
      <c r="AC25" s="397">
        <f>'t-1 DUOS'!AC25</f>
        <v>0</v>
      </c>
      <c r="AD25" s="397">
        <f>'t-1 DUOS'!AD25</f>
        <v>0</v>
      </c>
      <c r="AE25" s="397">
        <f>'t-1 DUOS'!AE25</f>
        <v>0</v>
      </c>
      <c r="AF25" s="397">
        <f>'t-1 DUOS'!AF25</f>
        <v>0</v>
      </c>
      <c r="AG25" s="631">
        <f>'t-1 DUOS'!AG25</f>
        <v>0</v>
      </c>
      <c r="AH25" s="398">
        <f>'t-1 DUOS'!AH25</f>
        <v>0</v>
      </c>
      <c r="AJ25" s="210">
        <f>IF('Prop DUOS'!$E$69="cents",D25/100,D25)*IF('Prop DUOS'!$E$71="day",T25*'Prop DUOS'!$D$74,T25)</f>
        <v>37893.077716607586</v>
      </c>
      <c r="AK25" s="211">
        <f>IF('Prop DUOS'!F$69="cents",E25/100,E25)*U25</f>
        <v>0</v>
      </c>
      <c r="AL25" s="211">
        <f>IF('Prop DUOS'!G$69="cents",F25/100,F25)*V25</f>
        <v>0</v>
      </c>
      <c r="AM25" s="211">
        <f>IF('Prop DUOS'!H$69="cents",G25/100,G25)*W25</f>
        <v>0</v>
      </c>
      <c r="AN25" s="211">
        <f>IF('Prop DUOS'!I$69="cents",H25/100,H25)*X25</f>
        <v>0</v>
      </c>
      <c r="AO25" s="211">
        <f>IF('Prop DUOS'!J$69="cents",I25/100,I25)*Y25</f>
        <v>0</v>
      </c>
      <c r="AP25" s="211">
        <f>IF('Prop DUOS'!K$69="cents",J25/100,J25)*Z25</f>
        <v>0</v>
      </c>
      <c r="AQ25" s="211">
        <f>IF('Prop DUOS'!L$69="cents",K25/100,K25)*AA25</f>
        <v>0</v>
      </c>
      <c r="AR25" s="211">
        <f>IF('Prop DUOS'!M$69="cents",L25/100,L25)*AB25</f>
        <v>0</v>
      </c>
      <c r="AS25" s="211">
        <f>IF('Prop DUOS'!N$69="cents",M25/100,M25)*AC25</f>
        <v>0</v>
      </c>
      <c r="AT25" s="211">
        <f>IF('Prop DUOS'!O$69="cents",N25/100,N25)*IF('Prop DUOS'!O$71="day",AD25*'Prop DUOS'!$D$74,IF('Prop DUOS'!O$71="month",AD25*12,AD25))</f>
        <v>0</v>
      </c>
      <c r="AU25" s="211">
        <f>IF('Prop DUOS'!P$69="cents",O25/100,O25)*IF('Prop DUOS'!P$71="day",AE25*'Prop DUOS'!$D$74,IF('Prop DUOS'!P$71="month",AE25*12,AE25))</f>
        <v>0</v>
      </c>
      <c r="AV25" s="211">
        <f>IF('Prop DUOS'!Q$69="cents",P25/100,P25)*IF('Prop DUOS'!Q$71="day",AF25*'Prop DUOS'!$D$74,IF('Prop DUOS'!Q$71="month",AF25*12,AF25))</f>
        <v>0</v>
      </c>
      <c r="AW25" s="211">
        <f>IF('Prop DUOS'!R$69="cents",Q25/100,Q25)*IF('Prop DUOS'!R$71="day",AG25*'Prop DUOS'!$D$74,IF('Prop DUOS'!R$71="month",AG25*12,AG25))</f>
        <v>0</v>
      </c>
      <c r="AX25" s="211">
        <f>IF('Prop DUOS'!S$69="cents",R25/100,R25)*IF('Prop DUOS'!S$71="day",AH25*'Prop DUOS'!$D$74,IF('Prop DUOS'!S$71="month",AH25*12,AH25))</f>
        <v>0</v>
      </c>
      <c r="AY25" s="166">
        <f t="shared" si="0"/>
        <v>37893.077716607586</v>
      </c>
      <c r="BA25" s="87"/>
      <c r="BB25" s="87"/>
    </row>
    <row r="26" spans="2:54" s="158" customFormat="1">
      <c r="B26" s="360" t="str">
        <f>IF('t-1 DUOS'!B26="","",'t-1 TUOS'!B26)</f>
        <v>Low Voltage KW 1 rate</v>
      </c>
      <c r="C26" s="220"/>
      <c r="D26" s="547">
        <v>5.45</v>
      </c>
      <c r="E26" s="548">
        <v>0</v>
      </c>
      <c r="F26" s="548">
        <v>0</v>
      </c>
      <c r="G26" s="548">
        <v>0</v>
      </c>
      <c r="H26" s="548">
        <v>0</v>
      </c>
      <c r="I26" s="548">
        <v>0</v>
      </c>
      <c r="J26" s="548">
        <v>0</v>
      </c>
      <c r="K26" s="548">
        <v>0</v>
      </c>
      <c r="L26" s="548">
        <v>0</v>
      </c>
      <c r="M26" s="548">
        <v>0</v>
      </c>
      <c r="N26" s="548">
        <v>0</v>
      </c>
      <c r="O26" s="548">
        <v>0</v>
      </c>
      <c r="P26" s="548">
        <v>0</v>
      </c>
      <c r="Q26" s="621">
        <v>0</v>
      </c>
      <c r="R26" s="549">
        <v>0</v>
      </c>
      <c r="T26" s="396">
        <f>'t-1 DUOS'!T26</f>
        <v>1283.402497978135</v>
      </c>
      <c r="U26" s="397">
        <f>'t-1 DUOS'!U26</f>
        <v>0</v>
      </c>
      <c r="V26" s="397">
        <f>'t-1 DUOS'!V26</f>
        <v>0</v>
      </c>
      <c r="W26" s="397">
        <f>'t-1 DUOS'!W26</f>
        <v>1074328.9221458738</v>
      </c>
      <c r="X26" s="397">
        <f>'t-1 DUOS'!X26</f>
        <v>0</v>
      </c>
      <c r="Y26" s="397">
        <f>'t-1 DUOS'!Y26</f>
        <v>0</v>
      </c>
      <c r="Z26" s="397">
        <f>'t-1 DUOS'!Z26</f>
        <v>1330078.9206657561</v>
      </c>
      <c r="AA26" s="397">
        <f>'t-1 DUOS'!AA26</f>
        <v>0</v>
      </c>
      <c r="AB26" s="397">
        <f>'t-1 DUOS'!AB26</f>
        <v>0</v>
      </c>
      <c r="AC26" s="397">
        <f>'t-1 DUOS'!AC26</f>
        <v>0</v>
      </c>
      <c r="AD26" s="397">
        <f>'t-1 DUOS'!AD26</f>
        <v>0</v>
      </c>
      <c r="AE26" s="397">
        <f>'t-1 DUOS'!AE26</f>
        <v>0</v>
      </c>
      <c r="AF26" s="397">
        <f>'t-1 DUOS'!AF26</f>
        <v>1013.2647274553807</v>
      </c>
      <c r="AG26" s="631">
        <f>'t-1 DUOS'!AG26</f>
        <v>925.07534651576327</v>
      </c>
      <c r="AH26" s="398">
        <f>'t-1 DUOS'!AH26</f>
        <v>0</v>
      </c>
      <c r="AJ26" s="210">
        <f>IF('Prop DUOS'!$E$69="cents",D26/100,D26)*IF('Prop DUOS'!$E$71="day",T26*'Prop DUOS'!$D$74,T26)</f>
        <v>25530.084191030051</v>
      </c>
      <c r="AK26" s="211">
        <f>IF('Prop DUOS'!F$69="cents",E26/100,E26)*U26</f>
        <v>0</v>
      </c>
      <c r="AL26" s="211">
        <f>IF('Prop DUOS'!G$69="cents",F26/100,F26)*V26</f>
        <v>0</v>
      </c>
      <c r="AM26" s="211">
        <f>IF('Prop DUOS'!H$69="cents",G26/100,G26)*W26</f>
        <v>0</v>
      </c>
      <c r="AN26" s="211">
        <f>IF('Prop DUOS'!I$69="cents",H26/100,H26)*X26</f>
        <v>0</v>
      </c>
      <c r="AO26" s="211">
        <f>IF('Prop DUOS'!J$69="cents",I26/100,I26)*Y26</f>
        <v>0</v>
      </c>
      <c r="AP26" s="211">
        <f>IF('Prop DUOS'!K$69="cents",J26/100,J26)*Z26</f>
        <v>0</v>
      </c>
      <c r="AQ26" s="211">
        <f>IF('Prop DUOS'!L$69="cents",K26/100,K26)*AA26</f>
        <v>0</v>
      </c>
      <c r="AR26" s="211">
        <f>IF('Prop DUOS'!M$69="cents",L26/100,L26)*AB26</f>
        <v>0</v>
      </c>
      <c r="AS26" s="211">
        <f>IF('Prop DUOS'!N$69="cents",M26/100,M26)*AC26</f>
        <v>0</v>
      </c>
      <c r="AT26" s="211">
        <f>IF('Prop DUOS'!O$69="cents",N26/100,N26)*IF('Prop DUOS'!O$71="day",AD26*'Prop DUOS'!$D$74,IF('Prop DUOS'!O$71="month",AD26*12,AD26))</f>
        <v>0</v>
      </c>
      <c r="AU26" s="211">
        <f>IF('Prop DUOS'!P$69="cents",O26/100,O26)*IF('Prop DUOS'!P$71="day",AE26*'Prop DUOS'!$D$74,IF('Prop DUOS'!P$71="month",AE26*12,AE26))</f>
        <v>0</v>
      </c>
      <c r="AV26" s="211">
        <f>IF('Prop DUOS'!Q$69="cents",P26/100,P26)*IF('Prop DUOS'!Q$71="day",AF26*'Prop DUOS'!$D$74,IF('Prop DUOS'!Q$71="month",AF26*12,AF26))</f>
        <v>0</v>
      </c>
      <c r="AW26" s="211">
        <f>IF('Prop DUOS'!R$69="cents",Q26/100,Q26)*IF('Prop DUOS'!R$71="day",AG26*'Prop DUOS'!$D$74,IF('Prop DUOS'!R$71="month",AG26*12,AG26))</f>
        <v>0</v>
      </c>
      <c r="AX26" s="211">
        <f>IF('Prop DUOS'!S$69="cents",R26/100,R26)*IF('Prop DUOS'!S$71="day",AH26*'Prop DUOS'!$D$74,IF('Prop DUOS'!S$71="month",AH26*12,AH26))</f>
        <v>0</v>
      </c>
      <c r="AY26" s="166">
        <f t="shared" si="0"/>
        <v>25530.084191030051</v>
      </c>
      <c r="BA26" s="87"/>
      <c r="BB26" s="87"/>
    </row>
    <row r="27" spans="2:54" s="158" customFormat="1">
      <c r="B27" s="360" t="str">
        <f>IF('t-1 DUOS'!B27="","",'t-1 TUOS'!B27)</f>
        <v>Low voltage medium KW time of use (opt-in)</v>
      </c>
      <c r="C27" s="220"/>
      <c r="D27" s="547">
        <v>5.45</v>
      </c>
      <c r="E27" s="548">
        <v>0</v>
      </c>
      <c r="F27" s="548">
        <v>0</v>
      </c>
      <c r="G27" s="548">
        <v>0</v>
      </c>
      <c r="H27" s="548">
        <v>0</v>
      </c>
      <c r="I27" s="548">
        <v>0</v>
      </c>
      <c r="J27" s="548">
        <v>0</v>
      </c>
      <c r="K27" s="548">
        <v>0</v>
      </c>
      <c r="L27" s="548">
        <v>0</v>
      </c>
      <c r="M27" s="548">
        <v>0</v>
      </c>
      <c r="N27" s="548">
        <v>0</v>
      </c>
      <c r="O27" s="548">
        <v>0</v>
      </c>
      <c r="P27" s="548">
        <v>0</v>
      </c>
      <c r="Q27" s="621">
        <v>0</v>
      </c>
      <c r="R27" s="549">
        <v>0</v>
      </c>
      <c r="T27" s="396">
        <f>'t-1 DUOS'!T27</f>
        <v>0</v>
      </c>
      <c r="U27" s="397">
        <f>'t-1 DUOS'!U27</f>
        <v>0</v>
      </c>
      <c r="V27" s="397">
        <f>'t-1 DUOS'!V27</f>
        <v>0</v>
      </c>
      <c r="W27" s="397">
        <f>'t-1 DUOS'!W27</f>
        <v>0</v>
      </c>
      <c r="X27" s="397">
        <f>'t-1 DUOS'!X27</f>
        <v>0</v>
      </c>
      <c r="Y27" s="397">
        <f>'t-1 DUOS'!Y27</f>
        <v>0</v>
      </c>
      <c r="Z27" s="397">
        <f>'t-1 DUOS'!Z27</f>
        <v>0</v>
      </c>
      <c r="AA27" s="397">
        <f>'t-1 DUOS'!AA27</f>
        <v>0</v>
      </c>
      <c r="AB27" s="397">
        <f>'t-1 DUOS'!AB27</f>
        <v>0</v>
      </c>
      <c r="AC27" s="397">
        <f>'t-1 DUOS'!AC27</f>
        <v>0</v>
      </c>
      <c r="AD27" s="397">
        <f>'t-1 DUOS'!AD27</f>
        <v>0</v>
      </c>
      <c r="AE27" s="397">
        <f>'t-1 DUOS'!AE27</f>
        <v>0</v>
      </c>
      <c r="AF27" s="397">
        <f>'t-1 DUOS'!AF27</f>
        <v>0</v>
      </c>
      <c r="AG27" s="631">
        <f>'t-1 DUOS'!AG27</f>
        <v>0</v>
      </c>
      <c r="AH27" s="398">
        <f>'t-1 DUOS'!AH27</f>
        <v>0</v>
      </c>
      <c r="AJ27" s="210">
        <f>IF('Prop DUOS'!$E$69="cents",D27/100,D27)*IF('Prop DUOS'!$E$71="day",T27*'Prop DUOS'!$D$74,T27)</f>
        <v>0</v>
      </c>
      <c r="AK27" s="211">
        <f>IF('Prop DUOS'!F$69="cents",E27/100,E27)*U27</f>
        <v>0</v>
      </c>
      <c r="AL27" s="211">
        <f>IF('Prop DUOS'!G$69="cents",F27/100,F27)*V27</f>
        <v>0</v>
      </c>
      <c r="AM27" s="211">
        <f>IF('Prop DUOS'!H$69="cents",G27/100,G27)*W27</f>
        <v>0</v>
      </c>
      <c r="AN27" s="211">
        <f>IF('Prop DUOS'!I$69="cents",H27/100,H27)*X27</f>
        <v>0</v>
      </c>
      <c r="AO27" s="211">
        <f>IF('Prop DUOS'!J$69="cents",I27/100,I27)*Y27</f>
        <v>0</v>
      </c>
      <c r="AP27" s="211">
        <f>IF('Prop DUOS'!K$69="cents",J27/100,J27)*Z27</f>
        <v>0</v>
      </c>
      <c r="AQ27" s="211">
        <f>IF('Prop DUOS'!L$69="cents",K27/100,K27)*AA27</f>
        <v>0</v>
      </c>
      <c r="AR27" s="211">
        <f>IF('Prop DUOS'!M$69="cents",L27/100,L27)*AB27</f>
        <v>0</v>
      </c>
      <c r="AS27" s="211">
        <f>IF('Prop DUOS'!N$69="cents",M27/100,M27)*AC27</f>
        <v>0</v>
      </c>
      <c r="AT27" s="211">
        <f>IF('Prop DUOS'!O$69="cents",N27/100,N27)*IF('Prop DUOS'!O$71="day",AD27*'Prop DUOS'!$D$74,IF('Prop DUOS'!O$71="month",AD27*12,AD27))</f>
        <v>0</v>
      </c>
      <c r="AU27" s="211">
        <f>IF('Prop DUOS'!P$69="cents",O27/100,O27)*IF('Prop DUOS'!P$71="day",AE27*'Prop DUOS'!$D$74,IF('Prop DUOS'!P$71="month",AE27*12,AE27))</f>
        <v>0</v>
      </c>
      <c r="AV27" s="211">
        <f>IF('Prop DUOS'!Q$69="cents",P27/100,P27)*IF('Prop DUOS'!Q$71="day",AF27*'Prop DUOS'!$D$74,IF('Prop DUOS'!Q$71="month",AF27*12,AF27))</f>
        <v>0</v>
      </c>
      <c r="AW27" s="211">
        <f>IF('Prop DUOS'!R$69="cents",Q27/100,Q27)*IF('Prop DUOS'!R$71="day",AG27*'Prop DUOS'!$D$74,IF('Prop DUOS'!R$71="month",AG27*12,AG27))</f>
        <v>0</v>
      </c>
      <c r="AX27" s="211">
        <f>IF('Prop DUOS'!S$69="cents",R27/100,R27)*IF('Prop DUOS'!S$71="day",AH27*'Prop DUOS'!$D$74,IF('Prop DUOS'!S$71="month",AH27*12,AH27))</f>
        <v>0</v>
      </c>
      <c r="AY27" s="166">
        <f t="shared" si="0"/>
        <v>0</v>
      </c>
      <c r="BA27" s="87"/>
      <c r="BB27" s="87"/>
    </row>
    <row r="28" spans="2:54" s="158" customFormat="1">
      <c r="B28" s="360" t="str">
        <f>IF('t-1 DUOS'!B28="","",'t-1 TUOS'!B28)</f>
        <v>Low voltage medium KW 1 rate (mandatory)</v>
      </c>
      <c r="C28" s="220"/>
      <c r="D28" s="547">
        <v>5.45</v>
      </c>
      <c r="E28" s="548">
        <v>0</v>
      </c>
      <c r="F28" s="548">
        <v>0</v>
      </c>
      <c r="G28" s="548">
        <v>0</v>
      </c>
      <c r="H28" s="548">
        <v>0</v>
      </c>
      <c r="I28" s="548">
        <v>0</v>
      </c>
      <c r="J28" s="548">
        <v>0</v>
      </c>
      <c r="K28" s="548">
        <v>0</v>
      </c>
      <c r="L28" s="548">
        <v>0</v>
      </c>
      <c r="M28" s="548">
        <v>0</v>
      </c>
      <c r="N28" s="548">
        <v>0</v>
      </c>
      <c r="O28" s="548">
        <v>0</v>
      </c>
      <c r="P28" s="548">
        <v>0</v>
      </c>
      <c r="Q28" s="621">
        <v>0</v>
      </c>
      <c r="R28" s="549">
        <v>0</v>
      </c>
      <c r="T28" s="396">
        <f>'t-1 DUOS'!T28</f>
        <v>7207.5756306128078</v>
      </c>
      <c r="U28" s="397">
        <f>'t-1 DUOS'!U28</f>
        <v>0</v>
      </c>
      <c r="V28" s="397">
        <f>'t-1 DUOS'!V28</f>
        <v>0</v>
      </c>
      <c r="W28" s="397">
        <f>'t-1 DUOS'!W28</f>
        <v>151770514.66848737</v>
      </c>
      <c r="X28" s="397">
        <f>'t-1 DUOS'!X28</f>
        <v>0</v>
      </c>
      <c r="Y28" s="397">
        <f>'t-1 DUOS'!Y28</f>
        <v>0</v>
      </c>
      <c r="Z28" s="397">
        <f>'t-1 DUOS'!Z28</f>
        <v>145426678.6899901</v>
      </c>
      <c r="AA28" s="397">
        <f>'t-1 DUOS'!AA28</f>
        <v>0</v>
      </c>
      <c r="AB28" s="397">
        <f>'t-1 DUOS'!AB28</f>
        <v>0</v>
      </c>
      <c r="AC28" s="397">
        <f>'t-1 DUOS'!AC28</f>
        <v>0</v>
      </c>
      <c r="AD28" s="397">
        <f>'t-1 DUOS'!AD28</f>
        <v>0</v>
      </c>
      <c r="AE28" s="397">
        <f>'t-1 DUOS'!AE28</f>
        <v>0</v>
      </c>
      <c r="AF28" s="397">
        <f>'t-1 DUOS'!AF28</f>
        <v>111196.03700289429</v>
      </c>
      <c r="AG28" s="631">
        <f>'t-1 DUOS'!AG28</f>
        <v>99878.232998803694</v>
      </c>
      <c r="AH28" s="398">
        <f>'t-1 DUOS'!AH28</f>
        <v>0</v>
      </c>
      <c r="AJ28" s="210">
        <f>IF('Prop DUOS'!$E$69="cents",D28/100,D28)*IF('Prop DUOS'!$E$71="day",T28*'Prop DUOS'!$D$74,T28)</f>
        <v>143376.69823196527</v>
      </c>
      <c r="AK28" s="211">
        <f>IF('Prop DUOS'!F$69="cents",E28/100,E28)*U28</f>
        <v>0</v>
      </c>
      <c r="AL28" s="211">
        <f>IF('Prop DUOS'!G$69="cents",F28/100,F28)*V28</f>
        <v>0</v>
      </c>
      <c r="AM28" s="211">
        <f>IF('Prop DUOS'!H$69="cents",G28/100,G28)*W28</f>
        <v>0</v>
      </c>
      <c r="AN28" s="211">
        <f>IF('Prop DUOS'!I$69="cents",H28/100,H28)*X28</f>
        <v>0</v>
      </c>
      <c r="AO28" s="211">
        <f>IF('Prop DUOS'!J$69="cents",I28/100,I28)*Y28</f>
        <v>0</v>
      </c>
      <c r="AP28" s="211">
        <f>IF('Prop DUOS'!K$69="cents",J28/100,J28)*Z28</f>
        <v>0</v>
      </c>
      <c r="AQ28" s="211">
        <f>IF('Prop DUOS'!L$69="cents",K28/100,K28)*AA28</f>
        <v>0</v>
      </c>
      <c r="AR28" s="211">
        <f>IF('Prop DUOS'!M$69="cents",L28/100,L28)*AB28</f>
        <v>0</v>
      </c>
      <c r="AS28" s="211">
        <f>IF('Prop DUOS'!N$69="cents",M28/100,M28)*AC28</f>
        <v>0</v>
      </c>
      <c r="AT28" s="211">
        <f>IF('Prop DUOS'!O$69="cents",N28/100,N28)*IF('Prop DUOS'!O$71="day",AD28*'Prop DUOS'!$D$74,IF('Prop DUOS'!O$71="month",AD28*12,AD28))</f>
        <v>0</v>
      </c>
      <c r="AU28" s="211">
        <f>IF('Prop DUOS'!P$69="cents",O28/100,O28)*IF('Prop DUOS'!P$71="day",AE28*'Prop DUOS'!$D$74,IF('Prop DUOS'!P$71="month",AE28*12,AE28))</f>
        <v>0</v>
      </c>
      <c r="AV28" s="211">
        <f>IF('Prop DUOS'!Q$69="cents",P28/100,P28)*IF('Prop DUOS'!Q$71="day",AF28*'Prop DUOS'!$D$74,IF('Prop DUOS'!Q$71="month",AF28*12,AF28))</f>
        <v>0</v>
      </c>
      <c r="AW28" s="211">
        <f>IF('Prop DUOS'!R$69="cents",Q28/100,Q28)*IF('Prop DUOS'!R$71="day",AG28*'Prop DUOS'!$D$74,IF('Prop DUOS'!R$71="month",AG28*12,AG28))</f>
        <v>0</v>
      </c>
      <c r="AX28" s="211">
        <f>IF('Prop DUOS'!S$69="cents",R28/100,R28)*IF('Prop DUOS'!S$71="day",AH28*'Prop DUOS'!$D$74,IF('Prop DUOS'!S$71="month",AH28*12,AH28))</f>
        <v>0</v>
      </c>
      <c r="AY28" s="166">
        <f t="shared" si="0"/>
        <v>143376.69823196527</v>
      </c>
      <c r="BA28" s="87"/>
      <c r="BB28" s="87"/>
    </row>
    <row r="29" spans="2:54" s="158" customFormat="1">
      <c r="B29" s="360" t="str">
        <f>IF('t-1 DUOS'!B29="","",'t-1 TUOS'!B29)</f>
        <v/>
      </c>
      <c r="C29" s="220"/>
      <c r="D29" s="547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621"/>
      <c r="R29" s="549"/>
      <c r="T29" s="396">
        <f>'t-1 DUOS'!T29</f>
        <v>0</v>
      </c>
      <c r="U29" s="397">
        <f>'t-1 DUOS'!U29</f>
        <v>0</v>
      </c>
      <c r="V29" s="397">
        <f>'t-1 DUOS'!V29</f>
        <v>0</v>
      </c>
      <c r="W29" s="397">
        <f>'t-1 DUOS'!W29</f>
        <v>0</v>
      </c>
      <c r="X29" s="397">
        <f>'t-1 DUOS'!X29</f>
        <v>0</v>
      </c>
      <c r="Y29" s="397">
        <f>'t-1 DUOS'!Y29</f>
        <v>0</v>
      </c>
      <c r="Z29" s="397">
        <f>'t-1 DUOS'!Z29</f>
        <v>0</v>
      </c>
      <c r="AA29" s="397">
        <f>'t-1 DUOS'!AA29</f>
        <v>0</v>
      </c>
      <c r="AB29" s="397">
        <f>'t-1 DUOS'!AB29</f>
        <v>0</v>
      </c>
      <c r="AC29" s="397">
        <f>'t-1 DUOS'!AC29</f>
        <v>0</v>
      </c>
      <c r="AD29" s="397">
        <f>'t-1 DUOS'!AD29</f>
        <v>0</v>
      </c>
      <c r="AE29" s="397">
        <f>'t-1 DUOS'!AE29</f>
        <v>0</v>
      </c>
      <c r="AF29" s="397">
        <f>'t-1 DUOS'!AF29</f>
        <v>0</v>
      </c>
      <c r="AG29" s="631">
        <f>'t-1 DUOS'!AG29</f>
        <v>0</v>
      </c>
      <c r="AH29" s="398">
        <f>'t-1 DUOS'!AH29</f>
        <v>0</v>
      </c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0</v>
      </c>
      <c r="AM29" s="211">
        <f>IF('Prop DUOS'!H$69="cents",G29/100,G29)*W29</f>
        <v>0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0</v>
      </c>
      <c r="BA29" s="87"/>
      <c r="BB29" s="87"/>
    </row>
    <row r="30" spans="2:54" s="158" customFormat="1">
      <c r="B30" s="360" t="str">
        <f>IF('t-1 DUOS'!B30="","",'t-1 TUOS'!B30)</f>
        <v/>
      </c>
      <c r="C30" s="220"/>
      <c r="D30" s="547"/>
      <c r="E30" s="548"/>
      <c r="F30" s="548"/>
      <c r="G30" s="548"/>
      <c r="H30" s="548"/>
      <c r="I30" s="548"/>
      <c r="J30" s="548"/>
      <c r="K30" s="548"/>
      <c r="L30" s="548"/>
      <c r="M30" s="548"/>
      <c r="N30" s="548"/>
      <c r="O30" s="548"/>
      <c r="P30" s="548"/>
      <c r="Q30" s="621"/>
      <c r="R30" s="549"/>
      <c r="T30" s="396">
        <f>'t-1 DUOS'!T30</f>
        <v>0</v>
      </c>
      <c r="U30" s="397">
        <f>'t-1 DUOS'!U30</f>
        <v>0</v>
      </c>
      <c r="V30" s="397">
        <f>'t-1 DUOS'!V30</f>
        <v>0</v>
      </c>
      <c r="W30" s="397">
        <f>'t-1 DUOS'!W30</f>
        <v>0</v>
      </c>
      <c r="X30" s="397">
        <f>'t-1 DUOS'!X30</f>
        <v>0</v>
      </c>
      <c r="Y30" s="397">
        <f>'t-1 DUOS'!Y30</f>
        <v>0</v>
      </c>
      <c r="Z30" s="397">
        <f>'t-1 DUOS'!Z30</f>
        <v>0</v>
      </c>
      <c r="AA30" s="397">
        <f>'t-1 DUOS'!AA30</f>
        <v>0</v>
      </c>
      <c r="AB30" s="397">
        <f>'t-1 DUOS'!AB30</f>
        <v>0</v>
      </c>
      <c r="AC30" s="397">
        <f>'t-1 DUOS'!AC30</f>
        <v>0</v>
      </c>
      <c r="AD30" s="397">
        <f>'t-1 DUOS'!AD30</f>
        <v>0</v>
      </c>
      <c r="AE30" s="397">
        <f>'t-1 DUOS'!AE30</f>
        <v>0</v>
      </c>
      <c r="AF30" s="397">
        <f>'t-1 DUOS'!AF30</f>
        <v>0</v>
      </c>
      <c r="AG30" s="631">
        <f>'t-1 DUOS'!AG30</f>
        <v>0</v>
      </c>
      <c r="AH30" s="398">
        <f>'t-1 DUOS'!AH30</f>
        <v>0</v>
      </c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</row>
    <row r="31" spans="2:54" s="158" customFormat="1">
      <c r="B31" s="360" t="str">
        <f>IF('t-1 DUOS'!B31="","",'t-1 TUOS'!B31)</f>
        <v/>
      </c>
      <c r="C31" s="220"/>
      <c r="D31" s="547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621"/>
      <c r="R31" s="549"/>
      <c r="T31" s="396">
        <f>'t-1 DUOS'!T31</f>
        <v>0</v>
      </c>
      <c r="U31" s="397">
        <f>'t-1 DUOS'!U31</f>
        <v>0</v>
      </c>
      <c r="V31" s="397">
        <f>'t-1 DUOS'!V31</f>
        <v>0</v>
      </c>
      <c r="W31" s="397">
        <f>'t-1 DUOS'!W31</f>
        <v>0</v>
      </c>
      <c r="X31" s="397">
        <f>'t-1 DUOS'!X31</f>
        <v>0</v>
      </c>
      <c r="Y31" s="397">
        <f>'t-1 DUOS'!Y31</f>
        <v>0</v>
      </c>
      <c r="Z31" s="397">
        <f>'t-1 DUOS'!Z31</f>
        <v>0</v>
      </c>
      <c r="AA31" s="397">
        <f>'t-1 DUOS'!AA31</f>
        <v>0</v>
      </c>
      <c r="AB31" s="397">
        <f>'t-1 DUOS'!AB31</f>
        <v>0</v>
      </c>
      <c r="AC31" s="397">
        <f>'t-1 DUOS'!AC31</f>
        <v>0</v>
      </c>
      <c r="AD31" s="397">
        <f>'t-1 DUOS'!AD31</f>
        <v>0</v>
      </c>
      <c r="AE31" s="397">
        <f>'t-1 DUOS'!AE31</f>
        <v>0</v>
      </c>
      <c r="AF31" s="397">
        <f>'t-1 DUOS'!AF31</f>
        <v>0</v>
      </c>
      <c r="AG31" s="631">
        <f>'t-1 DUOS'!AG31</f>
        <v>0</v>
      </c>
      <c r="AH31" s="398">
        <f>'t-1 DUOS'!AH31</f>
        <v>0</v>
      </c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4" s="158" customFormat="1">
      <c r="B32" s="360" t="str">
        <f>IF('t-1 DUOS'!B32="","",'t-1 TUOS'!B32)</f>
        <v/>
      </c>
      <c r="C32" s="220"/>
      <c r="D32" s="547"/>
      <c r="E32" s="548"/>
      <c r="F32" s="548"/>
      <c r="G32" s="548"/>
      <c r="H32" s="548"/>
      <c r="I32" s="548"/>
      <c r="J32" s="548"/>
      <c r="K32" s="548"/>
      <c r="L32" s="548"/>
      <c r="M32" s="548"/>
      <c r="N32" s="548"/>
      <c r="O32" s="548"/>
      <c r="P32" s="548"/>
      <c r="Q32" s="621"/>
      <c r="R32" s="549"/>
      <c r="T32" s="396">
        <f>'t-1 DUOS'!T32</f>
        <v>0</v>
      </c>
      <c r="U32" s="397">
        <f>'t-1 DUOS'!U32</f>
        <v>0</v>
      </c>
      <c r="V32" s="397">
        <f>'t-1 DUOS'!V32</f>
        <v>0</v>
      </c>
      <c r="W32" s="397">
        <f>'t-1 DUOS'!W32</f>
        <v>0</v>
      </c>
      <c r="X32" s="397">
        <f>'t-1 DUOS'!X32</f>
        <v>0</v>
      </c>
      <c r="Y32" s="397">
        <f>'t-1 DUOS'!Y32</f>
        <v>0</v>
      </c>
      <c r="Z32" s="397">
        <f>'t-1 DUOS'!Z32</f>
        <v>0</v>
      </c>
      <c r="AA32" s="397">
        <f>'t-1 DUOS'!AA32</f>
        <v>0</v>
      </c>
      <c r="AB32" s="397">
        <f>'t-1 DUOS'!AB32</f>
        <v>0</v>
      </c>
      <c r="AC32" s="397">
        <f>'t-1 DUOS'!AC32</f>
        <v>0</v>
      </c>
      <c r="AD32" s="397">
        <f>'t-1 DUOS'!AD32</f>
        <v>0</v>
      </c>
      <c r="AE32" s="397">
        <f>'t-1 DUOS'!AE32</f>
        <v>0</v>
      </c>
      <c r="AF32" s="397">
        <f>'t-1 DUOS'!AF32</f>
        <v>0</v>
      </c>
      <c r="AG32" s="631">
        <f>'t-1 DUOS'!AG32</f>
        <v>0</v>
      </c>
      <c r="AH32" s="398">
        <f>'t-1 DUOS'!AH32</f>
        <v>0</v>
      </c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360" t="str">
        <f>IF('t-1 DUOS'!B33="","",'t-1 TUOS'!B33)</f>
        <v/>
      </c>
      <c r="C33" s="220"/>
      <c r="D33" s="547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  <c r="Q33" s="621"/>
      <c r="R33" s="549"/>
      <c r="T33" s="396">
        <f>'t-1 DUOS'!T33</f>
        <v>0</v>
      </c>
      <c r="U33" s="397">
        <f>'t-1 DUOS'!U33</f>
        <v>0</v>
      </c>
      <c r="V33" s="397">
        <f>'t-1 DUOS'!V33</f>
        <v>0</v>
      </c>
      <c r="W33" s="397">
        <f>'t-1 DUOS'!W33</f>
        <v>0</v>
      </c>
      <c r="X33" s="397">
        <f>'t-1 DUOS'!X33</f>
        <v>0</v>
      </c>
      <c r="Y33" s="397">
        <f>'t-1 DUOS'!Y33</f>
        <v>0</v>
      </c>
      <c r="Z33" s="397">
        <f>'t-1 DUOS'!Z33</f>
        <v>0</v>
      </c>
      <c r="AA33" s="397">
        <f>'t-1 DUOS'!AA33</f>
        <v>0</v>
      </c>
      <c r="AB33" s="397">
        <f>'t-1 DUOS'!AB33</f>
        <v>0</v>
      </c>
      <c r="AC33" s="397">
        <f>'t-1 DUOS'!AC33</f>
        <v>0</v>
      </c>
      <c r="AD33" s="397">
        <f>'t-1 DUOS'!AD33</f>
        <v>0</v>
      </c>
      <c r="AE33" s="397">
        <f>'t-1 DUOS'!AE33</f>
        <v>0</v>
      </c>
      <c r="AF33" s="397">
        <f>'t-1 DUOS'!AF33</f>
        <v>0</v>
      </c>
      <c r="AG33" s="631">
        <f>'t-1 DUOS'!AG33</f>
        <v>0</v>
      </c>
      <c r="AH33" s="398">
        <f>'t-1 DUOS'!AH33</f>
        <v>0</v>
      </c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360" t="str">
        <f>IF('t-1 DUOS'!B34="","",'t-1 TUOS'!B34)</f>
        <v/>
      </c>
      <c r="C34" s="220"/>
      <c r="D34" s="547"/>
      <c r="E34" s="548"/>
      <c r="F34" s="548"/>
      <c r="G34" s="548"/>
      <c r="H34" s="548"/>
      <c r="I34" s="548"/>
      <c r="J34" s="548"/>
      <c r="K34" s="548"/>
      <c r="L34" s="548"/>
      <c r="M34" s="548"/>
      <c r="N34" s="548"/>
      <c r="O34" s="548"/>
      <c r="P34" s="548"/>
      <c r="Q34" s="621"/>
      <c r="R34" s="549"/>
      <c r="T34" s="396">
        <f>'t-1 DUOS'!T34</f>
        <v>0</v>
      </c>
      <c r="U34" s="397">
        <f>'t-1 DUOS'!U34</f>
        <v>0</v>
      </c>
      <c r="V34" s="397">
        <f>'t-1 DUOS'!V34</f>
        <v>0</v>
      </c>
      <c r="W34" s="397">
        <f>'t-1 DUOS'!W34</f>
        <v>0</v>
      </c>
      <c r="X34" s="397">
        <f>'t-1 DUOS'!X34</f>
        <v>0</v>
      </c>
      <c r="Y34" s="397">
        <f>'t-1 DUOS'!Y34</f>
        <v>0</v>
      </c>
      <c r="Z34" s="397">
        <f>'t-1 DUOS'!Z34</f>
        <v>0</v>
      </c>
      <c r="AA34" s="397">
        <f>'t-1 DUOS'!AA34</f>
        <v>0</v>
      </c>
      <c r="AB34" s="397">
        <f>'t-1 DUOS'!AB34</f>
        <v>0</v>
      </c>
      <c r="AC34" s="397">
        <f>'t-1 DUOS'!AC34</f>
        <v>0</v>
      </c>
      <c r="AD34" s="397">
        <f>'t-1 DUOS'!AD34</f>
        <v>0</v>
      </c>
      <c r="AE34" s="397">
        <f>'t-1 DUOS'!AE34</f>
        <v>0</v>
      </c>
      <c r="AF34" s="397">
        <f>'t-1 DUOS'!AF34</f>
        <v>0</v>
      </c>
      <c r="AG34" s="631">
        <f>'t-1 DUOS'!AG34</f>
        <v>0</v>
      </c>
      <c r="AH34" s="398">
        <f>'t-1 DUOS'!AH34</f>
        <v>0</v>
      </c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>SUM(AJ34:AX34)</f>
        <v>0</v>
      </c>
    </row>
    <row r="35" spans="2:51" s="158" customFormat="1">
      <c r="B35" s="360" t="str">
        <f>IF('t-1 DUOS'!B35="","",'t-1 TUOS'!B35)</f>
        <v/>
      </c>
      <c r="C35" s="220"/>
      <c r="D35" s="547"/>
      <c r="E35" s="548"/>
      <c r="F35" s="548"/>
      <c r="G35" s="548"/>
      <c r="H35" s="548"/>
      <c r="I35" s="548"/>
      <c r="J35" s="548"/>
      <c r="K35" s="548"/>
      <c r="L35" s="548"/>
      <c r="M35" s="548"/>
      <c r="N35" s="548"/>
      <c r="O35" s="548"/>
      <c r="P35" s="548"/>
      <c r="Q35" s="621"/>
      <c r="R35" s="549"/>
      <c r="T35" s="396">
        <f>'t-1 DUOS'!T35</f>
        <v>0</v>
      </c>
      <c r="U35" s="397">
        <f>'t-1 DUOS'!U35</f>
        <v>0</v>
      </c>
      <c r="V35" s="397">
        <f>'t-1 DUOS'!V35</f>
        <v>0</v>
      </c>
      <c r="W35" s="397">
        <f>'t-1 DUOS'!W35</f>
        <v>0</v>
      </c>
      <c r="X35" s="397">
        <f>'t-1 DUOS'!X35</f>
        <v>0</v>
      </c>
      <c r="Y35" s="397">
        <f>'t-1 DUOS'!Y35</f>
        <v>0</v>
      </c>
      <c r="Z35" s="397">
        <f>'t-1 DUOS'!Z35</f>
        <v>0</v>
      </c>
      <c r="AA35" s="397">
        <f>'t-1 DUOS'!AA35</f>
        <v>0</v>
      </c>
      <c r="AB35" s="397">
        <f>'t-1 DUOS'!AB35</f>
        <v>0</v>
      </c>
      <c r="AC35" s="397">
        <f>'t-1 DUOS'!AC35</f>
        <v>0</v>
      </c>
      <c r="AD35" s="397">
        <f>'t-1 DUOS'!AD35</f>
        <v>0</v>
      </c>
      <c r="AE35" s="397">
        <f>'t-1 DUOS'!AE35</f>
        <v>0</v>
      </c>
      <c r="AF35" s="397">
        <f>'t-1 DUOS'!AF35</f>
        <v>0</v>
      </c>
      <c r="AG35" s="631">
        <f>'t-1 DUOS'!AG35</f>
        <v>0</v>
      </c>
      <c r="AH35" s="398">
        <f>'t-1 DUOS'!AH35</f>
        <v>0</v>
      </c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>SUM(AJ35:AX35)</f>
        <v>0</v>
      </c>
    </row>
    <row r="36" spans="2:51" s="158" customFormat="1">
      <c r="B36" s="360" t="str">
        <f>IF('t-1 DUOS'!B36="","",'t-1 TUOS'!B36)</f>
        <v/>
      </c>
      <c r="C36" s="220"/>
      <c r="D36" s="547"/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621"/>
      <c r="R36" s="549"/>
      <c r="T36" s="396">
        <f>'t-1 DUOS'!T36</f>
        <v>0</v>
      </c>
      <c r="U36" s="397">
        <f>'t-1 DUOS'!U36</f>
        <v>0</v>
      </c>
      <c r="V36" s="397">
        <f>'t-1 DUOS'!V36</f>
        <v>0</v>
      </c>
      <c r="W36" s="397">
        <f>'t-1 DUOS'!W36</f>
        <v>0</v>
      </c>
      <c r="X36" s="397">
        <f>'t-1 DUOS'!X36</f>
        <v>0</v>
      </c>
      <c r="Y36" s="397">
        <f>'t-1 DUOS'!Y36</f>
        <v>0</v>
      </c>
      <c r="Z36" s="397">
        <f>'t-1 DUOS'!Z36</f>
        <v>0</v>
      </c>
      <c r="AA36" s="397">
        <f>'t-1 DUOS'!AA36</f>
        <v>0</v>
      </c>
      <c r="AB36" s="397">
        <f>'t-1 DUOS'!AB36</f>
        <v>0</v>
      </c>
      <c r="AC36" s="397">
        <f>'t-1 DUOS'!AC36</f>
        <v>0</v>
      </c>
      <c r="AD36" s="397">
        <f>'t-1 DUOS'!AD36</f>
        <v>0</v>
      </c>
      <c r="AE36" s="397">
        <f>'t-1 DUOS'!AE36</f>
        <v>0</v>
      </c>
      <c r="AF36" s="397">
        <f>'t-1 DUOS'!AF36</f>
        <v>0</v>
      </c>
      <c r="AG36" s="631">
        <f>'t-1 DUOS'!AG36</f>
        <v>0</v>
      </c>
      <c r="AH36" s="398">
        <f>'t-1 DUOS'!AH36</f>
        <v>0</v>
      </c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>SUM(AJ36:AX36)</f>
        <v>0</v>
      </c>
    </row>
    <row r="37" spans="2:51" s="158" customFormat="1">
      <c r="B37" s="360" t="str">
        <f>IF('t-1 DUOS'!B37="","",'t-1 TUOS'!B37)</f>
        <v/>
      </c>
      <c r="C37" s="220"/>
      <c r="D37" s="547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621"/>
      <c r="R37" s="549"/>
      <c r="T37" s="396">
        <f>'t-1 DUOS'!T37</f>
        <v>0</v>
      </c>
      <c r="U37" s="397">
        <f>'t-1 DUOS'!U37</f>
        <v>0</v>
      </c>
      <c r="V37" s="397">
        <f>'t-1 DUOS'!V37</f>
        <v>0</v>
      </c>
      <c r="W37" s="397">
        <f>'t-1 DUOS'!W37</f>
        <v>0</v>
      </c>
      <c r="X37" s="397">
        <f>'t-1 DUOS'!X37</f>
        <v>0</v>
      </c>
      <c r="Y37" s="397">
        <f>'t-1 DUOS'!Y37</f>
        <v>0</v>
      </c>
      <c r="Z37" s="397">
        <f>'t-1 DUOS'!Z37</f>
        <v>0</v>
      </c>
      <c r="AA37" s="397">
        <f>'t-1 DUOS'!AA37</f>
        <v>0</v>
      </c>
      <c r="AB37" s="397">
        <f>'t-1 DUOS'!AB37</f>
        <v>0</v>
      </c>
      <c r="AC37" s="397">
        <f>'t-1 DUOS'!AC37</f>
        <v>0</v>
      </c>
      <c r="AD37" s="397">
        <f>'t-1 DUOS'!AD37</f>
        <v>0</v>
      </c>
      <c r="AE37" s="397">
        <f>'t-1 DUOS'!AE37</f>
        <v>0</v>
      </c>
      <c r="AF37" s="397">
        <f>'t-1 DUOS'!AF37</f>
        <v>0</v>
      </c>
      <c r="AG37" s="631">
        <f>'t-1 DUOS'!AG37</f>
        <v>0</v>
      </c>
      <c r="AH37" s="398">
        <f>'t-1 DUOS'!AH37</f>
        <v>0</v>
      </c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0"/>
        <v>0</v>
      </c>
    </row>
    <row r="38" spans="2:51" s="158" customFormat="1">
      <c r="B38" s="360" t="str">
        <f>IF('t-1 DUOS'!B38="","",'t-1 TUOS'!B38)</f>
        <v/>
      </c>
      <c r="C38" s="220"/>
      <c r="D38" s="547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621"/>
      <c r="R38" s="549"/>
      <c r="T38" s="396">
        <f>'t-1 DUOS'!T38</f>
        <v>0</v>
      </c>
      <c r="U38" s="397">
        <f>'t-1 DUOS'!U38</f>
        <v>0</v>
      </c>
      <c r="V38" s="397">
        <f>'t-1 DUOS'!V38</f>
        <v>0</v>
      </c>
      <c r="W38" s="397">
        <f>'t-1 DUOS'!W38</f>
        <v>0</v>
      </c>
      <c r="X38" s="397">
        <f>'t-1 DUOS'!X38</f>
        <v>0</v>
      </c>
      <c r="Y38" s="397">
        <f>'t-1 DUOS'!Y38</f>
        <v>0</v>
      </c>
      <c r="Z38" s="397">
        <f>'t-1 DUOS'!Z38</f>
        <v>0</v>
      </c>
      <c r="AA38" s="397">
        <f>'t-1 DUOS'!AA38</f>
        <v>0</v>
      </c>
      <c r="AB38" s="397">
        <f>'t-1 DUOS'!AB38</f>
        <v>0</v>
      </c>
      <c r="AC38" s="397">
        <f>'t-1 DUOS'!AC38</f>
        <v>0</v>
      </c>
      <c r="AD38" s="397">
        <f>'t-1 DUOS'!AD38</f>
        <v>0</v>
      </c>
      <c r="AE38" s="397">
        <f>'t-1 DUOS'!AE38</f>
        <v>0</v>
      </c>
      <c r="AF38" s="397">
        <f>'t-1 DUOS'!AF38</f>
        <v>0</v>
      </c>
      <c r="AG38" s="631">
        <f>'t-1 DUOS'!AG38</f>
        <v>0</v>
      </c>
      <c r="AH38" s="398">
        <f>'t-1 DUOS'!AH38</f>
        <v>0</v>
      </c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0"/>
        <v>0</v>
      </c>
    </row>
    <row r="39" spans="2:51" s="158" customFormat="1">
      <c r="B39" s="360" t="str">
        <f>IF('t-1 DUOS'!B39="","",'t-1 TUOS'!B39)</f>
        <v/>
      </c>
      <c r="C39" s="220"/>
      <c r="D39" s="547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621"/>
      <c r="R39" s="549"/>
      <c r="T39" s="396">
        <f>'t-1 DUOS'!T39</f>
        <v>0</v>
      </c>
      <c r="U39" s="397">
        <f>'t-1 DUOS'!U39</f>
        <v>0</v>
      </c>
      <c r="V39" s="397">
        <f>'t-1 DUOS'!V39</f>
        <v>0</v>
      </c>
      <c r="W39" s="397">
        <f>'t-1 DUOS'!W39</f>
        <v>0</v>
      </c>
      <c r="X39" s="397">
        <f>'t-1 DUOS'!X39</f>
        <v>0</v>
      </c>
      <c r="Y39" s="397">
        <f>'t-1 DUOS'!Y39</f>
        <v>0</v>
      </c>
      <c r="Z39" s="397">
        <f>'t-1 DUOS'!Z39</f>
        <v>0</v>
      </c>
      <c r="AA39" s="397">
        <f>'t-1 DUOS'!AA39</f>
        <v>0</v>
      </c>
      <c r="AB39" s="397">
        <f>'t-1 DUOS'!AB39</f>
        <v>0</v>
      </c>
      <c r="AC39" s="397">
        <f>'t-1 DUOS'!AC39</f>
        <v>0</v>
      </c>
      <c r="AD39" s="397">
        <f>'t-1 DUOS'!AD39</f>
        <v>0</v>
      </c>
      <c r="AE39" s="397">
        <f>'t-1 DUOS'!AE39</f>
        <v>0</v>
      </c>
      <c r="AF39" s="397">
        <f>'t-1 DUOS'!AF39</f>
        <v>0</v>
      </c>
      <c r="AG39" s="631">
        <f>'t-1 DUOS'!AG39</f>
        <v>0</v>
      </c>
      <c r="AH39" s="398">
        <f>'t-1 DUOS'!AH39</f>
        <v>0</v>
      </c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0"/>
        <v>0</v>
      </c>
    </row>
    <row r="40" spans="2:51" s="158" customFormat="1">
      <c r="B40" s="360" t="str">
        <f>IF('t-1 DUOS'!B40="","",'t-1 TUOS'!B40)</f>
        <v/>
      </c>
      <c r="C40" s="220"/>
      <c r="D40" s="547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621"/>
      <c r="R40" s="549"/>
      <c r="T40" s="396">
        <f>'t-1 DUOS'!T40</f>
        <v>0</v>
      </c>
      <c r="U40" s="397">
        <f>'t-1 DUOS'!U40</f>
        <v>0</v>
      </c>
      <c r="V40" s="397">
        <f>'t-1 DUOS'!V40</f>
        <v>0</v>
      </c>
      <c r="W40" s="397">
        <f>'t-1 DUOS'!W40</f>
        <v>0</v>
      </c>
      <c r="X40" s="397">
        <f>'t-1 DUOS'!X40</f>
        <v>0</v>
      </c>
      <c r="Y40" s="397">
        <f>'t-1 DUOS'!Y40</f>
        <v>0</v>
      </c>
      <c r="Z40" s="397">
        <f>'t-1 DUOS'!Z40</f>
        <v>0</v>
      </c>
      <c r="AA40" s="397">
        <f>'t-1 DUOS'!AA40</f>
        <v>0</v>
      </c>
      <c r="AB40" s="397">
        <f>'t-1 DUOS'!AB40</f>
        <v>0</v>
      </c>
      <c r="AC40" s="397">
        <f>'t-1 DUOS'!AC40</f>
        <v>0</v>
      </c>
      <c r="AD40" s="397">
        <f>'t-1 DUOS'!AD40</f>
        <v>0</v>
      </c>
      <c r="AE40" s="397">
        <f>'t-1 DUOS'!AE40</f>
        <v>0</v>
      </c>
      <c r="AF40" s="397">
        <f>'t-1 DUOS'!AF40</f>
        <v>0</v>
      </c>
      <c r="AG40" s="631">
        <f>'t-1 DUOS'!AG40</f>
        <v>0</v>
      </c>
      <c r="AH40" s="398">
        <f>'t-1 DUOS'!AH40</f>
        <v>0</v>
      </c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0"/>
        <v>0</v>
      </c>
    </row>
    <row r="41" spans="2:51" s="158" customFormat="1">
      <c r="B41" s="360" t="str">
        <f>IF('t-1 DUOS'!B41="","",'t-1 TUOS'!B41)</f>
        <v/>
      </c>
      <c r="C41" s="220"/>
      <c r="D41" s="547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621"/>
      <c r="R41" s="549"/>
      <c r="T41" s="396">
        <f>'t-1 DUOS'!T41</f>
        <v>0</v>
      </c>
      <c r="U41" s="397">
        <f>'t-1 DUOS'!U41</f>
        <v>0</v>
      </c>
      <c r="V41" s="397">
        <f>'t-1 DUOS'!V41</f>
        <v>0</v>
      </c>
      <c r="W41" s="397">
        <f>'t-1 DUOS'!W41</f>
        <v>0</v>
      </c>
      <c r="X41" s="397">
        <f>'t-1 DUOS'!X41</f>
        <v>0</v>
      </c>
      <c r="Y41" s="397">
        <f>'t-1 DUOS'!Y41</f>
        <v>0</v>
      </c>
      <c r="Z41" s="397">
        <f>'t-1 DUOS'!Z41</f>
        <v>0</v>
      </c>
      <c r="AA41" s="397">
        <f>'t-1 DUOS'!AA41</f>
        <v>0</v>
      </c>
      <c r="AB41" s="397">
        <f>'t-1 DUOS'!AB41</f>
        <v>0</v>
      </c>
      <c r="AC41" s="397">
        <f>'t-1 DUOS'!AC41</f>
        <v>0</v>
      </c>
      <c r="AD41" s="397">
        <f>'t-1 DUOS'!AD41</f>
        <v>0</v>
      </c>
      <c r="AE41" s="397">
        <f>'t-1 DUOS'!AE41</f>
        <v>0</v>
      </c>
      <c r="AF41" s="397">
        <f>'t-1 DUOS'!AF41</f>
        <v>0</v>
      </c>
      <c r="AG41" s="631">
        <f>'t-1 DUOS'!AG41</f>
        <v>0</v>
      </c>
      <c r="AH41" s="398">
        <f>'t-1 DUOS'!AH41</f>
        <v>0</v>
      </c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0"/>
        <v>0</v>
      </c>
    </row>
    <row r="42" spans="2:51" s="158" customFormat="1">
      <c r="B42" s="360" t="str">
        <f>IF('t-1 DUOS'!B42="","",'t-1 TUOS'!B42)</f>
        <v/>
      </c>
      <c r="C42" s="220"/>
      <c r="D42" s="547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621"/>
      <c r="R42" s="549"/>
      <c r="T42" s="396">
        <f>'t-1 DUOS'!T42</f>
        <v>0</v>
      </c>
      <c r="U42" s="397">
        <f>'t-1 DUOS'!U42</f>
        <v>0</v>
      </c>
      <c r="V42" s="397">
        <f>'t-1 DUOS'!V42</f>
        <v>0</v>
      </c>
      <c r="W42" s="397">
        <f>'t-1 DUOS'!W42</f>
        <v>0</v>
      </c>
      <c r="X42" s="397">
        <f>'t-1 DUOS'!X42</f>
        <v>0</v>
      </c>
      <c r="Y42" s="397">
        <f>'t-1 DUOS'!Y42</f>
        <v>0</v>
      </c>
      <c r="Z42" s="397">
        <f>'t-1 DUOS'!Z42</f>
        <v>0</v>
      </c>
      <c r="AA42" s="397">
        <f>'t-1 DUOS'!AA42</f>
        <v>0</v>
      </c>
      <c r="AB42" s="397">
        <f>'t-1 DUOS'!AB42</f>
        <v>0</v>
      </c>
      <c r="AC42" s="397">
        <f>'t-1 DUOS'!AC42</f>
        <v>0</v>
      </c>
      <c r="AD42" s="397">
        <f>'t-1 DUOS'!AD42</f>
        <v>0</v>
      </c>
      <c r="AE42" s="397">
        <f>'t-1 DUOS'!AE42</f>
        <v>0</v>
      </c>
      <c r="AF42" s="397">
        <f>'t-1 DUOS'!AF42</f>
        <v>0</v>
      </c>
      <c r="AG42" s="631">
        <f>'t-1 DUOS'!AG42</f>
        <v>0</v>
      </c>
      <c r="AH42" s="398">
        <f>'t-1 DUOS'!AH42</f>
        <v>0</v>
      </c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0"/>
        <v>0</v>
      </c>
    </row>
    <row r="43" spans="2:51" s="158" customFormat="1">
      <c r="B43" s="360" t="str">
        <f>IF('t-1 DUOS'!B43="","",'t-1 TUOS'!B43)</f>
        <v/>
      </c>
      <c r="C43" s="220"/>
      <c r="D43" s="547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621"/>
      <c r="R43" s="549"/>
      <c r="T43" s="396">
        <f>'t-1 DUOS'!T43</f>
        <v>0</v>
      </c>
      <c r="U43" s="397">
        <f>'t-1 DUOS'!U43</f>
        <v>0</v>
      </c>
      <c r="V43" s="397">
        <f>'t-1 DUOS'!V43</f>
        <v>0</v>
      </c>
      <c r="W43" s="397">
        <f>'t-1 DUOS'!W43</f>
        <v>0</v>
      </c>
      <c r="X43" s="397">
        <f>'t-1 DUOS'!X43</f>
        <v>0</v>
      </c>
      <c r="Y43" s="397">
        <f>'t-1 DUOS'!Y43</f>
        <v>0</v>
      </c>
      <c r="Z43" s="397">
        <f>'t-1 DUOS'!Z43</f>
        <v>0</v>
      </c>
      <c r="AA43" s="397">
        <f>'t-1 DUOS'!AA43</f>
        <v>0</v>
      </c>
      <c r="AB43" s="397">
        <f>'t-1 DUOS'!AB43</f>
        <v>0</v>
      </c>
      <c r="AC43" s="397">
        <f>'t-1 DUOS'!AC43</f>
        <v>0</v>
      </c>
      <c r="AD43" s="397">
        <f>'t-1 DUOS'!AD43</f>
        <v>0</v>
      </c>
      <c r="AE43" s="397">
        <f>'t-1 DUOS'!AE43</f>
        <v>0</v>
      </c>
      <c r="AF43" s="397">
        <f>'t-1 DUOS'!AF43</f>
        <v>0</v>
      </c>
      <c r="AG43" s="631">
        <f>'t-1 DUOS'!AG43</f>
        <v>0</v>
      </c>
      <c r="AH43" s="398">
        <f>'t-1 DUOS'!AH43</f>
        <v>0</v>
      </c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0"/>
        <v>0</v>
      </c>
    </row>
    <row r="44" spans="2:51" s="158" customFormat="1">
      <c r="B44" s="360" t="str">
        <f>IF('t-1 DUOS'!B44="","",'t-1 TUOS'!B44)</f>
        <v/>
      </c>
      <c r="C44" s="220"/>
      <c r="D44" s="547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621"/>
      <c r="R44" s="549"/>
      <c r="T44" s="396">
        <f>'t-1 DUOS'!T44</f>
        <v>0</v>
      </c>
      <c r="U44" s="397">
        <f>'t-1 DUOS'!U44</f>
        <v>0</v>
      </c>
      <c r="V44" s="397">
        <f>'t-1 DUOS'!V44</f>
        <v>0</v>
      </c>
      <c r="W44" s="397">
        <f>'t-1 DUOS'!W44</f>
        <v>0</v>
      </c>
      <c r="X44" s="397">
        <f>'t-1 DUOS'!X44</f>
        <v>0</v>
      </c>
      <c r="Y44" s="397">
        <f>'t-1 DUOS'!Y44</f>
        <v>0</v>
      </c>
      <c r="Z44" s="397">
        <f>'t-1 DUOS'!Z44</f>
        <v>0</v>
      </c>
      <c r="AA44" s="397">
        <f>'t-1 DUOS'!AA44</f>
        <v>0</v>
      </c>
      <c r="AB44" s="397">
        <f>'t-1 DUOS'!AB44</f>
        <v>0</v>
      </c>
      <c r="AC44" s="397">
        <f>'t-1 DUOS'!AC44</f>
        <v>0</v>
      </c>
      <c r="AD44" s="397">
        <f>'t-1 DUOS'!AD44</f>
        <v>0</v>
      </c>
      <c r="AE44" s="397">
        <f>'t-1 DUOS'!AE44</f>
        <v>0</v>
      </c>
      <c r="AF44" s="397">
        <f>'t-1 DUOS'!AF44</f>
        <v>0</v>
      </c>
      <c r="AG44" s="631">
        <f>'t-1 DUOS'!AG44</f>
        <v>0</v>
      </c>
      <c r="AH44" s="398">
        <f>'t-1 DUOS'!AH44</f>
        <v>0</v>
      </c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0"/>
        <v>0</v>
      </c>
    </row>
    <row r="45" spans="2:51" s="158" customFormat="1">
      <c r="B45" s="360" t="str">
        <f>IF('t-1 DUOS'!B45="","",'t-1 TUOS'!B45)</f>
        <v/>
      </c>
      <c r="C45" s="220"/>
      <c r="D45" s="547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621"/>
      <c r="R45" s="549"/>
      <c r="T45" s="396">
        <f>'t-1 DUOS'!T45</f>
        <v>0</v>
      </c>
      <c r="U45" s="397">
        <f>'t-1 DUOS'!U45</f>
        <v>0</v>
      </c>
      <c r="V45" s="397">
        <f>'t-1 DUOS'!V45</f>
        <v>0</v>
      </c>
      <c r="W45" s="397">
        <f>'t-1 DUOS'!W45</f>
        <v>0</v>
      </c>
      <c r="X45" s="397">
        <f>'t-1 DUOS'!X45</f>
        <v>0</v>
      </c>
      <c r="Y45" s="397">
        <f>'t-1 DUOS'!Y45</f>
        <v>0</v>
      </c>
      <c r="Z45" s="397">
        <f>'t-1 DUOS'!Z45</f>
        <v>0</v>
      </c>
      <c r="AA45" s="397">
        <f>'t-1 DUOS'!AA45</f>
        <v>0</v>
      </c>
      <c r="AB45" s="397">
        <f>'t-1 DUOS'!AB45</f>
        <v>0</v>
      </c>
      <c r="AC45" s="397">
        <f>'t-1 DUOS'!AC45</f>
        <v>0</v>
      </c>
      <c r="AD45" s="397">
        <f>'t-1 DUOS'!AD45</f>
        <v>0</v>
      </c>
      <c r="AE45" s="397">
        <f>'t-1 DUOS'!AE45</f>
        <v>0</v>
      </c>
      <c r="AF45" s="397">
        <f>'t-1 DUOS'!AF45</f>
        <v>0</v>
      </c>
      <c r="AG45" s="631">
        <f>'t-1 DUOS'!AG45</f>
        <v>0</v>
      </c>
      <c r="AH45" s="398">
        <f>'t-1 DUOS'!AH45</f>
        <v>0</v>
      </c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0"/>
        <v>0</v>
      </c>
    </row>
    <row r="46" spans="2:51" s="158" customFormat="1">
      <c r="B46" s="360" t="str">
        <f>IF('t-1 DUOS'!B46="","",'t-1 TUOS'!B46)</f>
        <v/>
      </c>
      <c r="C46" s="220"/>
      <c r="D46" s="547"/>
      <c r="E46" s="548"/>
      <c r="F46" s="548"/>
      <c r="G46" s="548"/>
      <c r="H46" s="548"/>
      <c r="I46" s="548"/>
      <c r="J46" s="548"/>
      <c r="K46" s="548"/>
      <c r="L46" s="548"/>
      <c r="M46" s="548"/>
      <c r="N46" s="548"/>
      <c r="O46" s="548"/>
      <c r="P46" s="548"/>
      <c r="Q46" s="621"/>
      <c r="R46" s="549"/>
      <c r="T46" s="396">
        <f>'t-1 DUOS'!T46</f>
        <v>0</v>
      </c>
      <c r="U46" s="397">
        <f>'t-1 DUOS'!U46</f>
        <v>0</v>
      </c>
      <c r="V46" s="397">
        <f>'t-1 DUOS'!V46</f>
        <v>0</v>
      </c>
      <c r="W46" s="397">
        <f>'t-1 DUOS'!W46</f>
        <v>0</v>
      </c>
      <c r="X46" s="397">
        <f>'t-1 DUOS'!X46</f>
        <v>0</v>
      </c>
      <c r="Y46" s="397">
        <f>'t-1 DUOS'!Y46</f>
        <v>0</v>
      </c>
      <c r="Z46" s="397">
        <f>'t-1 DUOS'!Z46</f>
        <v>0</v>
      </c>
      <c r="AA46" s="397">
        <f>'t-1 DUOS'!AA46</f>
        <v>0</v>
      </c>
      <c r="AB46" s="397">
        <f>'t-1 DUOS'!AB46</f>
        <v>0</v>
      </c>
      <c r="AC46" s="397">
        <f>'t-1 DUOS'!AC46</f>
        <v>0</v>
      </c>
      <c r="AD46" s="397">
        <f>'t-1 DUOS'!AD46</f>
        <v>0</v>
      </c>
      <c r="AE46" s="397">
        <f>'t-1 DUOS'!AE46</f>
        <v>0</v>
      </c>
      <c r="AF46" s="397">
        <f>'t-1 DUOS'!AF46</f>
        <v>0</v>
      </c>
      <c r="AG46" s="631">
        <f>'t-1 DUOS'!AG46</f>
        <v>0</v>
      </c>
      <c r="AH46" s="398">
        <f>'t-1 DUOS'!AH46</f>
        <v>0</v>
      </c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0"/>
        <v>0</v>
      </c>
    </row>
    <row r="47" spans="2:51" s="158" customFormat="1">
      <c r="B47" s="360" t="str">
        <f>IF('t-1 DUOS'!B47="","",'t-1 TUOS'!B47)</f>
        <v/>
      </c>
      <c r="C47" s="220"/>
      <c r="D47" s="547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621"/>
      <c r="R47" s="549"/>
      <c r="T47" s="396">
        <f>'t-1 DUOS'!T47</f>
        <v>0</v>
      </c>
      <c r="U47" s="397">
        <f>'t-1 DUOS'!U47</f>
        <v>0</v>
      </c>
      <c r="V47" s="397">
        <f>'t-1 DUOS'!V47</f>
        <v>0</v>
      </c>
      <c r="W47" s="397">
        <f>'t-1 DUOS'!W47</f>
        <v>0</v>
      </c>
      <c r="X47" s="397">
        <f>'t-1 DUOS'!X47</f>
        <v>0</v>
      </c>
      <c r="Y47" s="397">
        <f>'t-1 DUOS'!Y47</f>
        <v>0</v>
      </c>
      <c r="Z47" s="397">
        <f>'t-1 DUOS'!Z47</f>
        <v>0</v>
      </c>
      <c r="AA47" s="397">
        <f>'t-1 DUOS'!AA47</f>
        <v>0</v>
      </c>
      <c r="AB47" s="397">
        <f>'t-1 DUOS'!AB47</f>
        <v>0</v>
      </c>
      <c r="AC47" s="397">
        <f>'t-1 DUOS'!AC47</f>
        <v>0</v>
      </c>
      <c r="AD47" s="397">
        <f>'t-1 DUOS'!AD47</f>
        <v>0</v>
      </c>
      <c r="AE47" s="397">
        <f>'t-1 DUOS'!AE47</f>
        <v>0</v>
      </c>
      <c r="AF47" s="397">
        <f>'t-1 DUOS'!AF47</f>
        <v>0</v>
      </c>
      <c r="AG47" s="631">
        <f>'t-1 DUOS'!AG47</f>
        <v>0</v>
      </c>
      <c r="AH47" s="398">
        <f>'t-1 DUOS'!AH47</f>
        <v>0</v>
      </c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0"/>
        <v>0</v>
      </c>
    </row>
    <row r="48" spans="2:51" s="158" customFormat="1">
      <c r="B48" s="360" t="str">
        <f>IF('t-1 DUOS'!B48="","",'t-1 TUOS'!B48)</f>
        <v/>
      </c>
      <c r="C48" s="220"/>
      <c r="D48" s="547"/>
      <c r="E48" s="548"/>
      <c r="F48" s="548"/>
      <c r="G48" s="548"/>
      <c r="H48" s="548"/>
      <c r="I48" s="548"/>
      <c r="J48" s="548"/>
      <c r="K48" s="548"/>
      <c r="L48" s="548"/>
      <c r="M48" s="548"/>
      <c r="N48" s="548"/>
      <c r="O48" s="548"/>
      <c r="P48" s="548"/>
      <c r="Q48" s="621"/>
      <c r="R48" s="549"/>
      <c r="T48" s="396">
        <f>'t-1 DUOS'!T48</f>
        <v>0</v>
      </c>
      <c r="U48" s="397">
        <f>'t-1 DUOS'!U48</f>
        <v>0</v>
      </c>
      <c r="V48" s="397">
        <f>'t-1 DUOS'!V48</f>
        <v>0</v>
      </c>
      <c r="W48" s="397">
        <f>'t-1 DUOS'!W48</f>
        <v>0</v>
      </c>
      <c r="X48" s="397">
        <f>'t-1 DUOS'!X48</f>
        <v>0</v>
      </c>
      <c r="Y48" s="397">
        <f>'t-1 DUOS'!Y48</f>
        <v>0</v>
      </c>
      <c r="Z48" s="397">
        <f>'t-1 DUOS'!Z48</f>
        <v>0</v>
      </c>
      <c r="AA48" s="397">
        <f>'t-1 DUOS'!AA48</f>
        <v>0</v>
      </c>
      <c r="AB48" s="397">
        <f>'t-1 DUOS'!AB48</f>
        <v>0</v>
      </c>
      <c r="AC48" s="397">
        <f>'t-1 DUOS'!AC48</f>
        <v>0</v>
      </c>
      <c r="AD48" s="397">
        <f>'t-1 DUOS'!AD48</f>
        <v>0</v>
      </c>
      <c r="AE48" s="397">
        <f>'t-1 DUOS'!AE48</f>
        <v>0</v>
      </c>
      <c r="AF48" s="397">
        <f>'t-1 DUOS'!AF48</f>
        <v>0</v>
      </c>
      <c r="AG48" s="631">
        <f>'t-1 DUOS'!AG48</f>
        <v>0</v>
      </c>
      <c r="AH48" s="398">
        <f>'t-1 DUOS'!AH48</f>
        <v>0</v>
      </c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0"/>
        <v>0</v>
      </c>
    </row>
    <row r="49" spans="2:51" s="158" customFormat="1">
      <c r="B49" s="360" t="str">
        <f>IF('t-1 DUOS'!B49="","",'t-1 TUOS'!B49)</f>
        <v/>
      </c>
      <c r="C49" s="220"/>
      <c r="D49" s="547"/>
      <c r="E49" s="548"/>
      <c r="F49" s="548"/>
      <c r="G49" s="548"/>
      <c r="H49" s="548"/>
      <c r="I49" s="548"/>
      <c r="J49" s="548"/>
      <c r="K49" s="548"/>
      <c r="L49" s="548"/>
      <c r="M49" s="548"/>
      <c r="N49" s="548"/>
      <c r="O49" s="548"/>
      <c r="P49" s="548"/>
      <c r="Q49" s="621"/>
      <c r="R49" s="549"/>
      <c r="T49" s="396">
        <f>'t-1 DUOS'!T49</f>
        <v>0</v>
      </c>
      <c r="U49" s="397">
        <f>'t-1 DUOS'!U49</f>
        <v>0</v>
      </c>
      <c r="V49" s="397">
        <f>'t-1 DUOS'!V49</f>
        <v>0</v>
      </c>
      <c r="W49" s="397">
        <f>'t-1 DUOS'!W49</f>
        <v>0</v>
      </c>
      <c r="X49" s="397">
        <f>'t-1 DUOS'!X49</f>
        <v>0</v>
      </c>
      <c r="Y49" s="397">
        <f>'t-1 DUOS'!Y49</f>
        <v>0</v>
      </c>
      <c r="Z49" s="397">
        <f>'t-1 DUOS'!Z49</f>
        <v>0</v>
      </c>
      <c r="AA49" s="397">
        <f>'t-1 DUOS'!AA49</f>
        <v>0</v>
      </c>
      <c r="AB49" s="397">
        <f>'t-1 DUOS'!AB49</f>
        <v>0</v>
      </c>
      <c r="AC49" s="397">
        <f>'t-1 DUOS'!AC49</f>
        <v>0</v>
      </c>
      <c r="AD49" s="397">
        <f>'t-1 DUOS'!AD49</f>
        <v>0</v>
      </c>
      <c r="AE49" s="397">
        <f>'t-1 DUOS'!AE49</f>
        <v>0</v>
      </c>
      <c r="AF49" s="397">
        <f>'t-1 DUOS'!AF49</f>
        <v>0</v>
      </c>
      <c r="AG49" s="631">
        <f>'t-1 DUOS'!AG49</f>
        <v>0</v>
      </c>
      <c r="AH49" s="398">
        <f>'t-1 DUOS'!AH49</f>
        <v>0</v>
      </c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0"/>
        <v>0</v>
      </c>
    </row>
    <row r="50" spans="2:51" s="158" customFormat="1">
      <c r="B50" s="360" t="str">
        <f>IF('t-1 DUOS'!B50="","",'t-1 TUOS'!B50)</f>
        <v/>
      </c>
      <c r="C50" s="220"/>
      <c r="D50" s="547"/>
      <c r="E50" s="548"/>
      <c r="F50" s="548"/>
      <c r="G50" s="548"/>
      <c r="H50" s="548"/>
      <c r="I50" s="548"/>
      <c r="J50" s="548"/>
      <c r="K50" s="548"/>
      <c r="L50" s="548"/>
      <c r="M50" s="548"/>
      <c r="N50" s="548"/>
      <c r="O50" s="548"/>
      <c r="P50" s="548"/>
      <c r="Q50" s="621"/>
      <c r="R50" s="549"/>
      <c r="T50" s="396">
        <f>'t-1 DUOS'!T50</f>
        <v>0</v>
      </c>
      <c r="U50" s="397">
        <f>'t-1 DUOS'!U50</f>
        <v>0</v>
      </c>
      <c r="V50" s="397">
        <f>'t-1 DUOS'!V50</f>
        <v>0</v>
      </c>
      <c r="W50" s="397">
        <f>'t-1 DUOS'!W50</f>
        <v>0</v>
      </c>
      <c r="X50" s="397">
        <f>'t-1 DUOS'!X50</f>
        <v>0</v>
      </c>
      <c r="Y50" s="397">
        <f>'t-1 DUOS'!Y50</f>
        <v>0</v>
      </c>
      <c r="Z50" s="397">
        <f>'t-1 DUOS'!Z50</f>
        <v>0</v>
      </c>
      <c r="AA50" s="397">
        <f>'t-1 DUOS'!AA50</f>
        <v>0</v>
      </c>
      <c r="AB50" s="397">
        <f>'t-1 DUOS'!AB50</f>
        <v>0</v>
      </c>
      <c r="AC50" s="397">
        <f>'t-1 DUOS'!AC50</f>
        <v>0</v>
      </c>
      <c r="AD50" s="397">
        <f>'t-1 DUOS'!AD50</f>
        <v>0</v>
      </c>
      <c r="AE50" s="397">
        <f>'t-1 DUOS'!AE50</f>
        <v>0</v>
      </c>
      <c r="AF50" s="397">
        <f>'t-1 DUOS'!AF50</f>
        <v>0</v>
      </c>
      <c r="AG50" s="631">
        <f>'t-1 DUOS'!AG50</f>
        <v>0</v>
      </c>
      <c r="AH50" s="398">
        <f>'t-1 DUOS'!AH50</f>
        <v>0</v>
      </c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0"/>
        <v>0</v>
      </c>
    </row>
    <row r="51" spans="2:51" s="158" customFormat="1">
      <c r="B51" s="360" t="str">
        <f>IF('t-1 DUOS'!B51="","",'t-1 TUOS'!B51)</f>
        <v/>
      </c>
      <c r="C51" s="220"/>
      <c r="D51" s="547"/>
      <c r="E51" s="548"/>
      <c r="F51" s="548"/>
      <c r="G51" s="548"/>
      <c r="H51" s="548"/>
      <c r="I51" s="548"/>
      <c r="J51" s="548"/>
      <c r="K51" s="548"/>
      <c r="L51" s="548"/>
      <c r="M51" s="548"/>
      <c r="N51" s="548"/>
      <c r="O51" s="548"/>
      <c r="P51" s="548"/>
      <c r="Q51" s="621"/>
      <c r="R51" s="549"/>
      <c r="T51" s="396">
        <f>'t-1 DUOS'!T51</f>
        <v>0</v>
      </c>
      <c r="U51" s="397">
        <f>'t-1 DUOS'!U51</f>
        <v>0</v>
      </c>
      <c r="V51" s="397">
        <f>'t-1 DUOS'!V51</f>
        <v>0</v>
      </c>
      <c r="W51" s="397">
        <f>'t-1 DUOS'!W51</f>
        <v>0</v>
      </c>
      <c r="X51" s="397">
        <f>'t-1 DUOS'!X51</f>
        <v>0</v>
      </c>
      <c r="Y51" s="397">
        <f>'t-1 DUOS'!Y51</f>
        <v>0</v>
      </c>
      <c r="Z51" s="397">
        <f>'t-1 DUOS'!Z51</f>
        <v>0</v>
      </c>
      <c r="AA51" s="397">
        <f>'t-1 DUOS'!AA51</f>
        <v>0</v>
      </c>
      <c r="AB51" s="397">
        <f>'t-1 DUOS'!AB51</f>
        <v>0</v>
      </c>
      <c r="AC51" s="397">
        <f>'t-1 DUOS'!AC51</f>
        <v>0</v>
      </c>
      <c r="AD51" s="397">
        <f>'t-1 DUOS'!AD51</f>
        <v>0</v>
      </c>
      <c r="AE51" s="397">
        <f>'t-1 DUOS'!AE51</f>
        <v>0</v>
      </c>
      <c r="AF51" s="397">
        <f>'t-1 DUOS'!AF51</f>
        <v>0</v>
      </c>
      <c r="AG51" s="631">
        <f>'t-1 DUOS'!AG51</f>
        <v>0</v>
      </c>
      <c r="AH51" s="398">
        <f>'t-1 DUOS'!AH51</f>
        <v>0</v>
      </c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0"/>
        <v>0</v>
      </c>
    </row>
    <row r="52" spans="2:51" s="158" customFormat="1">
      <c r="B52" s="360" t="str">
        <f>IF('t-1 DUOS'!B52="","",'t-1 TUOS'!B52)</f>
        <v/>
      </c>
      <c r="C52" s="220"/>
      <c r="D52" s="547"/>
      <c r="E52" s="548"/>
      <c r="F52" s="548"/>
      <c r="G52" s="548"/>
      <c r="H52" s="548"/>
      <c r="I52" s="548"/>
      <c r="J52" s="548"/>
      <c r="K52" s="548"/>
      <c r="L52" s="548"/>
      <c r="M52" s="548"/>
      <c r="N52" s="548"/>
      <c r="O52" s="548"/>
      <c r="P52" s="548"/>
      <c r="Q52" s="621"/>
      <c r="R52" s="549"/>
      <c r="T52" s="396">
        <f>'t-1 DUOS'!T52</f>
        <v>0</v>
      </c>
      <c r="U52" s="397">
        <f>'t-1 DUOS'!U52</f>
        <v>0</v>
      </c>
      <c r="V52" s="397">
        <f>'t-1 DUOS'!V52</f>
        <v>0</v>
      </c>
      <c r="W52" s="397">
        <f>'t-1 DUOS'!W52</f>
        <v>0</v>
      </c>
      <c r="X52" s="397">
        <f>'t-1 DUOS'!X52</f>
        <v>0</v>
      </c>
      <c r="Y52" s="397">
        <f>'t-1 DUOS'!Y52</f>
        <v>0</v>
      </c>
      <c r="Z52" s="397">
        <f>'t-1 DUOS'!Z52</f>
        <v>0</v>
      </c>
      <c r="AA52" s="397">
        <f>'t-1 DUOS'!AA52</f>
        <v>0</v>
      </c>
      <c r="AB52" s="397">
        <f>'t-1 DUOS'!AB52</f>
        <v>0</v>
      </c>
      <c r="AC52" s="397">
        <f>'t-1 DUOS'!AC52</f>
        <v>0</v>
      </c>
      <c r="AD52" s="397">
        <f>'t-1 DUOS'!AD52</f>
        <v>0</v>
      </c>
      <c r="AE52" s="397">
        <f>'t-1 DUOS'!AE52</f>
        <v>0</v>
      </c>
      <c r="AF52" s="397">
        <f>'t-1 DUOS'!AF52</f>
        <v>0</v>
      </c>
      <c r="AG52" s="631">
        <f>'t-1 DUOS'!AG52</f>
        <v>0</v>
      </c>
      <c r="AH52" s="398">
        <f>'t-1 DUOS'!AH52</f>
        <v>0</v>
      </c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0"/>
        <v>0</v>
      </c>
    </row>
    <row r="53" spans="2:51" s="158" customFormat="1">
      <c r="B53" s="360" t="str">
        <f>IF('t-1 DUOS'!B53="","",'t-1 TUOS'!B53)</f>
        <v/>
      </c>
      <c r="C53" s="220"/>
      <c r="D53" s="547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621"/>
      <c r="R53" s="549"/>
      <c r="T53" s="396">
        <f>'t-1 DUOS'!T53</f>
        <v>0</v>
      </c>
      <c r="U53" s="397">
        <f>'t-1 DUOS'!U53</f>
        <v>0</v>
      </c>
      <c r="V53" s="397">
        <f>'t-1 DUOS'!V53</f>
        <v>0</v>
      </c>
      <c r="W53" s="397">
        <f>'t-1 DUOS'!W53</f>
        <v>0</v>
      </c>
      <c r="X53" s="397">
        <f>'t-1 DUOS'!X53</f>
        <v>0</v>
      </c>
      <c r="Y53" s="397">
        <f>'t-1 DUOS'!Y53</f>
        <v>0</v>
      </c>
      <c r="Z53" s="397">
        <f>'t-1 DUOS'!Z53</f>
        <v>0</v>
      </c>
      <c r="AA53" s="397">
        <f>'t-1 DUOS'!AA53</f>
        <v>0</v>
      </c>
      <c r="AB53" s="397">
        <f>'t-1 DUOS'!AB53</f>
        <v>0</v>
      </c>
      <c r="AC53" s="397">
        <f>'t-1 DUOS'!AC53</f>
        <v>0</v>
      </c>
      <c r="AD53" s="397">
        <f>'t-1 DUOS'!AD53</f>
        <v>0</v>
      </c>
      <c r="AE53" s="397">
        <f>'t-1 DUOS'!AE53</f>
        <v>0</v>
      </c>
      <c r="AF53" s="397">
        <f>'t-1 DUOS'!AF53</f>
        <v>0</v>
      </c>
      <c r="AG53" s="631">
        <f>'t-1 DUOS'!AG53</f>
        <v>0</v>
      </c>
      <c r="AH53" s="398">
        <f>'t-1 DUOS'!AH53</f>
        <v>0</v>
      </c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0"/>
        <v>0</v>
      </c>
    </row>
    <row r="54" spans="2:51" s="158" customFormat="1">
      <c r="B54" s="360" t="str">
        <f>IF('t-1 DUOS'!B54="","",'t-1 TUOS'!B54)</f>
        <v/>
      </c>
      <c r="C54" s="220"/>
      <c r="D54" s="547"/>
      <c r="E54" s="548"/>
      <c r="F54" s="548"/>
      <c r="G54" s="548"/>
      <c r="H54" s="548"/>
      <c r="I54" s="548"/>
      <c r="J54" s="548"/>
      <c r="K54" s="548"/>
      <c r="L54" s="548"/>
      <c r="M54" s="548"/>
      <c r="N54" s="548"/>
      <c r="O54" s="548"/>
      <c r="P54" s="548"/>
      <c r="Q54" s="621"/>
      <c r="R54" s="549"/>
      <c r="T54" s="396">
        <f>'t-1 DUOS'!T54</f>
        <v>0</v>
      </c>
      <c r="U54" s="397">
        <f>'t-1 DUOS'!U54</f>
        <v>0</v>
      </c>
      <c r="V54" s="397">
        <f>'t-1 DUOS'!V54</f>
        <v>0</v>
      </c>
      <c r="W54" s="397">
        <f>'t-1 DUOS'!W54</f>
        <v>0</v>
      </c>
      <c r="X54" s="397">
        <f>'t-1 DUOS'!X54</f>
        <v>0</v>
      </c>
      <c r="Y54" s="397">
        <f>'t-1 DUOS'!Y54</f>
        <v>0</v>
      </c>
      <c r="Z54" s="397">
        <f>'t-1 DUOS'!Z54</f>
        <v>0</v>
      </c>
      <c r="AA54" s="397">
        <f>'t-1 DUOS'!AA54</f>
        <v>0</v>
      </c>
      <c r="AB54" s="397">
        <f>'t-1 DUOS'!AB54</f>
        <v>0</v>
      </c>
      <c r="AC54" s="397">
        <f>'t-1 DUOS'!AC54</f>
        <v>0</v>
      </c>
      <c r="AD54" s="397">
        <f>'t-1 DUOS'!AD54</f>
        <v>0</v>
      </c>
      <c r="AE54" s="397">
        <f>'t-1 DUOS'!AE54</f>
        <v>0</v>
      </c>
      <c r="AF54" s="397">
        <f>'t-1 DUOS'!AF54</f>
        <v>0</v>
      </c>
      <c r="AG54" s="631">
        <f>'t-1 DUOS'!AG54</f>
        <v>0</v>
      </c>
      <c r="AH54" s="398">
        <f>'t-1 DUOS'!AH54</f>
        <v>0</v>
      </c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0"/>
        <v>0</v>
      </c>
    </row>
    <row r="55" spans="2:51" s="158" customFormat="1">
      <c r="B55" s="360" t="str">
        <f>IF('t-1 DUOS'!B55="","",'t-1 TUOS'!B55)</f>
        <v/>
      </c>
      <c r="C55" s="220"/>
      <c r="D55" s="547"/>
      <c r="E55" s="548"/>
      <c r="F55" s="548"/>
      <c r="G55" s="548"/>
      <c r="H55" s="548"/>
      <c r="I55" s="548"/>
      <c r="J55" s="548"/>
      <c r="K55" s="548"/>
      <c r="L55" s="548"/>
      <c r="M55" s="548"/>
      <c r="N55" s="548"/>
      <c r="O55" s="548"/>
      <c r="P55" s="548"/>
      <c r="Q55" s="621"/>
      <c r="R55" s="549"/>
      <c r="T55" s="396">
        <f>'t-1 DUOS'!T55</f>
        <v>0</v>
      </c>
      <c r="U55" s="397">
        <f>'t-1 DUOS'!U55</f>
        <v>0</v>
      </c>
      <c r="V55" s="397">
        <f>'t-1 DUOS'!V55</f>
        <v>0</v>
      </c>
      <c r="W55" s="397">
        <f>'t-1 DUOS'!W55</f>
        <v>0</v>
      </c>
      <c r="X55" s="397">
        <f>'t-1 DUOS'!X55</f>
        <v>0</v>
      </c>
      <c r="Y55" s="397">
        <f>'t-1 DUOS'!Y55</f>
        <v>0</v>
      </c>
      <c r="Z55" s="397">
        <f>'t-1 DUOS'!Z55</f>
        <v>0</v>
      </c>
      <c r="AA55" s="397">
        <f>'t-1 DUOS'!AA55</f>
        <v>0</v>
      </c>
      <c r="AB55" s="397">
        <f>'t-1 DUOS'!AB55</f>
        <v>0</v>
      </c>
      <c r="AC55" s="397">
        <f>'t-1 DUOS'!AC55</f>
        <v>0</v>
      </c>
      <c r="AD55" s="397">
        <f>'t-1 DUOS'!AD55</f>
        <v>0</v>
      </c>
      <c r="AE55" s="397">
        <f>'t-1 DUOS'!AE55</f>
        <v>0</v>
      </c>
      <c r="AF55" s="397">
        <f>'t-1 DUOS'!AF55</f>
        <v>0</v>
      </c>
      <c r="AG55" s="631">
        <f>'t-1 DUOS'!AG55</f>
        <v>0</v>
      </c>
      <c r="AH55" s="398">
        <f>'t-1 DUOS'!AH55</f>
        <v>0</v>
      </c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0"/>
        <v>0</v>
      </c>
    </row>
    <row r="56" spans="2:51" s="158" customFormat="1">
      <c r="B56" s="360" t="str">
        <f>IF('t-1 DUOS'!B56="","",'t-1 TUOS'!B56)</f>
        <v/>
      </c>
      <c r="C56" s="220"/>
      <c r="D56" s="553"/>
      <c r="E56" s="554"/>
      <c r="F56" s="554"/>
      <c r="G56" s="554"/>
      <c r="H56" s="554"/>
      <c r="I56" s="554"/>
      <c r="J56" s="554"/>
      <c r="K56" s="554"/>
      <c r="L56" s="554"/>
      <c r="M56" s="554"/>
      <c r="N56" s="554"/>
      <c r="O56" s="554"/>
      <c r="P56" s="554"/>
      <c r="Q56" s="623"/>
      <c r="R56" s="555"/>
      <c r="T56" s="396">
        <f>'t-1 DUOS'!T56</f>
        <v>0</v>
      </c>
      <c r="U56" s="397">
        <f>'t-1 DUOS'!U56</f>
        <v>0</v>
      </c>
      <c r="V56" s="397">
        <f>'t-1 DUOS'!V56</f>
        <v>0</v>
      </c>
      <c r="W56" s="397">
        <f>'t-1 DUOS'!W56</f>
        <v>0</v>
      </c>
      <c r="X56" s="397">
        <f>'t-1 DUOS'!X56</f>
        <v>0</v>
      </c>
      <c r="Y56" s="397">
        <f>'t-1 DUOS'!Y56</f>
        <v>0</v>
      </c>
      <c r="Z56" s="397">
        <f>'t-1 DUOS'!Z56</f>
        <v>0</v>
      </c>
      <c r="AA56" s="397">
        <f>'t-1 DUOS'!AA56</f>
        <v>0</v>
      </c>
      <c r="AB56" s="397">
        <f>'t-1 DUOS'!AB56</f>
        <v>0</v>
      </c>
      <c r="AC56" s="397">
        <f>'t-1 DUOS'!AC56</f>
        <v>0</v>
      </c>
      <c r="AD56" s="397">
        <f>'t-1 DUOS'!AD56</f>
        <v>0</v>
      </c>
      <c r="AE56" s="397">
        <f>'t-1 DUOS'!AE56</f>
        <v>0</v>
      </c>
      <c r="AF56" s="397">
        <f>'t-1 DUOS'!AF56</f>
        <v>0</v>
      </c>
      <c r="AG56" s="631">
        <f>'t-1 DUOS'!AG56</f>
        <v>0</v>
      </c>
      <c r="AH56" s="398">
        <f>'t-1 DUOS'!AH56</f>
        <v>0</v>
      </c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360" t="str">
        <f>IF('t-1 DUOS'!B57="","",'t-1 TUOS'!B57)</f>
        <v/>
      </c>
      <c r="C57" s="220"/>
      <c r="D57" s="553"/>
      <c r="E57" s="554"/>
      <c r="F57" s="554"/>
      <c r="G57" s="554"/>
      <c r="H57" s="554"/>
      <c r="I57" s="554"/>
      <c r="J57" s="554"/>
      <c r="K57" s="554"/>
      <c r="L57" s="554"/>
      <c r="M57" s="554"/>
      <c r="N57" s="554"/>
      <c r="O57" s="554"/>
      <c r="P57" s="554"/>
      <c r="Q57" s="623"/>
      <c r="R57" s="555"/>
      <c r="T57" s="396">
        <f>'t-1 DUOS'!T57</f>
        <v>0</v>
      </c>
      <c r="U57" s="397">
        <f>'t-1 DUOS'!U57</f>
        <v>0</v>
      </c>
      <c r="V57" s="397">
        <f>'t-1 DUOS'!V57</f>
        <v>0</v>
      </c>
      <c r="W57" s="397">
        <f>'t-1 DUOS'!W57</f>
        <v>0</v>
      </c>
      <c r="X57" s="397">
        <f>'t-1 DUOS'!X57</f>
        <v>0</v>
      </c>
      <c r="Y57" s="397">
        <f>'t-1 DUOS'!Y57</f>
        <v>0</v>
      </c>
      <c r="Z57" s="397">
        <f>'t-1 DUOS'!Z57</f>
        <v>0</v>
      </c>
      <c r="AA57" s="397">
        <f>'t-1 DUOS'!AA57</f>
        <v>0</v>
      </c>
      <c r="AB57" s="397">
        <f>'t-1 DUOS'!AB57</f>
        <v>0</v>
      </c>
      <c r="AC57" s="397">
        <f>'t-1 DUOS'!AC57</f>
        <v>0</v>
      </c>
      <c r="AD57" s="397">
        <f>'t-1 DUOS'!AD57</f>
        <v>0</v>
      </c>
      <c r="AE57" s="397">
        <f>'t-1 DUOS'!AE57</f>
        <v>0</v>
      </c>
      <c r="AF57" s="397">
        <f>'t-1 DUOS'!AF57</f>
        <v>0</v>
      </c>
      <c r="AG57" s="631">
        <f>'t-1 DUOS'!AG57</f>
        <v>0</v>
      </c>
      <c r="AH57" s="398">
        <f>'t-1 DUOS'!AH57</f>
        <v>0</v>
      </c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360" t="str">
        <f>IF('t-1 DUOS'!B58="","",'t-1 TUOS'!B58)</f>
        <v/>
      </c>
      <c r="C58" s="220"/>
      <c r="D58" s="553"/>
      <c r="E58" s="554"/>
      <c r="F58" s="554"/>
      <c r="G58" s="554"/>
      <c r="H58" s="554"/>
      <c r="I58" s="554"/>
      <c r="J58" s="554"/>
      <c r="K58" s="554"/>
      <c r="L58" s="554"/>
      <c r="M58" s="554"/>
      <c r="N58" s="554"/>
      <c r="O58" s="554"/>
      <c r="P58" s="554"/>
      <c r="Q58" s="623"/>
      <c r="R58" s="555"/>
      <c r="T58" s="396">
        <f>'t-1 DUOS'!T58</f>
        <v>0</v>
      </c>
      <c r="U58" s="397">
        <f>'t-1 DUOS'!U58</f>
        <v>0</v>
      </c>
      <c r="V58" s="397">
        <f>'t-1 DUOS'!V58</f>
        <v>0</v>
      </c>
      <c r="W58" s="397">
        <f>'t-1 DUOS'!W58</f>
        <v>0</v>
      </c>
      <c r="X58" s="397">
        <f>'t-1 DUOS'!X58</f>
        <v>0</v>
      </c>
      <c r="Y58" s="397">
        <f>'t-1 DUOS'!Y58</f>
        <v>0</v>
      </c>
      <c r="Z58" s="397">
        <f>'t-1 DUOS'!Z58</f>
        <v>0</v>
      </c>
      <c r="AA58" s="397">
        <f>'t-1 DUOS'!AA58</f>
        <v>0</v>
      </c>
      <c r="AB58" s="397">
        <f>'t-1 DUOS'!AB58</f>
        <v>0</v>
      </c>
      <c r="AC58" s="397">
        <f>'t-1 DUOS'!AC58</f>
        <v>0</v>
      </c>
      <c r="AD58" s="397">
        <f>'t-1 DUOS'!AD58</f>
        <v>0</v>
      </c>
      <c r="AE58" s="397">
        <f>'t-1 DUOS'!AE58</f>
        <v>0</v>
      </c>
      <c r="AF58" s="397">
        <f>'t-1 DUOS'!AF58</f>
        <v>0</v>
      </c>
      <c r="AG58" s="631">
        <f>'t-1 DUOS'!AG58</f>
        <v>0</v>
      </c>
      <c r="AH58" s="398">
        <f>'t-1 DUOS'!AH58</f>
        <v>0</v>
      </c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360" t="str">
        <f>IF('t-1 DUOS'!B59="","",'t-1 TUOS'!B59)</f>
        <v/>
      </c>
      <c r="C59" s="220"/>
      <c r="D59" s="553"/>
      <c r="E59" s="554"/>
      <c r="F59" s="554"/>
      <c r="G59" s="554"/>
      <c r="H59" s="554"/>
      <c r="I59" s="554"/>
      <c r="J59" s="554"/>
      <c r="K59" s="554"/>
      <c r="L59" s="554"/>
      <c r="M59" s="554"/>
      <c r="N59" s="554"/>
      <c r="O59" s="554"/>
      <c r="P59" s="554"/>
      <c r="Q59" s="623"/>
      <c r="R59" s="555"/>
      <c r="T59" s="396">
        <f>'t-1 DUOS'!T59</f>
        <v>0</v>
      </c>
      <c r="U59" s="397">
        <f>'t-1 DUOS'!U59</f>
        <v>0</v>
      </c>
      <c r="V59" s="397">
        <f>'t-1 DUOS'!V59</f>
        <v>0</v>
      </c>
      <c r="W59" s="397">
        <f>'t-1 DUOS'!W59</f>
        <v>0</v>
      </c>
      <c r="X59" s="397">
        <f>'t-1 DUOS'!X59</f>
        <v>0</v>
      </c>
      <c r="Y59" s="397">
        <f>'t-1 DUOS'!Y59</f>
        <v>0</v>
      </c>
      <c r="Z59" s="397">
        <f>'t-1 DUOS'!Z59</f>
        <v>0</v>
      </c>
      <c r="AA59" s="397">
        <f>'t-1 DUOS'!AA59</f>
        <v>0</v>
      </c>
      <c r="AB59" s="397">
        <f>'t-1 DUOS'!AB59</f>
        <v>0</v>
      </c>
      <c r="AC59" s="397">
        <f>'t-1 DUOS'!AC59</f>
        <v>0</v>
      </c>
      <c r="AD59" s="397">
        <f>'t-1 DUOS'!AD59</f>
        <v>0</v>
      </c>
      <c r="AE59" s="397">
        <f>'t-1 DUOS'!AE59</f>
        <v>0</v>
      </c>
      <c r="AF59" s="397">
        <f>'t-1 DUOS'!AF59</f>
        <v>0</v>
      </c>
      <c r="AG59" s="631">
        <f>'t-1 DUOS'!AG59</f>
        <v>0</v>
      </c>
      <c r="AH59" s="398">
        <f>'t-1 DUOS'!AH59</f>
        <v>0</v>
      </c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360" t="str">
        <f>IF('t-1 DUOS'!B60="","",'t-1 TUOS'!B60)</f>
        <v/>
      </c>
      <c r="C60" s="220"/>
      <c r="D60" s="553"/>
      <c r="E60" s="554"/>
      <c r="F60" s="554"/>
      <c r="G60" s="554"/>
      <c r="H60" s="554"/>
      <c r="I60" s="554"/>
      <c r="J60" s="554"/>
      <c r="K60" s="554"/>
      <c r="L60" s="554"/>
      <c r="M60" s="554"/>
      <c r="N60" s="554"/>
      <c r="O60" s="554"/>
      <c r="P60" s="554"/>
      <c r="Q60" s="623"/>
      <c r="R60" s="555"/>
      <c r="T60" s="396">
        <f>'t-1 DUOS'!T60</f>
        <v>0</v>
      </c>
      <c r="U60" s="397">
        <f>'t-1 DUOS'!U60</f>
        <v>0</v>
      </c>
      <c r="V60" s="397">
        <f>'t-1 DUOS'!V60</f>
        <v>0</v>
      </c>
      <c r="W60" s="397">
        <f>'t-1 DUOS'!W60</f>
        <v>0</v>
      </c>
      <c r="X60" s="397">
        <f>'t-1 DUOS'!X60</f>
        <v>0</v>
      </c>
      <c r="Y60" s="397">
        <f>'t-1 DUOS'!Y60</f>
        <v>0</v>
      </c>
      <c r="Z60" s="397">
        <f>'t-1 DUOS'!Z60</f>
        <v>0</v>
      </c>
      <c r="AA60" s="397">
        <f>'t-1 DUOS'!AA60</f>
        <v>0</v>
      </c>
      <c r="AB60" s="397">
        <f>'t-1 DUOS'!AB60</f>
        <v>0</v>
      </c>
      <c r="AC60" s="397">
        <f>'t-1 DUOS'!AC60</f>
        <v>0</v>
      </c>
      <c r="AD60" s="397">
        <f>'t-1 DUOS'!AD60</f>
        <v>0</v>
      </c>
      <c r="AE60" s="397">
        <f>'t-1 DUOS'!AE60</f>
        <v>0</v>
      </c>
      <c r="AF60" s="397">
        <f>'t-1 DUOS'!AF60</f>
        <v>0</v>
      </c>
      <c r="AG60" s="631">
        <f>'t-1 DUOS'!AG60</f>
        <v>0</v>
      </c>
      <c r="AH60" s="398">
        <f>'t-1 DUOS'!AH60</f>
        <v>0</v>
      </c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360" t="str">
        <f>IF('t-1 DUOS'!B61="","",'t-1 TUOS'!B61)</f>
        <v/>
      </c>
      <c r="C61" s="220"/>
      <c r="D61" s="553"/>
      <c r="E61" s="554"/>
      <c r="F61" s="554"/>
      <c r="G61" s="554"/>
      <c r="H61" s="554"/>
      <c r="I61" s="554"/>
      <c r="J61" s="554"/>
      <c r="K61" s="554"/>
      <c r="L61" s="554"/>
      <c r="M61" s="554"/>
      <c r="N61" s="554"/>
      <c r="O61" s="554"/>
      <c r="P61" s="554"/>
      <c r="Q61" s="623"/>
      <c r="R61" s="555"/>
      <c r="T61" s="396">
        <f>'t-1 DUOS'!T61</f>
        <v>0</v>
      </c>
      <c r="U61" s="397">
        <f>'t-1 DUOS'!U61</f>
        <v>0</v>
      </c>
      <c r="V61" s="397">
        <f>'t-1 DUOS'!V61</f>
        <v>0</v>
      </c>
      <c r="W61" s="397">
        <f>'t-1 DUOS'!W61</f>
        <v>0</v>
      </c>
      <c r="X61" s="397">
        <f>'t-1 DUOS'!X61</f>
        <v>0</v>
      </c>
      <c r="Y61" s="397">
        <f>'t-1 DUOS'!Y61</f>
        <v>0</v>
      </c>
      <c r="Z61" s="397">
        <f>'t-1 DUOS'!Z61</f>
        <v>0</v>
      </c>
      <c r="AA61" s="397">
        <f>'t-1 DUOS'!AA61</f>
        <v>0</v>
      </c>
      <c r="AB61" s="397">
        <f>'t-1 DUOS'!AB61</f>
        <v>0</v>
      </c>
      <c r="AC61" s="397">
        <f>'t-1 DUOS'!AC61</f>
        <v>0</v>
      </c>
      <c r="AD61" s="397">
        <f>'t-1 DUOS'!AD61</f>
        <v>0</v>
      </c>
      <c r="AE61" s="397">
        <f>'t-1 DUOS'!AE61</f>
        <v>0</v>
      </c>
      <c r="AF61" s="397">
        <f>'t-1 DUOS'!AF61</f>
        <v>0</v>
      </c>
      <c r="AG61" s="631">
        <f>'t-1 DUOS'!AG61</f>
        <v>0</v>
      </c>
      <c r="AH61" s="398">
        <f>'t-1 DUOS'!AH61</f>
        <v>0</v>
      </c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360" t="str">
        <f>IF('t-1 DUOS'!B62="","",'t-1 TUOS'!B62)</f>
        <v/>
      </c>
      <c r="C62" s="220"/>
      <c r="D62" s="553"/>
      <c r="E62" s="554"/>
      <c r="F62" s="554"/>
      <c r="G62" s="554"/>
      <c r="H62" s="554"/>
      <c r="I62" s="554"/>
      <c r="J62" s="554"/>
      <c r="K62" s="554"/>
      <c r="L62" s="554"/>
      <c r="M62" s="554"/>
      <c r="N62" s="554"/>
      <c r="O62" s="554"/>
      <c r="P62" s="554"/>
      <c r="Q62" s="623"/>
      <c r="R62" s="555"/>
      <c r="T62" s="396">
        <f>'t-1 DUOS'!T62</f>
        <v>0</v>
      </c>
      <c r="U62" s="397">
        <f>'t-1 DUOS'!U62</f>
        <v>0</v>
      </c>
      <c r="V62" s="397">
        <f>'t-1 DUOS'!V62</f>
        <v>0</v>
      </c>
      <c r="W62" s="397">
        <f>'t-1 DUOS'!W62</f>
        <v>0</v>
      </c>
      <c r="X62" s="397">
        <f>'t-1 DUOS'!X62</f>
        <v>0</v>
      </c>
      <c r="Y62" s="397">
        <f>'t-1 DUOS'!Y62</f>
        <v>0</v>
      </c>
      <c r="Z62" s="397">
        <f>'t-1 DUOS'!Z62</f>
        <v>0</v>
      </c>
      <c r="AA62" s="397">
        <f>'t-1 DUOS'!AA62</f>
        <v>0</v>
      </c>
      <c r="AB62" s="397">
        <f>'t-1 DUOS'!AB62</f>
        <v>0</v>
      </c>
      <c r="AC62" s="397">
        <f>'t-1 DUOS'!AC62</f>
        <v>0</v>
      </c>
      <c r="AD62" s="397">
        <f>'t-1 DUOS'!AD62</f>
        <v>0</v>
      </c>
      <c r="AE62" s="397">
        <f>'t-1 DUOS'!AE62</f>
        <v>0</v>
      </c>
      <c r="AF62" s="397">
        <f>'t-1 DUOS'!AF62</f>
        <v>0</v>
      </c>
      <c r="AG62" s="631">
        <f>'t-1 DUOS'!AG62</f>
        <v>0</v>
      </c>
      <c r="AH62" s="398">
        <f>'t-1 DUOS'!AH62</f>
        <v>0</v>
      </c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360" t="str">
        <f>IF('t-1 DUOS'!B63="","",'t-1 TUOS'!B63)</f>
        <v/>
      </c>
      <c r="C63" s="220"/>
      <c r="D63" s="553"/>
      <c r="E63" s="554"/>
      <c r="F63" s="554"/>
      <c r="G63" s="554"/>
      <c r="H63" s="554"/>
      <c r="I63" s="554"/>
      <c r="J63" s="554"/>
      <c r="K63" s="554"/>
      <c r="L63" s="554"/>
      <c r="M63" s="554"/>
      <c r="N63" s="554"/>
      <c r="O63" s="554"/>
      <c r="P63" s="554"/>
      <c r="Q63" s="623"/>
      <c r="R63" s="555"/>
      <c r="T63" s="396">
        <f>'t-1 DUOS'!T63</f>
        <v>0</v>
      </c>
      <c r="U63" s="397">
        <f>'t-1 DUOS'!U63</f>
        <v>0</v>
      </c>
      <c r="V63" s="397">
        <f>'t-1 DUOS'!V63</f>
        <v>0</v>
      </c>
      <c r="W63" s="397">
        <f>'t-1 DUOS'!W63</f>
        <v>0</v>
      </c>
      <c r="X63" s="397">
        <f>'t-1 DUOS'!X63</f>
        <v>0</v>
      </c>
      <c r="Y63" s="397">
        <f>'t-1 DUOS'!Y63</f>
        <v>0</v>
      </c>
      <c r="Z63" s="397">
        <f>'t-1 DUOS'!Z63</f>
        <v>0</v>
      </c>
      <c r="AA63" s="397">
        <f>'t-1 DUOS'!AA63</f>
        <v>0</v>
      </c>
      <c r="AB63" s="397">
        <f>'t-1 DUOS'!AB63</f>
        <v>0</v>
      </c>
      <c r="AC63" s="397">
        <f>'t-1 DUOS'!AC63</f>
        <v>0</v>
      </c>
      <c r="AD63" s="397">
        <f>'t-1 DUOS'!AD63</f>
        <v>0</v>
      </c>
      <c r="AE63" s="397">
        <f>'t-1 DUOS'!AE63</f>
        <v>0</v>
      </c>
      <c r="AF63" s="397">
        <f>'t-1 DUOS'!AF63</f>
        <v>0</v>
      </c>
      <c r="AG63" s="631">
        <f>'t-1 DUOS'!AG63</f>
        <v>0</v>
      </c>
      <c r="AH63" s="398">
        <f>'t-1 DUOS'!AH63</f>
        <v>0</v>
      </c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360" t="str">
        <f>IF('t-1 DUOS'!B64="","",'t-1 TUOS'!B64)</f>
        <v/>
      </c>
      <c r="C64" s="220"/>
      <c r="D64" s="553"/>
      <c r="E64" s="554"/>
      <c r="F64" s="554"/>
      <c r="G64" s="554"/>
      <c r="H64" s="554"/>
      <c r="I64" s="554"/>
      <c r="J64" s="554"/>
      <c r="K64" s="554"/>
      <c r="L64" s="554"/>
      <c r="M64" s="554"/>
      <c r="N64" s="554"/>
      <c r="O64" s="554"/>
      <c r="P64" s="554"/>
      <c r="Q64" s="623"/>
      <c r="R64" s="555"/>
      <c r="T64" s="396">
        <f>'t-1 DUOS'!T64</f>
        <v>0</v>
      </c>
      <c r="U64" s="397">
        <f>'t-1 DUOS'!U64</f>
        <v>0</v>
      </c>
      <c r="V64" s="397">
        <f>'t-1 DUOS'!V64</f>
        <v>0</v>
      </c>
      <c r="W64" s="397">
        <f>'t-1 DUOS'!W64</f>
        <v>0</v>
      </c>
      <c r="X64" s="397">
        <f>'t-1 DUOS'!X64</f>
        <v>0</v>
      </c>
      <c r="Y64" s="397">
        <f>'t-1 DUOS'!Y64</f>
        <v>0</v>
      </c>
      <c r="Z64" s="397">
        <f>'t-1 DUOS'!Z64</f>
        <v>0</v>
      </c>
      <c r="AA64" s="397">
        <f>'t-1 DUOS'!AA64</f>
        <v>0</v>
      </c>
      <c r="AB64" s="397">
        <f>'t-1 DUOS'!AB64</f>
        <v>0</v>
      </c>
      <c r="AC64" s="397">
        <f>'t-1 DUOS'!AC64</f>
        <v>0</v>
      </c>
      <c r="AD64" s="397">
        <f>'t-1 DUOS'!AD64</f>
        <v>0</v>
      </c>
      <c r="AE64" s="397">
        <f>'t-1 DUOS'!AE64</f>
        <v>0</v>
      </c>
      <c r="AF64" s="397">
        <f>'t-1 DUOS'!AF64</f>
        <v>0</v>
      </c>
      <c r="AG64" s="631">
        <f>'t-1 DUOS'!AG64</f>
        <v>0</v>
      </c>
      <c r="AH64" s="398">
        <f>'t-1 DUOS'!AH64</f>
        <v>0</v>
      </c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360" t="str">
        <f>IF('t-1 DUOS'!B65="","",'t-1 TUOS'!B65)</f>
        <v/>
      </c>
      <c r="C65" s="220"/>
      <c r="D65" s="553"/>
      <c r="E65" s="554"/>
      <c r="F65" s="554"/>
      <c r="G65" s="554"/>
      <c r="H65" s="554"/>
      <c r="I65" s="554"/>
      <c r="J65" s="554"/>
      <c r="K65" s="554"/>
      <c r="L65" s="554"/>
      <c r="M65" s="554"/>
      <c r="N65" s="554"/>
      <c r="O65" s="554"/>
      <c r="P65" s="554"/>
      <c r="Q65" s="623"/>
      <c r="R65" s="555"/>
      <c r="T65" s="396">
        <f>'t-1 DUOS'!T65</f>
        <v>0</v>
      </c>
      <c r="U65" s="397">
        <f>'t-1 DUOS'!U65</f>
        <v>0</v>
      </c>
      <c r="V65" s="397">
        <f>'t-1 DUOS'!V65</f>
        <v>0</v>
      </c>
      <c r="W65" s="397">
        <f>'t-1 DUOS'!W65</f>
        <v>0</v>
      </c>
      <c r="X65" s="397">
        <f>'t-1 DUOS'!X65</f>
        <v>0</v>
      </c>
      <c r="Y65" s="397">
        <f>'t-1 DUOS'!Y65</f>
        <v>0</v>
      </c>
      <c r="Z65" s="397">
        <f>'t-1 DUOS'!Z65</f>
        <v>0</v>
      </c>
      <c r="AA65" s="397">
        <f>'t-1 DUOS'!AA65</f>
        <v>0</v>
      </c>
      <c r="AB65" s="397">
        <f>'t-1 DUOS'!AB65</f>
        <v>0</v>
      </c>
      <c r="AC65" s="397">
        <f>'t-1 DUOS'!AC65</f>
        <v>0</v>
      </c>
      <c r="AD65" s="397">
        <f>'t-1 DUOS'!AD65</f>
        <v>0</v>
      </c>
      <c r="AE65" s="397">
        <f>'t-1 DUOS'!AE65</f>
        <v>0</v>
      </c>
      <c r="AF65" s="397">
        <f>'t-1 DUOS'!AF65</f>
        <v>0</v>
      </c>
      <c r="AG65" s="631">
        <f>'t-1 DUOS'!AG65</f>
        <v>0</v>
      </c>
      <c r="AH65" s="398">
        <f>'t-1 DUOS'!AH65</f>
        <v>0</v>
      </c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362" t="str">
        <f>IF('t-1 DUOS'!B66="","",'t-1 TUOS'!B66)</f>
        <v/>
      </c>
      <c r="C66" s="224"/>
      <c r="D66" s="556"/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557"/>
      <c r="Q66" s="624"/>
      <c r="R66" s="558"/>
      <c r="T66" s="399">
        <f>'t-1 DUOS'!T66</f>
        <v>0</v>
      </c>
      <c r="U66" s="400">
        <f>'t-1 DUOS'!U66</f>
        <v>0</v>
      </c>
      <c r="V66" s="400">
        <f>'t-1 DUOS'!V66</f>
        <v>0</v>
      </c>
      <c r="W66" s="400">
        <f>'t-1 DUOS'!W66</f>
        <v>0</v>
      </c>
      <c r="X66" s="400">
        <f>'t-1 DUOS'!X66</f>
        <v>0</v>
      </c>
      <c r="Y66" s="400">
        <f>'t-1 DUOS'!Y66</f>
        <v>0</v>
      </c>
      <c r="Z66" s="400">
        <f>'t-1 DUOS'!Z66</f>
        <v>0</v>
      </c>
      <c r="AA66" s="400">
        <f>'t-1 DUOS'!AA66</f>
        <v>0</v>
      </c>
      <c r="AB66" s="400">
        <f>'t-1 DUOS'!AB66</f>
        <v>0</v>
      </c>
      <c r="AC66" s="400">
        <f>'t-1 DUOS'!AC66</f>
        <v>0</v>
      </c>
      <c r="AD66" s="400">
        <f>'t-1 DUOS'!AD66</f>
        <v>0</v>
      </c>
      <c r="AE66" s="400">
        <f>'t-1 DUOS'!AE66</f>
        <v>0</v>
      </c>
      <c r="AF66" s="400">
        <f>'t-1 DUOS'!AF66</f>
        <v>0</v>
      </c>
      <c r="AG66" s="632">
        <f>'t-1 DUOS'!AG66</f>
        <v>0</v>
      </c>
      <c r="AH66" s="401">
        <f>'t-1 DUOS'!AH66</f>
        <v>0</v>
      </c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T67" s="104">
        <f t="shared" ref="T67:AF67" si="1">SUM(T7:T66)</f>
        <v>766963.09069204866</v>
      </c>
      <c r="U67" s="104">
        <f t="shared" si="1"/>
        <v>665702463.90841091</v>
      </c>
      <c r="V67" s="104">
        <f t="shared" si="1"/>
        <v>9379608.41650513</v>
      </c>
      <c r="W67" s="104">
        <f t="shared" si="1"/>
        <v>593303532.52327466</v>
      </c>
      <c r="X67" s="104">
        <f t="shared" si="1"/>
        <v>738171061.31989205</v>
      </c>
      <c r="Y67" s="104">
        <f t="shared" si="1"/>
        <v>0</v>
      </c>
      <c r="Z67" s="104">
        <f t="shared" si="1"/>
        <v>578055496.1339345</v>
      </c>
      <c r="AA67" s="104">
        <f t="shared" si="1"/>
        <v>1123247601.5772774</v>
      </c>
      <c r="AB67" s="104">
        <f t="shared" ref="AB67" si="2">SUM(AB7:AB66)</f>
        <v>12189854.74420516</v>
      </c>
      <c r="AC67" s="104">
        <f t="shared" si="1"/>
        <v>0</v>
      </c>
      <c r="AD67" s="104">
        <f t="shared" si="1"/>
        <v>1170782.0580771735</v>
      </c>
      <c r="AE67" s="104">
        <f t="shared" si="1"/>
        <v>430049.13928453001</v>
      </c>
      <c r="AF67" s="104">
        <f t="shared" si="1"/>
        <v>112209.30173034966</v>
      </c>
      <c r="AG67" s="104">
        <f t="shared" ref="AG67:AH67" si="3">SUM(AG7:AG66)</f>
        <v>100803.30834531946</v>
      </c>
      <c r="AH67" s="104">
        <f t="shared" si="3"/>
        <v>0</v>
      </c>
      <c r="AJ67" s="104">
        <f t="shared" ref="AJ67:AP67" si="4">SUM(AJ7:AJ66)</f>
        <v>13902730.431243097</v>
      </c>
      <c r="AK67" s="104">
        <f t="shared" si="4"/>
        <v>0</v>
      </c>
      <c r="AL67" s="104">
        <f t="shared" si="4"/>
        <v>0</v>
      </c>
      <c r="AM67" s="104">
        <f t="shared" si="4"/>
        <v>0</v>
      </c>
      <c r="AN67" s="104">
        <f t="shared" si="4"/>
        <v>0</v>
      </c>
      <c r="AO67" s="104">
        <f t="shared" si="4"/>
        <v>0</v>
      </c>
      <c r="AP67" s="104">
        <f t="shared" si="4"/>
        <v>0</v>
      </c>
      <c r="AQ67" s="104">
        <f t="shared" ref="AQ67:AY67" si="5">SUM(AQ7:AQ66)</f>
        <v>0</v>
      </c>
      <c r="AR67" s="104">
        <f t="shared" ref="AR67" si="6">SUM(AR7:AR66)</f>
        <v>0</v>
      </c>
      <c r="AS67" s="104">
        <f t="shared" si="5"/>
        <v>0</v>
      </c>
      <c r="AT67" s="104">
        <f t="shared" si="5"/>
        <v>0</v>
      </c>
      <c r="AU67" s="104">
        <f t="shared" si="5"/>
        <v>0</v>
      </c>
      <c r="AV67" s="104">
        <f t="shared" si="5"/>
        <v>0</v>
      </c>
      <c r="AW67" s="104">
        <f t="shared" ref="AW67:AX67" si="7">SUM(AW7:AW66)</f>
        <v>0</v>
      </c>
      <c r="AX67" s="104">
        <f t="shared" si="7"/>
        <v>0</v>
      </c>
      <c r="AY67" s="104">
        <f t="shared" si="5"/>
        <v>13902730.431243097</v>
      </c>
    </row>
    <row r="68" spans="2:51" ht="13.5" thickTop="1">
      <c r="B68" s="103"/>
      <c r="C68" s="70"/>
    </row>
    <row r="69" spans="2:51">
      <c r="B69" s="103"/>
      <c r="C69" s="70"/>
      <c r="AC69" s="106"/>
    </row>
    <row r="70" spans="2:51">
      <c r="B70" s="103"/>
      <c r="C70" s="70"/>
      <c r="AY70" s="106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">
      <c r="B81" s="103"/>
      <c r="C81" s="70"/>
    </row>
    <row r="82" spans="2:3">
      <c r="B82" s="103"/>
      <c r="C82" s="70"/>
    </row>
    <row r="83" spans="2:3">
      <c r="B83" s="103"/>
      <c r="C83" s="70"/>
    </row>
    <row r="84" spans="2:3">
      <c r="B84" s="103"/>
      <c r="C84" s="70"/>
    </row>
    <row r="85" spans="2:3">
      <c r="B85" s="103"/>
      <c r="C85" s="70"/>
    </row>
    <row r="86" spans="2:3">
      <c r="B86" s="103"/>
      <c r="C86" s="70"/>
    </row>
    <row r="87" spans="2:3">
      <c r="B87" s="103"/>
      <c r="C87" s="70"/>
    </row>
    <row r="88" spans="2:3">
      <c r="B88" s="103"/>
      <c r="C88" s="70"/>
    </row>
    <row r="89" spans="2:3">
      <c r="B89" s="103"/>
      <c r="C89" s="70"/>
    </row>
    <row r="90" spans="2:3">
      <c r="B90" s="103"/>
      <c r="C90" s="70"/>
    </row>
    <row r="91" spans="2:3">
      <c r="B91" s="103"/>
      <c r="C91" s="70"/>
    </row>
    <row r="92" spans="2:3">
      <c r="B92" s="103"/>
      <c r="C92" s="70"/>
    </row>
    <row r="93" spans="2:3">
      <c r="B93" s="103"/>
      <c r="C93" s="70"/>
    </row>
    <row r="94" spans="2:3">
      <c r="B94" s="103"/>
      <c r="C94" s="70"/>
    </row>
    <row r="95" spans="2:3">
      <c r="B95" s="103"/>
      <c r="C95" s="70"/>
    </row>
    <row r="96" spans="2:3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28" max="65" man="1"/>
    <brk id="52" max="6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 tint="0.39997558519241921"/>
    <pageSetUpPr autoPageBreaks="0" fitToPage="1"/>
  </sheetPr>
  <dimension ref="B1:AZ105"/>
  <sheetViews>
    <sheetView tabSelected="1" zoomScale="80" zoomScaleNormal="80" zoomScaleSheetLayoutView="85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2.75"/>
  <cols>
    <col min="1" max="1" width="1.85546875" style="87" customWidth="1"/>
    <col min="2" max="2" width="22.5703125" style="87" customWidth="1"/>
    <col min="3" max="3" width="44" style="87" customWidth="1"/>
    <col min="4" max="4" width="14.7109375" style="87" customWidth="1"/>
    <col min="5" max="5" width="11.28515625" style="87" customWidth="1"/>
    <col min="6" max="6" width="12.42578125" style="87" customWidth="1"/>
    <col min="7" max="7" width="13.5703125" style="87" customWidth="1"/>
    <col min="8" max="8" width="12.42578125" style="87" customWidth="1"/>
    <col min="9" max="9" width="11.28515625" style="87" customWidth="1"/>
    <col min="10" max="10" width="12.7109375" style="87" customWidth="1"/>
    <col min="11" max="12" width="9.140625" style="87" customWidth="1"/>
    <col min="13" max="13" width="9.7109375" style="87" customWidth="1"/>
    <col min="14" max="14" width="13.28515625" style="87" customWidth="1"/>
    <col min="15" max="15" width="10.5703125" style="87" customWidth="1"/>
    <col min="16" max="18" width="11" style="87" customWidth="1"/>
    <col min="19" max="19" width="1.85546875" style="87" customWidth="1"/>
    <col min="20" max="20" width="17.42578125" style="87" customWidth="1"/>
    <col min="21" max="21" width="11.85546875" style="87" customWidth="1"/>
    <col min="22" max="22" width="11.28515625" style="87" customWidth="1"/>
    <col min="23" max="23" width="13.42578125" style="87" customWidth="1"/>
    <col min="24" max="24" width="10.5703125" style="87" customWidth="1"/>
    <col min="25" max="25" width="10" style="87" customWidth="1"/>
    <col min="26" max="29" width="9.85546875" style="87" customWidth="1"/>
    <col min="30" max="30" width="12.42578125" style="87" customWidth="1"/>
    <col min="31" max="34" width="10.5703125" style="87" customWidth="1"/>
    <col min="35" max="36" width="1.85546875" style="87" customWidth="1"/>
    <col min="37" max="51" width="12.140625" style="87" customWidth="1"/>
    <col min="52" max="52" width="20.140625" style="87" customWidth="1"/>
    <col min="53" max="16384" width="9.140625" style="87"/>
  </cols>
  <sheetData>
    <row r="1" spans="2:52" ht="15">
      <c r="B1" s="69" t="str">
        <f>"Tariff Approval - "&amp;Input!$E$3</f>
        <v>Tariff Approval - United Energy</v>
      </c>
      <c r="C1" s="276" t="s">
        <v>193</v>
      </c>
      <c r="D1" s="177"/>
      <c r="F1" s="177"/>
    </row>
    <row r="2" spans="2:52">
      <c r="AM2" s="84"/>
    </row>
    <row r="3" spans="2:52" ht="13.5" thickBot="1">
      <c r="B3" s="99" t="str">
        <f>"COMPARISON OF "&amp;Input!$E$7&amp;" PROPOSED AND TSS INDICATIVE DISTRIBUTION TARIFFS"</f>
        <v>COMPARISON OF 2021/22 PROPOSED AND TSS INDICATIVE DISTRIBUTION TARIFFS</v>
      </c>
      <c r="C3" s="99"/>
      <c r="T3" s="720"/>
    </row>
    <row r="4" spans="2:52">
      <c r="B4" s="99"/>
      <c r="C4" s="99"/>
      <c r="AZ4" s="253" t="s">
        <v>86</v>
      </c>
    </row>
    <row r="5" spans="2:52" ht="13.5" thickBot="1">
      <c r="D5" s="391" t="str">
        <f>"Proposed NUOS Tariffs (Pt) for "&amp;Input!$E$7</f>
        <v>Proposed NUOS Tariffs (Pt) for 2021/22</v>
      </c>
      <c r="E5" s="392"/>
      <c r="F5" s="392"/>
      <c r="G5" s="392"/>
      <c r="H5" s="84"/>
      <c r="N5" s="254"/>
      <c r="T5" s="391" t="str">
        <f>"Indicative tariffs for "&amp;Input!$E$7&amp;" from previous year proposal or TSS in year 1"</f>
        <v>Indicative tariffs for 2021/22 from previous year proposal or TSS in year 1</v>
      </c>
      <c r="U5" s="392"/>
      <c r="V5" s="392"/>
      <c r="W5" s="392"/>
      <c r="X5" s="392"/>
      <c r="Y5" s="392"/>
      <c r="Z5" s="392"/>
      <c r="AK5" s="391" t="str">
        <f>"Percentage difference between proposed "&amp;Input!$E$7&amp;" tariffs and indicative TSS tariffs"</f>
        <v>Percentage difference between proposed 2021/22 tariffs and indicative TSS tariffs</v>
      </c>
      <c r="AL5" s="392"/>
      <c r="AM5" s="392"/>
      <c r="AN5" s="392"/>
      <c r="AO5" s="392"/>
      <c r="AP5" s="392"/>
      <c r="AQ5" s="392"/>
      <c r="AZ5" s="268">
        <v>0.15</v>
      </c>
    </row>
    <row r="6" spans="2:52" ht="12.75" customHeight="1">
      <c r="B6" s="100" t="s">
        <v>87</v>
      </c>
      <c r="C6" s="255" t="s">
        <v>88</v>
      </c>
      <c r="D6" s="101" t="str">
        <f>'Prop DUOS'!E6</f>
        <v>Fixed</v>
      </c>
      <c r="E6" s="102" t="str">
        <f>'Prop DUOS'!F6</f>
        <v>PkBlk1</v>
      </c>
      <c r="F6" s="102" t="str">
        <f>'Prop DUOS'!G6</f>
        <v>PkBlk2</v>
      </c>
      <c r="G6" s="102" t="str">
        <f>'Prop DUOS'!H6</f>
        <v>PkBlk3</v>
      </c>
      <c r="H6" s="102" t="str">
        <f>'Prop DUOS'!I6</f>
        <v>PkBlk4</v>
      </c>
      <c r="I6" s="102" t="str">
        <f>'Prop DUOS'!J6</f>
        <v>OPkBlk1</v>
      </c>
      <c r="J6" s="102" t="str">
        <f>'Prop DUOS'!K6</f>
        <v>OPkBlk2</v>
      </c>
      <c r="K6" s="102" t="str">
        <f>'Prop DUOS'!L6</f>
        <v>OPkBlk3</v>
      </c>
      <c r="L6" s="102" t="str">
        <f>'Prop DUOS'!M6</f>
        <v>OPkBlk4</v>
      </c>
      <c r="M6" s="102" t="str">
        <f>'Prop DUOS'!N6</f>
        <v>OPkBlk5</v>
      </c>
      <c r="N6" s="102" t="str">
        <f>'Prop DUOS'!O6</f>
        <v>DemBlk1</v>
      </c>
      <c r="O6" s="102" t="str">
        <f>'Prop DUOS'!P6</f>
        <v>DemBlk2</v>
      </c>
      <c r="P6" s="102" t="str">
        <f>'Prop DUOS'!Q6</f>
        <v>DemBlk3</v>
      </c>
      <c r="Q6" s="102" t="str">
        <f>'Prop DUOS'!R6</f>
        <v>DemBlk4</v>
      </c>
      <c r="R6" s="102" t="str">
        <f>'Prop DUOS'!S6</f>
        <v>DemBlk5</v>
      </c>
      <c r="T6" s="101" t="str">
        <f>'Prop DUOS'!E6</f>
        <v>Fixed</v>
      </c>
      <c r="U6" s="102" t="str">
        <f>'Prop DUOS'!F6</f>
        <v>PkBlk1</v>
      </c>
      <c r="V6" s="102" t="str">
        <f>'Prop DUOS'!G6</f>
        <v>PkBlk2</v>
      </c>
      <c r="W6" s="102" t="str">
        <f>'Prop DUOS'!H6</f>
        <v>PkBlk3</v>
      </c>
      <c r="X6" s="102" t="str">
        <f>'Prop DUOS'!I6</f>
        <v>PkBlk4</v>
      </c>
      <c r="Y6" s="102" t="str">
        <f>'Prop DUOS'!J6</f>
        <v>OPkBlk1</v>
      </c>
      <c r="Z6" s="102" t="str">
        <f>'Prop DUOS'!K6</f>
        <v>OPkBlk2</v>
      </c>
      <c r="AA6" s="102" t="str">
        <f>'Prop DUOS'!L6</f>
        <v>OPkBlk3</v>
      </c>
      <c r="AB6" s="102" t="str">
        <f>'Prop DUOS'!M6</f>
        <v>OPkBlk4</v>
      </c>
      <c r="AC6" s="102" t="str">
        <f>'Prop DUOS'!N6</f>
        <v>OPkBlk5</v>
      </c>
      <c r="AD6" s="102" t="str">
        <f>'Prop DUOS'!O6</f>
        <v>DemBlk1</v>
      </c>
      <c r="AE6" s="102" t="str">
        <f>'Prop DUOS'!P6</f>
        <v>DemBlk2</v>
      </c>
      <c r="AF6" s="102" t="str">
        <f>'Prop DUOS'!Q6</f>
        <v>DemBlk3</v>
      </c>
      <c r="AG6" s="102" t="str">
        <f>'Prop DUOS'!R6</f>
        <v>DemBlk4</v>
      </c>
      <c r="AH6" s="102" t="str">
        <f>'Prop DUOS'!S6</f>
        <v>DemBlk5</v>
      </c>
      <c r="AK6" s="256" t="str">
        <f>T6</f>
        <v>Fixed</v>
      </c>
      <c r="AL6" s="257" t="str">
        <f t="shared" ref="AL6:AY6" si="0">U6</f>
        <v>PkBlk1</v>
      </c>
      <c r="AM6" s="257" t="str">
        <f t="shared" si="0"/>
        <v>PkBlk2</v>
      </c>
      <c r="AN6" s="257" t="str">
        <f t="shared" si="0"/>
        <v>PkBlk3</v>
      </c>
      <c r="AO6" s="257" t="str">
        <f t="shared" si="0"/>
        <v>PkBlk4</v>
      </c>
      <c r="AP6" s="257" t="str">
        <f t="shared" si="0"/>
        <v>OPkBlk1</v>
      </c>
      <c r="AQ6" s="257" t="str">
        <f t="shared" si="0"/>
        <v>OPkBlk2</v>
      </c>
      <c r="AR6" s="257" t="str">
        <f t="shared" si="0"/>
        <v>OPkBlk3</v>
      </c>
      <c r="AS6" s="257" t="str">
        <f t="shared" si="0"/>
        <v>OPkBlk4</v>
      </c>
      <c r="AT6" s="257" t="str">
        <f t="shared" si="0"/>
        <v>OPkBlk5</v>
      </c>
      <c r="AU6" s="257" t="str">
        <f t="shared" si="0"/>
        <v>DemBlk1</v>
      </c>
      <c r="AV6" s="257" t="str">
        <f t="shared" si="0"/>
        <v>DemBlk2</v>
      </c>
      <c r="AW6" s="257" t="str">
        <f t="shared" si="0"/>
        <v>DemBlk3</v>
      </c>
      <c r="AX6" s="257" t="str">
        <f t="shared" si="0"/>
        <v>DemBlk4</v>
      </c>
      <c r="AY6" s="257" t="str">
        <f t="shared" si="0"/>
        <v>DemBlk5</v>
      </c>
      <c r="AZ6" s="730" t="s">
        <v>89</v>
      </c>
    </row>
    <row r="7" spans="2:52">
      <c r="B7" s="258"/>
      <c r="C7" s="468" t="str">
        <f>IF('Prop DUOS'!B7="","",'Prop DUOS'!B7)</f>
        <v>Residential Single Rate</v>
      </c>
      <c r="D7" s="769">
        <f>SUM('Prop DUOS'!E7,'Prop TUOS'!D7,'Prop JUOS'!D7)</f>
        <v>21.92</v>
      </c>
      <c r="E7" s="471">
        <f>SUM('Prop DUOS'!F7,'Prop TUOS'!E7,'Prop JUOS'!E7)</f>
        <v>7.99</v>
      </c>
      <c r="F7" s="471">
        <f>SUM('Prop DUOS'!G7,'Prop TUOS'!F7,'Prop JUOS'!F7)</f>
        <v>0</v>
      </c>
      <c r="G7" s="471">
        <f>SUM('Prop DUOS'!H7,'Prop TUOS'!G7,'Prop JUOS'!G7)</f>
        <v>0</v>
      </c>
      <c r="H7" s="471">
        <f>SUM('Prop DUOS'!I7,'Prop TUOS'!H7,'Prop JUOS'!H7)</f>
        <v>0</v>
      </c>
      <c r="I7" s="471">
        <f>SUM('Prop DUOS'!J7,'Prop TUOS'!I7,'Prop JUOS'!I7)</f>
        <v>0</v>
      </c>
      <c r="J7" s="471">
        <f>SUM('Prop DUOS'!K7,'Prop TUOS'!J7,'Prop JUOS'!J7)</f>
        <v>0</v>
      </c>
      <c r="K7" s="471">
        <f>SUM('Prop DUOS'!L7,'Prop TUOS'!K7,'Prop JUOS'!K7)</f>
        <v>0</v>
      </c>
      <c r="L7" s="471">
        <f>SUM('Prop DUOS'!M7,'Prop TUOS'!L7,'Prop JUOS'!L7)</f>
        <v>0</v>
      </c>
      <c r="M7" s="471">
        <f>SUM('Prop DUOS'!N7,'Prop TUOS'!M7,'Prop JUOS'!M7)</f>
        <v>0</v>
      </c>
      <c r="N7" s="471">
        <f>SUM('Prop DUOS'!O7,'Prop TUOS'!N7,'Prop JUOS'!N7)</f>
        <v>0</v>
      </c>
      <c r="O7" s="471">
        <f>SUM('Prop DUOS'!P7,'Prop TUOS'!O7,'Prop JUOS'!O7)</f>
        <v>0</v>
      </c>
      <c r="P7" s="471">
        <f>SUM('Prop DUOS'!Q7,'Prop TUOS'!P7,'Prop JUOS'!P7)</f>
        <v>0</v>
      </c>
      <c r="Q7" s="471">
        <f>SUM('Prop DUOS'!R7,'Prop TUOS'!Q7,'Prop JUOS'!Q7)</f>
        <v>0</v>
      </c>
      <c r="R7" s="471">
        <f>SUM('Prop DUOS'!S7,'Prop TUOS'!R7,'Prop JUOS'!R7)</f>
        <v>0</v>
      </c>
      <c r="T7" s="766">
        <v>21.92</v>
      </c>
      <c r="U7" s="563">
        <v>7.06</v>
      </c>
      <c r="V7" s="563">
        <v>0</v>
      </c>
      <c r="W7" s="563">
        <v>0</v>
      </c>
      <c r="X7" s="563">
        <v>0</v>
      </c>
      <c r="Y7" s="563">
        <v>0</v>
      </c>
      <c r="Z7" s="563">
        <v>0</v>
      </c>
      <c r="AA7" s="563">
        <v>0</v>
      </c>
      <c r="AB7" s="563">
        <v>0</v>
      </c>
      <c r="AC7" s="563">
        <v>0</v>
      </c>
      <c r="AD7" s="564">
        <v>0</v>
      </c>
      <c r="AE7" s="564">
        <v>0</v>
      </c>
      <c r="AF7" s="564">
        <v>0</v>
      </c>
      <c r="AG7" s="564">
        <v>0</v>
      </c>
      <c r="AH7" s="564">
        <v>0</v>
      </c>
      <c r="AK7" s="727">
        <f t="shared" ref="AK7:AK38" si="1">IFERROR(D7/T7-1,0)</f>
        <v>0</v>
      </c>
      <c r="AL7" s="728">
        <f t="shared" ref="AL7:AL38" si="2">IFERROR(E7/U7-1,0)</f>
        <v>0.1317280453257792</v>
      </c>
      <c r="AM7" s="728">
        <f t="shared" ref="AM7:AM38" si="3">IFERROR(F7/V7-1,0)</f>
        <v>0</v>
      </c>
      <c r="AN7" s="728">
        <f t="shared" ref="AN7:AN38" si="4">IFERROR(G7/W7-1,0)</f>
        <v>0</v>
      </c>
      <c r="AO7" s="728">
        <f t="shared" ref="AO7:AO38" si="5">IFERROR(H7/X7-1,0)</f>
        <v>0</v>
      </c>
      <c r="AP7" s="728">
        <f t="shared" ref="AP7:AP38" si="6">IFERROR(I7/Y7-1,0)</f>
        <v>0</v>
      </c>
      <c r="AQ7" s="728">
        <f t="shared" ref="AQ7:AQ38" si="7">IFERROR(J7/Z7-1,0)</f>
        <v>0</v>
      </c>
      <c r="AR7" s="728">
        <f t="shared" ref="AR7:AS38" si="8">IFERROR(K7/AA7-1,0)</f>
        <v>0</v>
      </c>
      <c r="AS7" s="728">
        <f t="shared" si="8"/>
        <v>0</v>
      </c>
      <c r="AT7" s="728">
        <f t="shared" ref="AT7:AT38" si="9">IFERROR(M7/AC7-1,0)</f>
        <v>0</v>
      </c>
      <c r="AU7" s="728">
        <f t="shared" ref="AU7:AU38" si="10">IFERROR(N7/AD7-1,0)</f>
        <v>0</v>
      </c>
      <c r="AV7" s="728">
        <f t="shared" ref="AV7:AV38" si="11">IFERROR(O7/AE7-1,0)</f>
        <v>0</v>
      </c>
      <c r="AW7" s="728">
        <f t="shared" ref="AW7:AW38" si="12">IFERROR(P7/AF7-1,0)</f>
        <v>0</v>
      </c>
      <c r="AX7" s="728">
        <f t="shared" ref="AX7:AX66" si="13">IFERROR(Q7/AG7-1,0)</f>
        <v>0</v>
      </c>
      <c r="AY7" s="728">
        <f t="shared" ref="AY7:AY66" si="14">IFERROR(R7/AH7-1,0)</f>
        <v>0</v>
      </c>
      <c r="AZ7" s="156" t="str">
        <f t="array" ref="AZ7">IF(MAX(ABS(AK7:AY7))&gt;$AZ$5,"EXPLAIN","")</f>
        <v/>
      </c>
    </row>
    <row r="8" spans="2:52">
      <c r="B8" s="258"/>
      <c r="C8" s="468" t="str">
        <f>IF('Prop DUOS'!B8="","",'Prop DUOS'!B8)</f>
        <v>Residential ToU</v>
      </c>
      <c r="D8" s="770">
        <f>SUM('Prop DUOS'!E8,'Prop TUOS'!D8,'Prop JUOS'!D8)</f>
        <v>21.92</v>
      </c>
      <c r="E8" s="473">
        <f>SUM('Prop DUOS'!F8,'Prop TUOS'!E8,'Prop JUOS'!E8)</f>
        <v>0</v>
      </c>
      <c r="F8" s="473">
        <f>SUM('Prop DUOS'!G8,'Prop TUOS'!F8,'Prop JUOS'!F8)</f>
        <v>15.79</v>
      </c>
      <c r="G8" s="473">
        <f>SUM('Prop DUOS'!H8,'Prop TUOS'!G8,'Prop JUOS'!G8)</f>
        <v>3.9499999999999997</v>
      </c>
      <c r="H8" s="473">
        <f>SUM('Prop DUOS'!I8,'Prop TUOS'!H8,'Prop JUOS'!H8)</f>
        <v>0</v>
      </c>
      <c r="I8" s="473">
        <f>SUM('Prop DUOS'!J8,'Prop TUOS'!I8,'Prop JUOS'!I8)</f>
        <v>0</v>
      </c>
      <c r="J8" s="473">
        <f>SUM('Prop DUOS'!K8,'Prop TUOS'!J8,'Prop JUOS'!J8)</f>
        <v>0</v>
      </c>
      <c r="K8" s="473">
        <f>SUM('Prop DUOS'!L8,'Prop TUOS'!K8,'Prop JUOS'!K8)</f>
        <v>0</v>
      </c>
      <c r="L8" s="473">
        <f>SUM('Prop DUOS'!M8,'Prop TUOS'!L8,'Prop JUOS'!L8)</f>
        <v>0</v>
      </c>
      <c r="M8" s="473">
        <f>SUM('Prop DUOS'!N8,'Prop TUOS'!M8,'Prop JUOS'!M8)</f>
        <v>0</v>
      </c>
      <c r="N8" s="473">
        <f>SUM('Prop DUOS'!O8,'Prop TUOS'!N8,'Prop JUOS'!N8)</f>
        <v>0</v>
      </c>
      <c r="O8" s="473">
        <f>SUM('Prop DUOS'!P8,'Prop TUOS'!O8,'Prop JUOS'!O8)</f>
        <v>0</v>
      </c>
      <c r="P8" s="473">
        <f>SUM('Prop DUOS'!Q8,'Prop TUOS'!P8,'Prop JUOS'!P8)</f>
        <v>0</v>
      </c>
      <c r="Q8" s="473">
        <f>SUM('Prop DUOS'!R8,'Prop TUOS'!Q8,'Prop JUOS'!Q8)</f>
        <v>0</v>
      </c>
      <c r="R8" s="473">
        <f>SUM('Prop DUOS'!S8,'Prop TUOS'!R8,'Prop JUOS'!R8)</f>
        <v>0</v>
      </c>
      <c r="T8" s="767">
        <v>21.92</v>
      </c>
      <c r="U8" s="545">
        <v>0</v>
      </c>
      <c r="V8" s="545">
        <v>14.52</v>
      </c>
      <c r="W8" s="545">
        <v>3.63</v>
      </c>
      <c r="X8" s="545">
        <v>0</v>
      </c>
      <c r="Y8" s="545">
        <v>0</v>
      </c>
      <c r="Z8" s="545">
        <v>0</v>
      </c>
      <c r="AA8" s="545">
        <v>0</v>
      </c>
      <c r="AB8" s="545">
        <v>0</v>
      </c>
      <c r="AC8" s="545">
        <v>0</v>
      </c>
      <c r="AD8" s="545">
        <v>0</v>
      </c>
      <c r="AE8" s="545">
        <v>0</v>
      </c>
      <c r="AF8" s="545">
        <v>0</v>
      </c>
      <c r="AG8" s="545">
        <v>0</v>
      </c>
      <c r="AH8" s="545">
        <v>0</v>
      </c>
      <c r="AK8" s="727">
        <f t="shared" si="1"/>
        <v>0</v>
      </c>
      <c r="AL8" s="728">
        <f t="shared" si="2"/>
        <v>0</v>
      </c>
      <c r="AM8" s="728">
        <f t="shared" si="3"/>
        <v>8.7465564738292034E-2</v>
      </c>
      <c r="AN8" s="728">
        <f t="shared" si="4"/>
        <v>8.8154269972451793E-2</v>
      </c>
      <c r="AO8" s="728">
        <f t="shared" si="5"/>
        <v>0</v>
      </c>
      <c r="AP8" s="728">
        <f t="shared" si="6"/>
        <v>0</v>
      </c>
      <c r="AQ8" s="728">
        <f t="shared" si="7"/>
        <v>0</v>
      </c>
      <c r="AR8" s="728">
        <f t="shared" si="8"/>
        <v>0</v>
      </c>
      <c r="AS8" s="728">
        <f t="shared" si="8"/>
        <v>0</v>
      </c>
      <c r="AT8" s="728">
        <f t="shared" si="9"/>
        <v>0</v>
      </c>
      <c r="AU8" s="728">
        <f t="shared" si="10"/>
        <v>0</v>
      </c>
      <c r="AV8" s="728">
        <f t="shared" si="11"/>
        <v>0</v>
      </c>
      <c r="AW8" s="728">
        <f t="shared" si="12"/>
        <v>0</v>
      </c>
      <c r="AX8" s="728">
        <f t="shared" si="13"/>
        <v>0</v>
      </c>
      <c r="AY8" s="728">
        <f t="shared" si="14"/>
        <v>0</v>
      </c>
      <c r="AZ8" s="156" t="str">
        <f t="array" ref="AZ8">IF(MAX(ABS(AK8:AY8))&gt;$AZ$5,"EXPLAIN","")</f>
        <v/>
      </c>
    </row>
    <row r="9" spans="2:52">
      <c r="B9" s="258"/>
      <c r="C9" s="468" t="str">
        <f>IF('Prop DUOS'!B9="","",'Prop DUOS'!B9)</f>
        <v>Residential Demand</v>
      </c>
      <c r="D9" s="770">
        <f>SUM('Prop DUOS'!E9,'Prop TUOS'!D9,'Prop JUOS'!D9)</f>
        <v>21.92</v>
      </c>
      <c r="E9" s="473">
        <f>SUM('Prop DUOS'!F9,'Prop TUOS'!E9,'Prop JUOS'!E9)</f>
        <v>4.0600000000000005</v>
      </c>
      <c r="F9" s="473">
        <f>SUM('Prop DUOS'!G9,'Prop TUOS'!F9,'Prop JUOS'!F9)</f>
        <v>0</v>
      </c>
      <c r="G9" s="473">
        <f>SUM('Prop DUOS'!H9,'Prop TUOS'!G9,'Prop JUOS'!G9)</f>
        <v>0</v>
      </c>
      <c r="H9" s="473">
        <f>SUM('Prop DUOS'!I9,'Prop TUOS'!H9,'Prop JUOS'!H9)</f>
        <v>0</v>
      </c>
      <c r="I9" s="473">
        <f>SUM('Prop DUOS'!J9,'Prop TUOS'!I9,'Prop JUOS'!I9)</f>
        <v>0</v>
      </c>
      <c r="J9" s="473">
        <f>SUM('Prop DUOS'!K9,'Prop TUOS'!J9,'Prop JUOS'!J9)</f>
        <v>0</v>
      </c>
      <c r="K9" s="473">
        <f>SUM('Prop DUOS'!L9,'Prop TUOS'!K9,'Prop JUOS'!K9)</f>
        <v>0</v>
      </c>
      <c r="L9" s="473">
        <f>SUM('Prop DUOS'!M9,'Prop TUOS'!L9,'Prop JUOS'!L9)</f>
        <v>0</v>
      </c>
      <c r="M9" s="473">
        <f>SUM('Prop DUOS'!N9,'Prop TUOS'!M9,'Prop JUOS'!M9)</f>
        <v>0</v>
      </c>
      <c r="N9" s="473">
        <f>SUM('Prop DUOS'!O9,'Prop TUOS'!N9,'Prop JUOS'!N9)</f>
        <v>0</v>
      </c>
      <c r="O9" s="473">
        <f>SUM('Prop DUOS'!P9,'Prop TUOS'!O9,'Prop JUOS'!O9)</f>
        <v>0</v>
      </c>
      <c r="P9" s="473">
        <f>SUM('Prop DUOS'!Q9,'Prop TUOS'!P9,'Prop JUOS'!P9)</f>
        <v>31.59</v>
      </c>
      <c r="Q9" s="473">
        <f>SUM('Prop DUOS'!R9,'Prop TUOS'!Q9,'Prop JUOS'!Q9)</f>
        <v>10.780000000000001</v>
      </c>
      <c r="R9" s="473">
        <f>SUM('Prop DUOS'!S9,'Prop TUOS'!R9,'Prop JUOS'!R9)</f>
        <v>0</v>
      </c>
      <c r="T9" s="767">
        <v>21.92</v>
      </c>
      <c r="U9" s="545">
        <v>3.58</v>
      </c>
      <c r="V9" s="545">
        <v>0</v>
      </c>
      <c r="W9" s="545">
        <v>0</v>
      </c>
      <c r="X9" s="545">
        <v>0</v>
      </c>
      <c r="Y9" s="545">
        <v>0</v>
      </c>
      <c r="Z9" s="545">
        <v>0</v>
      </c>
      <c r="AA9" s="545">
        <v>0</v>
      </c>
      <c r="AB9" s="545">
        <v>0</v>
      </c>
      <c r="AC9" s="545">
        <v>0</v>
      </c>
      <c r="AD9" s="545">
        <v>0</v>
      </c>
      <c r="AE9" s="545">
        <v>0</v>
      </c>
      <c r="AF9" s="545">
        <v>29.02</v>
      </c>
      <c r="AG9" s="545">
        <v>10.23</v>
      </c>
      <c r="AH9" s="545">
        <v>0</v>
      </c>
      <c r="AK9" s="727">
        <f t="shared" si="1"/>
        <v>0</v>
      </c>
      <c r="AL9" s="728">
        <f t="shared" si="2"/>
        <v>0.13407821229050287</v>
      </c>
      <c r="AM9" s="728">
        <f t="shared" si="3"/>
        <v>0</v>
      </c>
      <c r="AN9" s="728">
        <f t="shared" si="4"/>
        <v>0</v>
      </c>
      <c r="AO9" s="728">
        <f t="shared" si="5"/>
        <v>0</v>
      </c>
      <c r="AP9" s="728">
        <f t="shared" si="6"/>
        <v>0</v>
      </c>
      <c r="AQ9" s="728">
        <f t="shared" si="7"/>
        <v>0</v>
      </c>
      <c r="AR9" s="728">
        <f t="shared" si="8"/>
        <v>0</v>
      </c>
      <c r="AS9" s="728">
        <f t="shared" si="8"/>
        <v>0</v>
      </c>
      <c r="AT9" s="728">
        <f t="shared" si="9"/>
        <v>0</v>
      </c>
      <c r="AU9" s="728">
        <f t="shared" si="10"/>
        <v>0</v>
      </c>
      <c r="AV9" s="728">
        <f t="shared" si="11"/>
        <v>0</v>
      </c>
      <c r="AW9" s="728">
        <f t="shared" si="12"/>
        <v>8.8559614059269487E-2</v>
      </c>
      <c r="AX9" s="728">
        <f t="shared" si="13"/>
        <v>5.3763440860215228E-2</v>
      </c>
      <c r="AY9" s="728">
        <f t="shared" si="14"/>
        <v>0</v>
      </c>
      <c r="AZ9" s="156" t="str">
        <f t="array" ref="AZ9">IF(MAX(ABS(AK9:AY9))&gt;$AZ$5,"EXPLAIN","")</f>
        <v/>
      </c>
    </row>
    <row r="10" spans="2:52">
      <c r="B10" s="258"/>
      <c r="C10" s="468" t="str">
        <f>IF('Prop DUOS'!B10="","",'Prop DUOS'!B10)</f>
        <v>Dedicated circuit</v>
      </c>
      <c r="D10" s="770">
        <f>SUM('Prop DUOS'!E10,'Prop TUOS'!D10,'Prop JUOS'!D10)</f>
        <v>0</v>
      </c>
      <c r="E10" s="473">
        <f>SUM('Prop DUOS'!F10,'Prop TUOS'!E10,'Prop JUOS'!E10)</f>
        <v>0</v>
      </c>
      <c r="F10" s="473">
        <f>SUM('Prop DUOS'!G10,'Prop TUOS'!F10,'Prop JUOS'!F10)</f>
        <v>0</v>
      </c>
      <c r="G10" s="473">
        <f>SUM('Prop DUOS'!H10,'Prop TUOS'!G10,'Prop JUOS'!G10)</f>
        <v>2.17</v>
      </c>
      <c r="H10" s="473">
        <f>SUM('Prop DUOS'!I10,'Prop TUOS'!H10,'Prop JUOS'!H10)</f>
        <v>0</v>
      </c>
      <c r="I10" s="473">
        <f>SUM('Prop DUOS'!J10,'Prop TUOS'!I10,'Prop JUOS'!I10)</f>
        <v>0</v>
      </c>
      <c r="J10" s="473">
        <f>SUM('Prop DUOS'!K10,'Prop TUOS'!J10,'Prop JUOS'!J10)</f>
        <v>0</v>
      </c>
      <c r="K10" s="473">
        <f>SUM('Prop DUOS'!L10,'Prop TUOS'!K10,'Prop JUOS'!K10)</f>
        <v>0</v>
      </c>
      <c r="L10" s="473">
        <f>SUM('Prop DUOS'!M10,'Prop TUOS'!L10,'Prop JUOS'!L10)</f>
        <v>0</v>
      </c>
      <c r="M10" s="473">
        <f>SUM('Prop DUOS'!N10,'Prop TUOS'!M10,'Prop JUOS'!M10)</f>
        <v>0</v>
      </c>
      <c r="N10" s="473">
        <f>SUM('Prop DUOS'!O10,'Prop TUOS'!N10,'Prop JUOS'!N10)</f>
        <v>0</v>
      </c>
      <c r="O10" s="473">
        <f>SUM('Prop DUOS'!P10,'Prop TUOS'!O10,'Prop JUOS'!O10)</f>
        <v>0</v>
      </c>
      <c r="P10" s="473">
        <f>SUM('Prop DUOS'!Q10,'Prop TUOS'!P10,'Prop JUOS'!P10)</f>
        <v>0</v>
      </c>
      <c r="Q10" s="473">
        <f>SUM('Prop DUOS'!R10,'Prop TUOS'!Q10,'Prop JUOS'!Q10)</f>
        <v>0</v>
      </c>
      <c r="R10" s="473">
        <f>SUM('Prop DUOS'!S10,'Prop TUOS'!R10,'Prop JUOS'!R10)</f>
        <v>0</v>
      </c>
      <c r="T10" s="767">
        <v>0</v>
      </c>
      <c r="U10" s="545">
        <v>0</v>
      </c>
      <c r="V10" s="545">
        <v>0</v>
      </c>
      <c r="W10" s="545">
        <v>1.93</v>
      </c>
      <c r="X10" s="545">
        <v>0</v>
      </c>
      <c r="Y10" s="545">
        <v>0</v>
      </c>
      <c r="Z10" s="545">
        <v>0</v>
      </c>
      <c r="AA10" s="545">
        <v>0</v>
      </c>
      <c r="AB10" s="545">
        <v>0</v>
      </c>
      <c r="AC10" s="545">
        <v>0</v>
      </c>
      <c r="AD10" s="545">
        <v>0</v>
      </c>
      <c r="AE10" s="545">
        <v>0</v>
      </c>
      <c r="AF10" s="545">
        <v>0</v>
      </c>
      <c r="AG10" s="545">
        <v>0</v>
      </c>
      <c r="AH10" s="545">
        <v>0</v>
      </c>
      <c r="AK10" s="727">
        <f t="shared" si="1"/>
        <v>0</v>
      </c>
      <c r="AL10" s="728">
        <f t="shared" si="2"/>
        <v>0</v>
      </c>
      <c r="AM10" s="728">
        <f t="shared" si="3"/>
        <v>0</v>
      </c>
      <c r="AN10" s="728">
        <f t="shared" si="4"/>
        <v>0.12435233160621761</v>
      </c>
      <c r="AO10" s="728">
        <f t="shared" si="5"/>
        <v>0</v>
      </c>
      <c r="AP10" s="728">
        <f t="shared" si="6"/>
        <v>0</v>
      </c>
      <c r="AQ10" s="728">
        <f t="shared" si="7"/>
        <v>0</v>
      </c>
      <c r="AR10" s="728">
        <f t="shared" si="8"/>
        <v>0</v>
      </c>
      <c r="AS10" s="728">
        <f t="shared" si="8"/>
        <v>0</v>
      </c>
      <c r="AT10" s="728">
        <f t="shared" si="9"/>
        <v>0</v>
      </c>
      <c r="AU10" s="728">
        <f t="shared" si="10"/>
        <v>0</v>
      </c>
      <c r="AV10" s="728">
        <f t="shared" si="11"/>
        <v>0</v>
      </c>
      <c r="AW10" s="728">
        <f t="shared" si="12"/>
        <v>0</v>
      </c>
      <c r="AX10" s="728">
        <f t="shared" si="13"/>
        <v>0</v>
      </c>
      <c r="AY10" s="728">
        <f t="shared" si="14"/>
        <v>0</v>
      </c>
      <c r="AZ10" s="156" t="str">
        <f t="array" ref="AZ10">IF(MAX(ABS(AK10:AY10))&gt;$AZ$5,"EXPLAIN","")</f>
        <v/>
      </c>
    </row>
    <row r="11" spans="2:52">
      <c r="B11" s="258"/>
      <c r="C11" s="468" t="str">
        <f>IF('Prop DUOS'!B11="","",'Prop DUOS'!B11)</f>
        <v>Small Business Single Rate</v>
      </c>
      <c r="D11" s="770">
        <f>SUM('Prop DUOS'!E11,'Prop TUOS'!D11,'Prop JUOS'!D11)</f>
        <v>32.880000000000003</v>
      </c>
      <c r="E11" s="473">
        <f>SUM('Prop DUOS'!F11,'Prop TUOS'!E11,'Prop JUOS'!E11)</f>
        <v>8.7899999999999991</v>
      </c>
      <c r="F11" s="473">
        <f>SUM('Prop DUOS'!G11,'Prop TUOS'!F11,'Prop JUOS'!F11)</f>
        <v>0</v>
      </c>
      <c r="G11" s="473">
        <f>SUM('Prop DUOS'!H11,'Prop TUOS'!G11,'Prop JUOS'!G11)</f>
        <v>0</v>
      </c>
      <c r="H11" s="473">
        <f>SUM('Prop DUOS'!I11,'Prop TUOS'!H11,'Prop JUOS'!H11)</f>
        <v>0</v>
      </c>
      <c r="I11" s="473">
        <f>SUM('Prop DUOS'!J11,'Prop TUOS'!I11,'Prop JUOS'!I11)</f>
        <v>0</v>
      </c>
      <c r="J11" s="473">
        <f>SUM('Prop DUOS'!K11,'Prop TUOS'!J11,'Prop JUOS'!J11)</f>
        <v>0</v>
      </c>
      <c r="K11" s="473">
        <f>SUM('Prop DUOS'!L11,'Prop TUOS'!K11,'Prop JUOS'!K11)</f>
        <v>0</v>
      </c>
      <c r="L11" s="473">
        <f>SUM('Prop DUOS'!M11,'Prop TUOS'!L11,'Prop JUOS'!L11)</f>
        <v>0</v>
      </c>
      <c r="M11" s="473">
        <f>SUM('Prop DUOS'!N11,'Prop TUOS'!M11,'Prop JUOS'!M11)</f>
        <v>0</v>
      </c>
      <c r="N11" s="473">
        <f>SUM('Prop DUOS'!O11,'Prop TUOS'!N11,'Prop JUOS'!N11)</f>
        <v>0</v>
      </c>
      <c r="O11" s="473">
        <f>SUM('Prop DUOS'!P11,'Prop TUOS'!O11,'Prop JUOS'!O11)</f>
        <v>0</v>
      </c>
      <c r="P11" s="473">
        <f>SUM('Prop DUOS'!Q11,'Prop TUOS'!P11,'Prop JUOS'!P11)</f>
        <v>0</v>
      </c>
      <c r="Q11" s="473">
        <f>SUM('Prop DUOS'!R11,'Prop TUOS'!Q11,'Prop JUOS'!Q11)</f>
        <v>0</v>
      </c>
      <c r="R11" s="473">
        <f>SUM('Prop DUOS'!S11,'Prop TUOS'!R11,'Prop JUOS'!R11)</f>
        <v>0</v>
      </c>
      <c r="T11" s="767">
        <v>32.880000000000003</v>
      </c>
      <c r="U11" s="545">
        <v>8.56</v>
      </c>
      <c r="V11" s="545">
        <v>0</v>
      </c>
      <c r="W11" s="545">
        <v>0</v>
      </c>
      <c r="X11" s="545">
        <v>0</v>
      </c>
      <c r="Y11" s="545">
        <v>0</v>
      </c>
      <c r="Z11" s="545">
        <v>0</v>
      </c>
      <c r="AA11" s="545">
        <v>0</v>
      </c>
      <c r="AB11" s="545">
        <v>0</v>
      </c>
      <c r="AC11" s="545">
        <v>0</v>
      </c>
      <c r="AD11" s="545">
        <v>0</v>
      </c>
      <c r="AE11" s="545">
        <v>0</v>
      </c>
      <c r="AF11" s="545">
        <v>0</v>
      </c>
      <c r="AG11" s="545">
        <v>0</v>
      </c>
      <c r="AH11" s="545">
        <v>0</v>
      </c>
      <c r="AK11" s="727">
        <f t="shared" si="1"/>
        <v>0</v>
      </c>
      <c r="AL11" s="728">
        <f t="shared" si="2"/>
        <v>2.6869158878504606E-2</v>
      </c>
      <c r="AM11" s="728">
        <f t="shared" si="3"/>
        <v>0</v>
      </c>
      <c r="AN11" s="728">
        <f t="shared" si="4"/>
        <v>0</v>
      </c>
      <c r="AO11" s="728">
        <f t="shared" si="5"/>
        <v>0</v>
      </c>
      <c r="AP11" s="728">
        <f t="shared" si="6"/>
        <v>0</v>
      </c>
      <c r="AQ11" s="728">
        <f t="shared" si="7"/>
        <v>0</v>
      </c>
      <c r="AR11" s="728">
        <f t="shared" si="8"/>
        <v>0</v>
      </c>
      <c r="AS11" s="728">
        <f t="shared" si="8"/>
        <v>0</v>
      </c>
      <c r="AT11" s="728">
        <f t="shared" si="9"/>
        <v>0</v>
      </c>
      <c r="AU11" s="728">
        <f t="shared" si="10"/>
        <v>0</v>
      </c>
      <c r="AV11" s="728">
        <f t="shared" si="11"/>
        <v>0</v>
      </c>
      <c r="AW11" s="728">
        <f t="shared" si="12"/>
        <v>0</v>
      </c>
      <c r="AX11" s="728">
        <f t="shared" si="13"/>
        <v>0</v>
      </c>
      <c r="AY11" s="728">
        <f t="shared" si="14"/>
        <v>0</v>
      </c>
      <c r="AZ11" s="156" t="str">
        <f t="array" ref="AZ11">IF(MAX(ABS(AK11:AY11))&gt;$AZ$5,"EXPLAIN","")</f>
        <v/>
      </c>
    </row>
    <row r="12" spans="2:52">
      <c r="B12" s="258"/>
      <c r="C12" s="468" t="str">
        <f>IF('Prop DUOS'!B12="","",'Prop DUOS'!B12)</f>
        <v>Small Business ToU</v>
      </c>
      <c r="D12" s="770">
        <f>SUM('Prop DUOS'!E12,'Prop TUOS'!D12,'Prop JUOS'!D12)</f>
        <v>32.880000000000003</v>
      </c>
      <c r="E12" s="473">
        <f>SUM('Prop DUOS'!F12,'Prop TUOS'!E12,'Prop JUOS'!E12)</f>
        <v>0</v>
      </c>
      <c r="F12" s="473">
        <f>SUM('Prop DUOS'!G12,'Prop TUOS'!F12,'Prop JUOS'!F12)</f>
        <v>13.99</v>
      </c>
      <c r="G12" s="473">
        <f>SUM('Prop DUOS'!H12,'Prop TUOS'!G12,'Prop JUOS'!G12)</f>
        <v>3.1100000000000003</v>
      </c>
      <c r="H12" s="473">
        <f>SUM('Prop DUOS'!I12,'Prop TUOS'!H12,'Prop JUOS'!H12)</f>
        <v>0</v>
      </c>
      <c r="I12" s="473">
        <f>SUM('Prop DUOS'!J12,'Prop TUOS'!I12,'Prop JUOS'!I12)</f>
        <v>0</v>
      </c>
      <c r="J12" s="473">
        <f>SUM('Prop DUOS'!K12,'Prop TUOS'!J12,'Prop JUOS'!J12)</f>
        <v>0</v>
      </c>
      <c r="K12" s="473">
        <f>SUM('Prop DUOS'!L12,'Prop TUOS'!K12,'Prop JUOS'!K12)</f>
        <v>0</v>
      </c>
      <c r="L12" s="473">
        <f>SUM('Prop DUOS'!M12,'Prop TUOS'!L12,'Prop JUOS'!L12)</f>
        <v>0</v>
      </c>
      <c r="M12" s="473">
        <f>SUM('Prop DUOS'!N12,'Prop TUOS'!M12,'Prop JUOS'!M12)</f>
        <v>0</v>
      </c>
      <c r="N12" s="473">
        <f>SUM('Prop DUOS'!O12,'Prop TUOS'!N12,'Prop JUOS'!N12)</f>
        <v>0</v>
      </c>
      <c r="O12" s="473">
        <f>SUM('Prop DUOS'!P12,'Prop TUOS'!O12,'Prop JUOS'!O12)</f>
        <v>0</v>
      </c>
      <c r="P12" s="473">
        <f>SUM('Prop DUOS'!Q12,'Prop TUOS'!P12,'Prop JUOS'!P12)</f>
        <v>0</v>
      </c>
      <c r="Q12" s="473">
        <f>SUM('Prop DUOS'!R12,'Prop TUOS'!Q12,'Prop JUOS'!Q12)</f>
        <v>0</v>
      </c>
      <c r="R12" s="473">
        <f>SUM('Prop DUOS'!S12,'Prop TUOS'!R12,'Prop JUOS'!R12)</f>
        <v>0</v>
      </c>
      <c r="T12" s="767">
        <v>32.880000000000003</v>
      </c>
      <c r="U12" s="545">
        <v>0</v>
      </c>
      <c r="V12" s="545">
        <v>11.65</v>
      </c>
      <c r="W12" s="545">
        <v>2.5900000000000003</v>
      </c>
      <c r="X12" s="545">
        <v>0</v>
      </c>
      <c r="Y12" s="545">
        <v>0</v>
      </c>
      <c r="Z12" s="545">
        <v>0</v>
      </c>
      <c r="AA12" s="545">
        <v>0</v>
      </c>
      <c r="AB12" s="545">
        <v>0</v>
      </c>
      <c r="AC12" s="545">
        <v>0</v>
      </c>
      <c r="AD12" s="545">
        <v>0</v>
      </c>
      <c r="AE12" s="545">
        <v>0</v>
      </c>
      <c r="AF12" s="545">
        <v>0</v>
      </c>
      <c r="AG12" s="545">
        <v>0</v>
      </c>
      <c r="AH12" s="545">
        <v>0</v>
      </c>
      <c r="AK12" s="727">
        <f t="shared" si="1"/>
        <v>0</v>
      </c>
      <c r="AL12" s="728">
        <f t="shared" si="2"/>
        <v>0</v>
      </c>
      <c r="AM12" s="728">
        <f t="shared" si="3"/>
        <v>0.20085836909871246</v>
      </c>
      <c r="AN12" s="728">
        <f t="shared" si="4"/>
        <v>0.20077220077220082</v>
      </c>
      <c r="AO12" s="728">
        <f t="shared" si="5"/>
        <v>0</v>
      </c>
      <c r="AP12" s="728">
        <f t="shared" si="6"/>
        <v>0</v>
      </c>
      <c r="AQ12" s="728">
        <f t="shared" si="7"/>
        <v>0</v>
      </c>
      <c r="AR12" s="728">
        <f t="shared" si="8"/>
        <v>0</v>
      </c>
      <c r="AS12" s="728">
        <f t="shared" si="8"/>
        <v>0</v>
      </c>
      <c r="AT12" s="728">
        <f t="shared" si="9"/>
        <v>0</v>
      </c>
      <c r="AU12" s="728">
        <f t="shared" si="10"/>
        <v>0</v>
      </c>
      <c r="AV12" s="728">
        <f t="shared" si="11"/>
        <v>0</v>
      </c>
      <c r="AW12" s="728">
        <f t="shared" si="12"/>
        <v>0</v>
      </c>
      <c r="AX12" s="728">
        <f t="shared" si="13"/>
        <v>0</v>
      </c>
      <c r="AY12" s="728">
        <f t="shared" si="14"/>
        <v>0</v>
      </c>
      <c r="AZ12" s="156" t="str">
        <f t="array" ref="AZ12">IF(MAX(ABS(AK12:AY12))&gt;$AZ$5,"EXPLAIN","")</f>
        <v>EXPLAIN</v>
      </c>
    </row>
    <row r="13" spans="2:52">
      <c r="B13" s="258"/>
      <c r="C13" s="468" t="str">
        <f>IF('Prop DUOS'!B13="","",'Prop DUOS'!B13)</f>
        <v>Small Business Demand</v>
      </c>
      <c r="D13" s="770">
        <f>SUM('Prop DUOS'!E13,'Prop TUOS'!D13,'Prop JUOS'!D13)</f>
        <v>32.880000000000003</v>
      </c>
      <c r="E13" s="473">
        <f>SUM('Prop DUOS'!F13,'Prop TUOS'!E13,'Prop JUOS'!E13)</f>
        <v>5.1099999999999994</v>
      </c>
      <c r="F13" s="473">
        <f>SUM('Prop DUOS'!G13,'Prop TUOS'!F13,'Prop JUOS'!F13)</f>
        <v>0</v>
      </c>
      <c r="G13" s="473">
        <f>SUM('Prop DUOS'!H13,'Prop TUOS'!G13,'Prop JUOS'!G13)</f>
        <v>0</v>
      </c>
      <c r="H13" s="473">
        <f>SUM('Prop DUOS'!I13,'Prop TUOS'!H13,'Prop JUOS'!H13)</f>
        <v>0</v>
      </c>
      <c r="I13" s="473">
        <f>SUM('Prop DUOS'!J13,'Prop TUOS'!I13,'Prop JUOS'!I13)</f>
        <v>0</v>
      </c>
      <c r="J13" s="473">
        <f>SUM('Prop DUOS'!K13,'Prop TUOS'!J13,'Prop JUOS'!J13)</f>
        <v>0</v>
      </c>
      <c r="K13" s="473">
        <f>SUM('Prop DUOS'!L13,'Prop TUOS'!K13,'Prop JUOS'!K13)</f>
        <v>0</v>
      </c>
      <c r="L13" s="473">
        <f>SUM('Prop DUOS'!M13,'Prop TUOS'!L13,'Prop JUOS'!L13)</f>
        <v>0</v>
      </c>
      <c r="M13" s="473">
        <f>SUM('Prop DUOS'!N13,'Prop TUOS'!M13,'Prop JUOS'!M13)</f>
        <v>0</v>
      </c>
      <c r="N13" s="473">
        <f>SUM('Prop DUOS'!O13,'Prop TUOS'!N13,'Prop JUOS'!N13)</f>
        <v>0</v>
      </c>
      <c r="O13" s="473">
        <f>SUM('Prop DUOS'!P13,'Prop TUOS'!O13,'Prop JUOS'!O13)</f>
        <v>0</v>
      </c>
      <c r="P13" s="473">
        <f>SUM('Prop DUOS'!Q13,'Prop TUOS'!P13,'Prop JUOS'!P13)</f>
        <v>56.300000000000004</v>
      </c>
      <c r="Q13" s="473">
        <f>SUM('Prop DUOS'!R13,'Prop TUOS'!Q13,'Prop JUOS'!Q13)</f>
        <v>22.14</v>
      </c>
      <c r="R13" s="473">
        <f>SUM('Prop DUOS'!S13,'Prop TUOS'!R13,'Prop JUOS'!R13)</f>
        <v>0</v>
      </c>
      <c r="T13" s="767">
        <v>32.880000000000003</v>
      </c>
      <c r="U13" s="545">
        <v>4.47</v>
      </c>
      <c r="V13" s="545">
        <v>0</v>
      </c>
      <c r="W13" s="545">
        <v>0</v>
      </c>
      <c r="X13" s="545">
        <v>0</v>
      </c>
      <c r="Y13" s="566">
        <v>0</v>
      </c>
      <c r="Z13" s="545">
        <v>0</v>
      </c>
      <c r="AA13" s="545">
        <v>0</v>
      </c>
      <c r="AB13" s="545">
        <v>0</v>
      </c>
      <c r="AC13" s="545">
        <v>0</v>
      </c>
      <c r="AD13" s="545">
        <v>0</v>
      </c>
      <c r="AE13" s="545">
        <v>0</v>
      </c>
      <c r="AF13" s="545">
        <v>49.67</v>
      </c>
      <c r="AG13" s="545">
        <v>20.3</v>
      </c>
      <c r="AH13" s="545">
        <v>0</v>
      </c>
      <c r="AK13" s="727">
        <f t="shared" si="1"/>
        <v>0</v>
      </c>
      <c r="AL13" s="728">
        <f t="shared" si="2"/>
        <v>0.14317673378076057</v>
      </c>
      <c r="AM13" s="728">
        <f t="shared" si="3"/>
        <v>0</v>
      </c>
      <c r="AN13" s="728">
        <f t="shared" si="4"/>
        <v>0</v>
      </c>
      <c r="AO13" s="728">
        <f t="shared" si="5"/>
        <v>0</v>
      </c>
      <c r="AP13" s="728">
        <f t="shared" si="6"/>
        <v>0</v>
      </c>
      <c r="AQ13" s="728">
        <f t="shared" si="7"/>
        <v>0</v>
      </c>
      <c r="AR13" s="728">
        <f t="shared" si="8"/>
        <v>0</v>
      </c>
      <c r="AS13" s="728">
        <f t="shared" si="8"/>
        <v>0</v>
      </c>
      <c r="AT13" s="728">
        <f t="shared" si="9"/>
        <v>0</v>
      </c>
      <c r="AU13" s="728">
        <f t="shared" si="10"/>
        <v>0</v>
      </c>
      <c r="AV13" s="728">
        <f t="shared" si="11"/>
        <v>0</v>
      </c>
      <c r="AW13" s="728">
        <f t="shared" si="12"/>
        <v>0.13348097443124618</v>
      </c>
      <c r="AX13" s="728">
        <f t="shared" si="13"/>
        <v>9.0640394088669973E-2</v>
      </c>
      <c r="AY13" s="728">
        <f t="shared" si="14"/>
        <v>0</v>
      </c>
      <c r="AZ13" s="156" t="str">
        <f t="array" ref="AZ13">IF(MAX(ABS(AK13:AY13))&gt;$AZ$5,"EXPLAIN","")</f>
        <v/>
      </c>
    </row>
    <row r="14" spans="2:52">
      <c r="B14" s="258"/>
      <c r="C14" s="468" t="str">
        <f>IF('Prop DUOS'!B14="","",'Prop DUOS'!B14)</f>
        <v>Unmetered supplies</v>
      </c>
      <c r="D14" s="770">
        <f>SUM('Prop DUOS'!E14,'Prop TUOS'!D14,'Prop JUOS'!D14)</f>
        <v>0</v>
      </c>
      <c r="E14" s="473">
        <f>SUM('Prop DUOS'!F14,'Prop TUOS'!E14,'Prop JUOS'!E14)</f>
        <v>0</v>
      </c>
      <c r="F14" s="473">
        <f>SUM('Prop DUOS'!G14,'Prop TUOS'!F14,'Prop JUOS'!F14)</f>
        <v>13.45</v>
      </c>
      <c r="G14" s="473">
        <f>SUM('Prop DUOS'!H14,'Prop TUOS'!G14,'Prop JUOS'!G14)</f>
        <v>4.12</v>
      </c>
      <c r="H14" s="473">
        <f>SUM('Prop DUOS'!I14,'Prop TUOS'!H14,'Prop JUOS'!H14)</f>
        <v>0</v>
      </c>
      <c r="I14" s="473">
        <f>SUM('Prop DUOS'!J14,'Prop TUOS'!I14,'Prop JUOS'!I14)</f>
        <v>0</v>
      </c>
      <c r="J14" s="473">
        <f>SUM('Prop DUOS'!K14,'Prop TUOS'!J14,'Prop JUOS'!J14)</f>
        <v>0</v>
      </c>
      <c r="K14" s="473">
        <f>SUM('Prop DUOS'!L14,'Prop TUOS'!K14,'Prop JUOS'!K14)</f>
        <v>0</v>
      </c>
      <c r="L14" s="473">
        <f>SUM('Prop DUOS'!M14,'Prop TUOS'!L14,'Prop JUOS'!L14)</f>
        <v>0</v>
      </c>
      <c r="M14" s="473">
        <f>SUM('Prop DUOS'!N14,'Prop TUOS'!M14,'Prop JUOS'!M14)</f>
        <v>0</v>
      </c>
      <c r="N14" s="473">
        <f>SUM('Prop DUOS'!O14,'Prop TUOS'!N14,'Prop JUOS'!N14)</f>
        <v>0</v>
      </c>
      <c r="O14" s="473">
        <f>SUM('Prop DUOS'!P14,'Prop TUOS'!O14,'Prop JUOS'!O14)</f>
        <v>0</v>
      </c>
      <c r="P14" s="473">
        <f>SUM('Prop DUOS'!Q14,'Prop TUOS'!P14,'Prop JUOS'!P14)</f>
        <v>0</v>
      </c>
      <c r="Q14" s="473">
        <f>SUM('Prop DUOS'!R14,'Prop TUOS'!Q14,'Prop JUOS'!Q14)</f>
        <v>0</v>
      </c>
      <c r="R14" s="473">
        <f>SUM('Prop DUOS'!S14,'Prop TUOS'!R14,'Prop JUOS'!R14)</f>
        <v>0</v>
      </c>
      <c r="T14" s="768">
        <v>0</v>
      </c>
      <c r="U14" s="545">
        <v>0</v>
      </c>
      <c r="V14" s="545">
        <v>10.75</v>
      </c>
      <c r="W14" s="545">
        <v>3.62</v>
      </c>
      <c r="X14" s="545">
        <v>0</v>
      </c>
      <c r="Y14" s="566">
        <v>0</v>
      </c>
      <c r="Z14" s="545">
        <v>0</v>
      </c>
      <c r="AA14" s="545">
        <v>0</v>
      </c>
      <c r="AB14" s="545">
        <v>0</v>
      </c>
      <c r="AC14" s="545">
        <v>0</v>
      </c>
      <c r="AD14" s="545">
        <v>0</v>
      </c>
      <c r="AE14" s="545">
        <v>0</v>
      </c>
      <c r="AF14" s="545">
        <v>0</v>
      </c>
      <c r="AG14" s="545">
        <v>0</v>
      </c>
      <c r="AH14" s="545">
        <v>0</v>
      </c>
      <c r="AK14" s="727">
        <f t="shared" si="1"/>
        <v>0</v>
      </c>
      <c r="AL14" s="728">
        <f t="shared" si="2"/>
        <v>0</v>
      </c>
      <c r="AM14" s="728">
        <f t="shared" si="3"/>
        <v>0.25116279069767433</v>
      </c>
      <c r="AN14" s="728">
        <f t="shared" si="4"/>
        <v>0.13812154696132595</v>
      </c>
      <c r="AO14" s="728">
        <f t="shared" si="5"/>
        <v>0</v>
      </c>
      <c r="AP14" s="728">
        <f t="shared" si="6"/>
        <v>0</v>
      </c>
      <c r="AQ14" s="728">
        <f t="shared" si="7"/>
        <v>0</v>
      </c>
      <c r="AR14" s="728">
        <f t="shared" si="8"/>
        <v>0</v>
      </c>
      <c r="AS14" s="728">
        <f t="shared" si="8"/>
        <v>0</v>
      </c>
      <c r="AT14" s="728">
        <f t="shared" si="9"/>
        <v>0</v>
      </c>
      <c r="AU14" s="728">
        <f t="shared" si="10"/>
        <v>0</v>
      </c>
      <c r="AV14" s="728">
        <f t="shared" si="11"/>
        <v>0</v>
      </c>
      <c r="AW14" s="728">
        <f t="shared" si="12"/>
        <v>0</v>
      </c>
      <c r="AX14" s="728">
        <f t="shared" si="13"/>
        <v>0</v>
      </c>
      <c r="AY14" s="728">
        <f t="shared" si="14"/>
        <v>0</v>
      </c>
      <c r="AZ14" s="156" t="str">
        <f t="array" ref="AZ14">IF(MAX(ABS(AK14:AY14))&gt;$AZ$5,"EXPLAIN","")</f>
        <v>EXPLAIN</v>
      </c>
    </row>
    <row r="15" spans="2:52">
      <c r="B15" s="258"/>
      <c r="C15" s="468" t="str">
        <f>IF('Prop DUOS'!B15="","",'Prop DUOS'!B15)</f>
        <v>Large low Voltage</v>
      </c>
      <c r="D15" s="770">
        <f>SUM('Prop DUOS'!E15,'Prop TUOS'!D15,'Prop JUOS'!D15)</f>
        <v>0</v>
      </c>
      <c r="E15" s="473">
        <f>SUM('Prop DUOS'!F15,'Prop TUOS'!E15,'Prop JUOS'!E15)</f>
        <v>0</v>
      </c>
      <c r="F15" s="473">
        <f>SUM('Prop DUOS'!G15,'Prop TUOS'!F15,'Prop JUOS'!F15)</f>
        <v>2.9</v>
      </c>
      <c r="G15" s="473">
        <f>SUM('Prop DUOS'!H15,'Prop TUOS'!G15,'Prop JUOS'!G15)</f>
        <v>1.4</v>
      </c>
      <c r="H15" s="473">
        <f>SUM('Prop DUOS'!I15,'Prop TUOS'!H15,'Prop JUOS'!H15)</f>
        <v>0</v>
      </c>
      <c r="I15" s="473">
        <f>SUM('Prop DUOS'!J15,'Prop TUOS'!I15,'Prop JUOS'!I15)</f>
        <v>0</v>
      </c>
      <c r="J15" s="473">
        <f>SUM('Prop DUOS'!K15,'Prop TUOS'!J15,'Prop JUOS'!J15)</f>
        <v>0</v>
      </c>
      <c r="K15" s="473">
        <f>SUM('Prop DUOS'!L15,'Prop TUOS'!K15,'Prop JUOS'!K15)</f>
        <v>0</v>
      </c>
      <c r="L15" s="473">
        <f>SUM('Prop DUOS'!M15,'Prop TUOS'!L15,'Prop JUOS'!L15)</f>
        <v>0</v>
      </c>
      <c r="M15" s="473">
        <f>SUM('Prop DUOS'!N15,'Prop TUOS'!M15,'Prop JUOS'!M15)</f>
        <v>0</v>
      </c>
      <c r="N15" s="473">
        <f>SUM('Prop DUOS'!O15,'Prop TUOS'!N15,'Prop JUOS'!N15)</f>
        <v>24.43</v>
      </c>
      <c r="O15" s="473">
        <f>SUM('Prop DUOS'!P15,'Prop TUOS'!O15,'Prop JUOS'!O15)</f>
        <v>28.32</v>
      </c>
      <c r="P15" s="473">
        <f>SUM('Prop DUOS'!Q15,'Prop TUOS'!P15,'Prop JUOS'!P15)</f>
        <v>0</v>
      </c>
      <c r="Q15" s="473">
        <f>SUM('Prop DUOS'!R15,'Prop TUOS'!Q15,'Prop JUOS'!Q15)</f>
        <v>0</v>
      </c>
      <c r="R15" s="473">
        <f>SUM('Prop DUOS'!S15,'Prop TUOS'!R15,'Prop JUOS'!R15)</f>
        <v>0</v>
      </c>
      <c r="T15" s="768">
        <v>0</v>
      </c>
      <c r="U15" s="545">
        <v>0</v>
      </c>
      <c r="V15" s="545">
        <v>2.5700000000000003</v>
      </c>
      <c r="W15" s="545">
        <v>1.24</v>
      </c>
      <c r="X15" s="545">
        <v>0</v>
      </c>
      <c r="Y15" s="566">
        <v>0</v>
      </c>
      <c r="Z15" s="545">
        <v>0</v>
      </c>
      <c r="AA15" s="545">
        <v>0</v>
      </c>
      <c r="AB15" s="545">
        <v>0</v>
      </c>
      <c r="AC15" s="545">
        <v>0</v>
      </c>
      <c r="AD15" s="545">
        <v>21.88</v>
      </c>
      <c r="AE15" s="545">
        <v>25</v>
      </c>
      <c r="AF15" s="545">
        <v>0</v>
      </c>
      <c r="AG15" s="545">
        <v>0</v>
      </c>
      <c r="AH15" s="545">
        <v>0</v>
      </c>
      <c r="AK15" s="727">
        <f t="shared" si="1"/>
        <v>0</v>
      </c>
      <c r="AL15" s="728">
        <f t="shared" si="2"/>
        <v>0</v>
      </c>
      <c r="AM15" s="728">
        <f t="shared" si="3"/>
        <v>0.12840466926070015</v>
      </c>
      <c r="AN15" s="728">
        <f t="shared" si="4"/>
        <v>0.12903225806451601</v>
      </c>
      <c r="AO15" s="728">
        <f t="shared" si="5"/>
        <v>0</v>
      </c>
      <c r="AP15" s="728">
        <f t="shared" si="6"/>
        <v>0</v>
      </c>
      <c r="AQ15" s="728">
        <f t="shared" si="7"/>
        <v>0</v>
      </c>
      <c r="AR15" s="728">
        <f t="shared" si="8"/>
        <v>0</v>
      </c>
      <c r="AS15" s="728">
        <f t="shared" si="8"/>
        <v>0</v>
      </c>
      <c r="AT15" s="728">
        <f t="shared" si="9"/>
        <v>0</v>
      </c>
      <c r="AU15" s="728">
        <f t="shared" si="10"/>
        <v>0.11654478976234017</v>
      </c>
      <c r="AV15" s="728">
        <f t="shared" si="11"/>
        <v>0.13280000000000003</v>
      </c>
      <c r="AW15" s="728">
        <f t="shared" si="12"/>
        <v>0</v>
      </c>
      <c r="AX15" s="728">
        <f t="shared" si="13"/>
        <v>0</v>
      </c>
      <c r="AY15" s="728">
        <f t="shared" si="14"/>
        <v>0</v>
      </c>
      <c r="AZ15" s="156" t="str">
        <f t="array" ref="AZ15">IF(MAX(ABS(AK15:AY15))&gt;$AZ$5,"EXPLAIN","")</f>
        <v/>
      </c>
    </row>
    <row r="16" spans="2:52">
      <c r="B16" s="258"/>
      <c r="C16" s="468" t="str">
        <f>IF('Prop DUOS'!B16="","",'Prop DUOS'!B16)</f>
        <v>High voltage</v>
      </c>
      <c r="D16" s="770">
        <f>SUM('Prop DUOS'!E16,'Prop TUOS'!D16,'Prop JUOS'!D16)</f>
        <v>0</v>
      </c>
      <c r="E16" s="473">
        <f>SUM('Prop DUOS'!F16,'Prop TUOS'!E16,'Prop JUOS'!E16)</f>
        <v>0</v>
      </c>
      <c r="F16" s="473">
        <f>SUM('Prop DUOS'!G16,'Prop TUOS'!F16,'Prop JUOS'!F16)</f>
        <v>2.2599999999999998</v>
      </c>
      <c r="G16" s="473">
        <f>SUM('Prop DUOS'!H16,'Prop TUOS'!G16,'Prop JUOS'!G16)</f>
        <v>1.1099999999999999</v>
      </c>
      <c r="H16" s="473">
        <f>SUM('Prop DUOS'!I16,'Prop TUOS'!H16,'Prop JUOS'!H16)</f>
        <v>0</v>
      </c>
      <c r="I16" s="473">
        <f>SUM('Prop DUOS'!J16,'Prop TUOS'!I16,'Prop JUOS'!I16)</f>
        <v>0</v>
      </c>
      <c r="J16" s="473">
        <f>SUM('Prop DUOS'!K16,'Prop TUOS'!J16,'Prop JUOS'!J16)</f>
        <v>0</v>
      </c>
      <c r="K16" s="473">
        <f>SUM('Prop DUOS'!L16,'Prop TUOS'!K16,'Prop JUOS'!K16)</f>
        <v>0</v>
      </c>
      <c r="L16" s="473">
        <f>SUM('Prop DUOS'!M16,'Prop TUOS'!L16,'Prop JUOS'!L16)</f>
        <v>0</v>
      </c>
      <c r="M16" s="473">
        <f>SUM('Prop DUOS'!N16,'Prop TUOS'!M16,'Prop JUOS'!M16)</f>
        <v>0</v>
      </c>
      <c r="N16" s="473">
        <f>SUM('Prop DUOS'!O16,'Prop TUOS'!N16,'Prop JUOS'!N16)</f>
        <v>14.29</v>
      </c>
      <c r="O16" s="473">
        <f>SUM('Prop DUOS'!P16,'Prop TUOS'!O16,'Prop JUOS'!O16)</f>
        <v>17.89</v>
      </c>
      <c r="P16" s="473">
        <f>SUM('Prop DUOS'!Q16,'Prop TUOS'!P16,'Prop JUOS'!P16)</f>
        <v>0</v>
      </c>
      <c r="Q16" s="473">
        <f>SUM('Prop DUOS'!R16,'Prop TUOS'!Q16,'Prop JUOS'!Q16)</f>
        <v>0</v>
      </c>
      <c r="R16" s="473">
        <f>SUM('Prop DUOS'!S16,'Prop TUOS'!R16,'Prop JUOS'!R16)</f>
        <v>0</v>
      </c>
      <c r="T16" s="768">
        <v>0</v>
      </c>
      <c r="U16" s="545">
        <v>0</v>
      </c>
      <c r="V16" s="545">
        <v>2.0099999999999998</v>
      </c>
      <c r="W16" s="545">
        <v>0.99</v>
      </c>
      <c r="X16" s="545">
        <v>0</v>
      </c>
      <c r="Y16" s="566">
        <v>0</v>
      </c>
      <c r="Z16" s="545">
        <v>0</v>
      </c>
      <c r="AA16" s="545">
        <v>0</v>
      </c>
      <c r="AB16" s="545">
        <v>0</v>
      </c>
      <c r="AC16" s="545">
        <v>0</v>
      </c>
      <c r="AD16" s="545">
        <v>12.7</v>
      </c>
      <c r="AE16" s="545">
        <v>15.79</v>
      </c>
      <c r="AF16" s="545">
        <v>0</v>
      </c>
      <c r="AG16" s="545">
        <v>0</v>
      </c>
      <c r="AH16" s="545">
        <v>0</v>
      </c>
      <c r="AK16" s="727">
        <f t="shared" si="1"/>
        <v>0</v>
      </c>
      <c r="AL16" s="728">
        <f t="shared" si="2"/>
        <v>0</v>
      </c>
      <c r="AM16" s="728">
        <f t="shared" si="3"/>
        <v>0.12437810945273631</v>
      </c>
      <c r="AN16" s="728">
        <f t="shared" si="4"/>
        <v>0.1212121212121211</v>
      </c>
      <c r="AO16" s="728">
        <f t="shared" si="5"/>
        <v>0</v>
      </c>
      <c r="AP16" s="728">
        <f t="shared" si="6"/>
        <v>0</v>
      </c>
      <c r="AQ16" s="728">
        <f t="shared" si="7"/>
        <v>0</v>
      </c>
      <c r="AR16" s="728">
        <f t="shared" si="8"/>
        <v>0</v>
      </c>
      <c r="AS16" s="728">
        <f t="shared" si="8"/>
        <v>0</v>
      </c>
      <c r="AT16" s="728">
        <f t="shared" si="9"/>
        <v>0</v>
      </c>
      <c r="AU16" s="728">
        <f t="shared" si="10"/>
        <v>0.12519685039370088</v>
      </c>
      <c r="AV16" s="728">
        <f t="shared" si="11"/>
        <v>0.13299556681443958</v>
      </c>
      <c r="AW16" s="728">
        <f t="shared" si="12"/>
        <v>0</v>
      </c>
      <c r="AX16" s="728">
        <f t="shared" si="13"/>
        <v>0</v>
      </c>
      <c r="AY16" s="728">
        <f t="shared" si="14"/>
        <v>0</v>
      </c>
      <c r="AZ16" s="156" t="str">
        <f t="array" ref="AZ16">IF(MAX(ABS(AK16:AY16))&gt;$AZ$5,"EXPLAIN","")</f>
        <v/>
      </c>
    </row>
    <row r="17" spans="2:52">
      <c r="B17" s="258"/>
      <c r="C17" s="468" t="str">
        <f>IF('Prop DUOS'!B17="","",'Prop DUOS'!B17)</f>
        <v>Subtransmission</v>
      </c>
      <c r="D17" s="770">
        <f>SUM('Prop DUOS'!E17,'Prop TUOS'!D17,'Prop JUOS'!D17)</f>
        <v>0</v>
      </c>
      <c r="E17" s="473">
        <f>SUM('Prop DUOS'!F17,'Prop TUOS'!E17,'Prop JUOS'!E17)</f>
        <v>0</v>
      </c>
      <c r="F17" s="473">
        <f>SUM('Prop DUOS'!G17,'Prop TUOS'!F17,'Prop JUOS'!F17)</f>
        <v>1.48</v>
      </c>
      <c r="G17" s="473">
        <f>SUM('Prop DUOS'!H17,'Prop TUOS'!G17,'Prop JUOS'!G17)</f>
        <v>0.75</v>
      </c>
      <c r="H17" s="473">
        <f>SUM('Prop DUOS'!I17,'Prop TUOS'!H17,'Prop JUOS'!H17)</f>
        <v>0</v>
      </c>
      <c r="I17" s="473">
        <f>SUM('Prop DUOS'!J17,'Prop TUOS'!I17,'Prop JUOS'!I17)</f>
        <v>0</v>
      </c>
      <c r="J17" s="473">
        <f>SUM('Prop DUOS'!K17,'Prop TUOS'!J17,'Prop JUOS'!J17)</f>
        <v>0</v>
      </c>
      <c r="K17" s="473">
        <f>SUM('Prop DUOS'!L17,'Prop TUOS'!K17,'Prop JUOS'!K17)</f>
        <v>0</v>
      </c>
      <c r="L17" s="473">
        <f>SUM('Prop DUOS'!M17,'Prop TUOS'!L17,'Prop JUOS'!L17)</f>
        <v>0</v>
      </c>
      <c r="M17" s="473">
        <f>SUM('Prop DUOS'!N17,'Prop TUOS'!M17,'Prop JUOS'!M17)</f>
        <v>0</v>
      </c>
      <c r="N17" s="473">
        <f>SUM('Prop DUOS'!O17,'Prop TUOS'!N17,'Prop JUOS'!N17)</f>
        <v>3.9400000000000004</v>
      </c>
      <c r="O17" s="473">
        <f>SUM('Prop DUOS'!P17,'Prop TUOS'!O17,'Prop JUOS'!O17)</f>
        <v>10.79</v>
      </c>
      <c r="P17" s="473">
        <f>SUM('Prop DUOS'!Q17,'Prop TUOS'!P17,'Prop JUOS'!P17)</f>
        <v>0</v>
      </c>
      <c r="Q17" s="473">
        <f>SUM('Prop DUOS'!R17,'Prop TUOS'!Q17,'Prop JUOS'!Q17)</f>
        <v>0</v>
      </c>
      <c r="R17" s="473">
        <f>SUM('Prop DUOS'!S17,'Prop TUOS'!R17,'Prop JUOS'!R17)</f>
        <v>0</v>
      </c>
      <c r="T17" s="767">
        <v>0</v>
      </c>
      <c r="U17" s="545">
        <v>0</v>
      </c>
      <c r="V17" s="545">
        <v>1.29</v>
      </c>
      <c r="W17" s="545">
        <v>0.66</v>
      </c>
      <c r="X17" s="545">
        <v>0</v>
      </c>
      <c r="Y17" s="566">
        <v>0</v>
      </c>
      <c r="Z17" s="545">
        <v>0</v>
      </c>
      <c r="AA17" s="545">
        <v>0</v>
      </c>
      <c r="AB17" s="545">
        <v>0</v>
      </c>
      <c r="AC17" s="545">
        <v>0</v>
      </c>
      <c r="AD17" s="545">
        <v>3.5</v>
      </c>
      <c r="AE17" s="545">
        <v>9.5299999999999994</v>
      </c>
      <c r="AF17" s="545">
        <v>0</v>
      </c>
      <c r="AG17" s="545">
        <v>0</v>
      </c>
      <c r="AH17" s="545">
        <v>0</v>
      </c>
      <c r="AK17" s="727">
        <f t="shared" si="1"/>
        <v>0</v>
      </c>
      <c r="AL17" s="728">
        <f t="shared" si="2"/>
        <v>0</v>
      </c>
      <c r="AM17" s="728">
        <f t="shared" si="3"/>
        <v>0.1472868217054264</v>
      </c>
      <c r="AN17" s="728">
        <f t="shared" si="4"/>
        <v>0.13636363636363624</v>
      </c>
      <c r="AO17" s="728">
        <f t="shared" si="5"/>
        <v>0</v>
      </c>
      <c r="AP17" s="728">
        <f t="shared" si="6"/>
        <v>0</v>
      </c>
      <c r="AQ17" s="728">
        <f t="shared" si="7"/>
        <v>0</v>
      </c>
      <c r="AR17" s="728">
        <f t="shared" si="8"/>
        <v>0</v>
      </c>
      <c r="AS17" s="728">
        <f t="shared" si="8"/>
        <v>0</v>
      </c>
      <c r="AT17" s="728">
        <f t="shared" si="9"/>
        <v>0</v>
      </c>
      <c r="AU17" s="728">
        <f t="shared" si="10"/>
        <v>0.12571428571428589</v>
      </c>
      <c r="AV17" s="728">
        <f t="shared" si="11"/>
        <v>0.13221406086044074</v>
      </c>
      <c r="AW17" s="728">
        <f t="shared" si="12"/>
        <v>0</v>
      </c>
      <c r="AX17" s="728">
        <f t="shared" si="13"/>
        <v>0</v>
      </c>
      <c r="AY17" s="728">
        <f t="shared" si="14"/>
        <v>0</v>
      </c>
      <c r="AZ17" s="156" t="str">
        <f t="array" ref="AZ17">IF(MAX(ABS(AK17:AY17))&gt;$AZ$5,"EXPLAIN","")</f>
        <v/>
      </c>
    </row>
    <row r="18" spans="2:52">
      <c r="B18" s="258"/>
      <c r="C18" s="468" t="str">
        <f>IF('Prop DUOS'!B18="","",'Prop DUOS'!B18)</f>
        <v/>
      </c>
      <c r="D18" s="472">
        <f>SUM('Prop DUOS'!E18,'Prop TUOS'!D18,'Prop JUOS'!D18)</f>
        <v>0</v>
      </c>
      <c r="E18" s="473">
        <f>SUM('Prop DUOS'!F18,'Prop TUOS'!E18,'Prop JUOS'!E18)</f>
        <v>0</v>
      </c>
      <c r="F18" s="473">
        <f>SUM('Prop DUOS'!G18,'Prop TUOS'!F18,'Prop JUOS'!F18)</f>
        <v>0</v>
      </c>
      <c r="G18" s="473">
        <f>SUM('Prop DUOS'!H18,'Prop TUOS'!G18,'Prop JUOS'!G18)</f>
        <v>0</v>
      </c>
      <c r="H18" s="473">
        <f>SUM('Prop DUOS'!I18,'Prop TUOS'!H18,'Prop JUOS'!H18)</f>
        <v>0</v>
      </c>
      <c r="I18" s="473">
        <f>SUM('Prop DUOS'!J18,'Prop TUOS'!I18,'Prop JUOS'!I18)</f>
        <v>0</v>
      </c>
      <c r="J18" s="473">
        <f>SUM('Prop DUOS'!K18,'Prop TUOS'!J18,'Prop JUOS'!J18)</f>
        <v>0</v>
      </c>
      <c r="K18" s="473">
        <f>SUM('Prop DUOS'!L18,'Prop TUOS'!K18,'Prop JUOS'!K18)</f>
        <v>0</v>
      </c>
      <c r="L18" s="473">
        <f>SUM('Prop DUOS'!M18,'Prop TUOS'!L18,'Prop JUOS'!L18)</f>
        <v>0</v>
      </c>
      <c r="M18" s="473">
        <f>SUM('Prop DUOS'!N18,'Prop TUOS'!M18,'Prop JUOS'!M18)</f>
        <v>0</v>
      </c>
      <c r="N18" s="473">
        <f>SUM('Prop DUOS'!O18,'Prop TUOS'!N18,'Prop JUOS'!N18)</f>
        <v>0</v>
      </c>
      <c r="O18" s="473">
        <f>SUM('Prop DUOS'!P18,'Prop TUOS'!O18,'Prop JUOS'!O18)</f>
        <v>0</v>
      </c>
      <c r="P18" s="473">
        <f>SUM('Prop DUOS'!Q18,'Prop TUOS'!P18,'Prop JUOS'!P18)</f>
        <v>0</v>
      </c>
      <c r="Q18" s="473">
        <f>SUM('Prop DUOS'!R18,'Prop TUOS'!Q18,'Prop JUOS'!Q18)</f>
        <v>0</v>
      </c>
      <c r="R18" s="473">
        <f>SUM('Prop DUOS'!S18,'Prop TUOS'!R18,'Prop JUOS'!R18)</f>
        <v>0</v>
      </c>
      <c r="T18" s="565"/>
      <c r="U18" s="545"/>
      <c r="V18" s="545"/>
      <c r="W18" s="545"/>
      <c r="X18" s="545"/>
      <c r="Y18" s="566"/>
      <c r="Z18" s="545"/>
      <c r="AA18" s="545"/>
      <c r="AB18" s="545"/>
      <c r="AC18" s="545"/>
      <c r="AD18" s="545"/>
      <c r="AE18" s="545"/>
      <c r="AF18" s="545"/>
      <c r="AG18" s="545"/>
      <c r="AH18" s="545"/>
      <c r="AK18" s="727">
        <f t="shared" si="1"/>
        <v>0</v>
      </c>
      <c r="AL18" s="728">
        <f t="shared" si="2"/>
        <v>0</v>
      </c>
      <c r="AM18" s="728">
        <f t="shared" si="3"/>
        <v>0</v>
      </c>
      <c r="AN18" s="728">
        <f t="shared" si="4"/>
        <v>0</v>
      </c>
      <c r="AO18" s="728">
        <f t="shared" si="5"/>
        <v>0</v>
      </c>
      <c r="AP18" s="728">
        <f t="shared" si="6"/>
        <v>0</v>
      </c>
      <c r="AQ18" s="728">
        <f t="shared" si="7"/>
        <v>0</v>
      </c>
      <c r="AR18" s="728">
        <f t="shared" si="8"/>
        <v>0</v>
      </c>
      <c r="AS18" s="728">
        <f t="shared" si="8"/>
        <v>0</v>
      </c>
      <c r="AT18" s="728">
        <f t="shared" si="9"/>
        <v>0</v>
      </c>
      <c r="AU18" s="728">
        <f t="shared" si="10"/>
        <v>0</v>
      </c>
      <c r="AV18" s="728">
        <f t="shared" si="11"/>
        <v>0</v>
      </c>
      <c r="AW18" s="728">
        <f t="shared" si="12"/>
        <v>0</v>
      </c>
      <c r="AX18" s="728">
        <f t="shared" si="13"/>
        <v>0</v>
      </c>
      <c r="AY18" s="728">
        <f t="shared" si="14"/>
        <v>0</v>
      </c>
      <c r="AZ18" s="156" t="str">
        <f t="array" ref="AZ18">IF(MAX(ABS(AK18:AY18))&gt;$AZ$5,"EXPLAIN","")</f>
        <v/>
      </c>
    </row>
    <row r="19" spans="2:52">
      <c r="B19" s="258"/>
      <c r="C19" s="468" t="str">
        <f>IF('Prop DUOS'!B19="","",'Prop DUOS'!B19)</f>
        <v/>
      </c>
      <c r="D19" s="472">
        <f>SUM('Prop DUOS'!E19,'Prop TUOS'!D19,'Prop JUOS'!D19)</f>
        <v>0</v>
      </c>
      <c r="E19" s="473">
        <f>SUM('Prop DUOS'!F19,'Prop TUOS'!E19,'Prop JUOS'!E19)</f>
        <v>0</v>
      </c>
      <c r="F19" s="473">
        <f>SUM('Prop DUOS'!G19,'Prop TUOS'!F19,'Prop JUOS'!F19)</f>
        <v>0</v>
      </c>
      <c r="G19" s="473">
        <f>SUM('Prop DUOS'!H19,'Prop TUOS'!G19,'Prop JUOS'!G19)</f>
        <v>0</v>
      </c>
      <c r="H19" s="473">
        <f>SUM('Prop DUOS'!I19,'Prop TUOS'!H19,'Prop JUOS'!H19)</f>
        <v>0</v>
      </c>
      <c r="I19" s="473">
        <f>SUM('Prop DUOS'!J19,'Prop TUOS'!I19,'Prop JUOS'!I19)</f>
        <v>0</v>
      </c>
      <c r="J19" s="473">
        <f>SUM('Prop DUOS'!K19,'Prop TUOS'!J19,'Prop JUOS'!J19)</f>
        <v>0</v>
      </c>
      <c r="K19" s="473">
        <f>SUM('Prop DUOS'!L19,'Prop TUOS'!K19,'Prop JUOS'!K19)</f>
        <v>0</v>
      </c>
      <c r="L19" s="473">
        <f>SUM('Prop DUOS'!M19,'Prop TUOS'!L19,'Prop JUOS'!L19)</f>
        <v>0</v>
      </c>
      <c r="M19" s="473">
        <f>SUM('Prop DUOS'!N19,'Prop TUOS'!M19,'Prop JUOS'!M19)</f>
        <v>0</v>
      </c>
      <c r="N19" s="473">
        <f>SUM('Prop DUOS'!O19,'Prop TUOS'!N19,'Prop JUOS'!N19)</f>
        <v>0</v>
      </c>
      <c r="O19" s="473">
        <f>SUM('Prop DUOS'!P19,'Prop TUOS'!O19,'Prop JUOS'!O19)</f>
        <v>0</v>
      </c>
      <c r="P19" s="473">
        <f>SUM('Prop DUOS'!Q19,'Prop TUOS'!P19,'Prop JUOS'!P19)</f>
        <v>0</v>
      </c>
      <c r="Q19" s="473">
        <f>SUM('Prop DUOS'!R19,'Prop TUOS'!Q19,'Prop JUOS'!Q19)</f>
        <v>0</v>
      </c>
      <c r="R19" s="473">
        <f>SUM('Prop DUOS'!S19,'Prop TUOS'!R19,'Prop JUOS'!R19)</f>
        <v>0</v>
      </c>
      <c r="T19" s="565"/>
      <c r="U19" s="545"/>
      <c r="V19" s="545"/>
      <c r="W19" s="545"/>
      <c r="X19" s="545"/>
      <c r="Y19" s="566"/>
      <c r="Z19" s="545"/>
      <c r="AA19" s="545"/>
      <c r="AB19" s="545"/>
      <c r="AC19" s="545"/>
      <c r="AD19" s="545"/>
      <c r="AE19" s="545"/>
      <c r="AF19" s="545"/>
      <c r="AG19" s="545"/>
      <c r="AH19" s="545"/>
      <c r="AK19" s="727">
        <f t="shared" si="1"/>
        <v>0</v>
      </c>
      <c r="AL19" s="728">
        <f t="shared" si="2"/>
        <v>0</v>
      </c>
      <c r="AM19" s="728">
        <f t="shared" si="3"/>
        <v>0</v>
      </c>
      <c r="AN19" s="728">
        <f t="shared" si="4"/>
        <v>0</v>
      </c>
      <c r="AO19" s="728">
        <f t="shared" si="5"/>
        <v>0</v>
      </c>
      <c r="AP19" s="728">
        <f t="shared" si="6"/>
        <v>0</v>
      </c>
      <c r="AQ19" s="728">
        <f t="shared" si="7"/>
        <v>0</v>
      </c>
      <c r="AR19" s="728">
        <f t="shared" si="8"/>
        <v>0</v>
      </c>
      <c r="AS19" s="728">
        <f t="shared" si="8"/>
        <v>0</v>
      </c>
      <c r="AT19" s="728">
        <f t="shared" si="9"/>
        <v>0</v>
      </c>
      <c r="AU19" s="728">
        <f t="shared" si="10"/>
        <v>0</v>
      </c>
      <c r="AV19" s="728">
        <f t="shared" si="11"/>
        <v>0</v>
      </c>
      <c r="AW19" s="728">
        <f t="shared" si="12"/>
        <v>0</v>
      </c>
      <c r="AX19" s="728">
        <f t="shared" si="13"/>
        <v>0</v>
      </c>
      <c r="AY19" s="728">
        <f t="shared" si="14"/>
        <v>0</v>
      </c>
      <c r="AZ19" s="156" t="str">
        <f t="array" ref="AZ19">IF(MAX(ABS(AK19:AY19))&gt;$AZ$5,"EXPLAIN","")</f>
        <v/>
      </c>
    </row>
    <row r="20" spans="2:52">
      <c r="B20" s="258"/>
      <c r="C20" s="468" t="str">
        <f>IF('Prop DUOS'!B20="","",'Prop DUOS'!B20)</f>
        <v/>
      </c>
      <c r="D20" s="472">
        <f>SUM('Prop DUOS'!E20,'Prop TUOS'!D20,'Prop JUOS'!D20)</f>
        <v>0</v>
      </c>
      <c r="E20" s="473">
        <f>SUM('Prop DUOS'!F20,'Prop TUOS'!E20,'Prop JUOS'!E20)</f>
        <v>0</v>
      </c>
      <c r="F20" s="473">
        <f>SUM('Prop DUOS'!G20,'Prop TUOS'!F20,'Prop JUOS'!F20)</f>
        <v>0</v>
      </c>
      <c r="G20" s="473">
        <f>SUM('Prop DUOS'!H20,'Prop TUOS'!G20,'Prop JUOS'!G20)</f>
        <v>0</v>
      </c>
      <c r="H20" s="473">
        <f>SUM('Prop DUOS'!I20,'Prop TUOS'!H20,'Prop JUOS'!H20)</f>
        <v>0</v>
      </c>
      <c r="I20" s="473">
        <f>SUM('Prop DUOS'!J20,'Prop TUOS'!I20,'Prop JUOS'!I20)</f>
        <v>0</v>
      </c>
      <c r="J20" s="473">
        <f>SUM('Prop DUOS'!K20,'Prop TUOS'!J20,'Prop JUOS'!J20)</f>
        <v>0</v>
      </c>
      <c r="K20" s="473">
        <f>SUM('Prop DUOS'!L20,'Prop TUOS'!K20,'Prop JUOS'!K20)</f>
        <v>0</v>
      </c>
      <c r="L20" s="473">
        <f>SUM('Prop DUOS'!M20,'Prop TUOS'!L20,'Prop JUOS'!L20)</f>
        <v>0</v>
      </c>
      <c r="M20" s="473">
        <f>SUM('Prop DUOS'!N20,'Prop TUOS'!M20,'Prop JUOS'!M20)</f>
        <v>0</v>
      </c>
      <c r="N20" s="473">
        <f>SUM('Prop DUOS'!O20,'Prop TUOS'!N20,'Prop JUOS'!N20)</f>
        <v>0</v>
      </c>
      <c r="O20" s="473">
        <f>SUM('Prop DUOS'!P20,'Prop TUOS'!O20,'Prop JUOS'!O20)</f>
        <v>0</v>
      </c>
      <c r="P20" s="473">
        <f>SUM('Prop DUOS'!Q20,'Prop TUOS'!P20,'Prop JUOS'!P20)</f>
        <v>0</v>
      </c>
      <c r="Q20" s="473">
        <f>SUM('Prop DUOS'!R20,'Prop TUOS'!Q20,'Prop JUOS'!Q20)</f>
        <v>0</v>
      </c>
      <c r="R20" s="473">
        <f>SUM('Prop DUOS'!S20,'Prop TUOS'!R20,'Prop JUOS'!R20)</f>
        <v>0</v>
      </c>
      <c r="T20" s="565"/>
      <c r="U20" s="545"/>
      <c r="V20" s="545"/>
      <c r="W20" s="545"/>
      <c r="X20" s="545"/>
      <c r="Y20" s="566"/>
      <c r="Z20" s="545"/>
      <c r="AA20" s="545"/>
      <c r="AB20" s="545"/>
      <c r="AC20" s="545"/>
      <c r="AD20" s="545"/>
      <c r="AE20" s="545"/>
      <c r="AF20" s="545"/>
      <c r="AG20" s="545"/>
      <c r="AH20" s="545"/>
      <c r="AK20" s="727">
        <f t="shared" si="1"/>
        <v>0</v>
      </c>
      <c r="AL20" s="728">
        <f t="shared" si="2"/>
        <v>0</v>
      </c>
      <c r="AM20" s="728">
        <f t="shared" si="3"/>
        <v>0</v>
      </c>
      <c r="AN20" s="728">
        <f t="shared" si="4"/>
        <v>0</v>
      </c>
      <c r="AO20" s="728">
        <f t="shared" si="5"/>
        <v>0</v>
      </c>
      <c r="AP20" s="728">
        <f t="shared" si="6"/>
        <v>0</v>
      </c>
      <c r="AQ20" s="728">
        <f t="shared" si="7"/>
        <v>0</v>
      </c>
      <c r="AR20" s="728">
        <f t="shared" si="8"/>
        <v>0</v>
      </c>
      <c r="AS20" s="728">
        <f t="shared" si="8"/>
        <v>0</v>
      </c>
      <c r="AT20" s="728">
        <f t="shared" si="9"/>
        <v>0</v>
      </c>
      <c r="AU20" s="728">
        <f t="shared" si="10"/>
        <v>0</v>
      </c>
      <c r="AV20" s="728">
        <f t="shared" si="11"/>
        <v>0</v>
      </c>
      <c r="AW20" s="728">
        <f t="shared" si="12"/>
        <v>0</v>
      </c>
      <c r="AX20" s="728">
        <f t="shared" si="13"/>
        <v>0</v>
      </c>
      <c r="AY20" s="728">
        <f t="shared" si="14"/>
        <v>0</v>
      </c>
      <c r="AZ20" s="156" t="str">
        <f t="array" ref="AZ20">IF(MAX(ABS(AK20:AY20))&gt;$AZ$5,"EXPLAIN","")</f>
        <v/>
      </c>
    </row>
    <row r="21" spans="2:52">
      <c r="B21" s="258"/>
      <c r="C21" s="468" t="str">
        <f>IF('Prop DUOS'!B21="","",'Prop DUOS'!B21)</f>
        <v/>
      </c>
      <c r="D21" s="472">
        <f>SUM('Prop DUOS'!E21,'Prop TUOS'!D21,'Prop JUOS'!D21)</f>
        <v>0</v>
      </c>
      <c r="E21" s="473">
        <f>SUM('Prop DUOS'!F21,'Prop TUOS'!E21,'Prop JUOS'!E21)</f>
        <v>0</v>
      </c>
      <c r="F21" s="473">
        <f>SUM('Prop DUOS'!G21,'Prop TUOS'!F21,'Prop JUOS'!F21)</f>
        <v>0</v>
      </c>
      <c r="G21" s="473">
        <f>SUM('Prop DUOS'!H21,'Prop TUOS'!G21,'Prop JUOS'!G21)</f>
        <v>0</v>
      </c>
      <c r="H21" s="473">
        <f>SUM('Prop DUOS'!I21,'Prop TUOS'!H21,'Prop JUOS'!H21)</f>
        <v>0</v>
      </c>
      <c r="I21" s="473">
        <f>SUM('Prop DUOS'!J21,'Prop TUOS'!I21,'Prop JUOS'!I21)</f>
        <v>0</v>
      </c>
      <c r="J21" s="473">
        <f>SUM('Prop DUOS'!K21,'Prop TUOS'!J21,'Prop JUOS'!J21)</f>
        <v>0</v>
      </c>
      <c r="K21" s="473">
        <f>SUM('Prop DUOS'!L21,'Prop TUOS'!K21,'Prop JUOS'!K21)</f>
        <v>0</v>
      </c>
      <c r="L21" s="473">
        <f>SUM('Prop DUOS'!M21,'Prop TUOS'!L21,'Prop JUOS'!L21)</f>
        <v>0</v>
      </c>
      <c r="M21" s="473">
        <f>SUM('Prop DUOS'!N21,'Prop TUOS'!M21,'Prop JUOS'!M21)</f>
        <v>0</v>
      </c>
      <c r="N21" s="473">
        <f>SUM('Prop DUOS'!O21,'Prop TUOS'!N21,'Prop JUOS'!N21)</f>
        <v>0</v>
      </c>
      <c r="O21" s="473">
        <f>SUM('Prop DUOS'!P21,'Prop TUOS'!O21,'Prop JUOS'!O21)</f>
        <v>0</v>
      </c>
      <c r="P21" s="473">
        <f>SUM('Prop DUOS'!Q21,'Prop TUOS'!P21,'Prop JUOS'!P21)</f>
        <v>0</v>
      </c>
      <c r="Q21" s="473">
        <f>SUM('Prop DUOS'!R21,'Prop TUOS'!Q21,'Prop JUOS'!Q21)</f>
        <v>0</v>
      </c>
      <c r="R21" s="473">
        <f>SUM('Prop DUOS'!S21,'Prop TUOS'!R21,'Prop JUOS'!R21)</f>
        <v>0</v>
      </c>
      <c r="T21" s="565"/>
      <c r="U21" s="545"/>
      <c r="V21" s="545"/>
      <c r="W21" s="545"/>
      <c r="X21" s="545"/>
      <c r="Y21" s="566"/>
      <c r="Z21" s="545"/>
      <c r="AA21" s="545"/>
      <c r="AB21" s="545"/>
      <c r="AC21" s="545"/>
      <c r="AD21" s="545"/>
      <c r="AE21" s="545"/>
      <c r="AF21" s="545"/>
      <c r="AG21" s="545"/>
      <c r="AH21" s="545"/>
      <c r="AK21" s="727">
        <f t="shared" si="1"/>
        <v>0</v>
      </c>
      <c r="AL21" s="728">
        <f t="shared" si="2"/>
        <v>0</v>
      </c>
      <c r="AM21" s="728">
        <f t="shared" si="3"/>
        <v>0</v>
      </c>
      <c r="AN21" s="728">
        <f t="shared" si="4"/>
        <v>0</v>
      </c>
      <c r="AO21" s="728">
        <f t="shared" si="5"/>
        <v>0</v>
      </c>
      <c r="AP21" s="728">
        <f t="shared" si="6"/>
        <v>0</v>
      </c>
      <c r="AQ21" s="728">
        <f t="shared" si="7"/>
        <v>0</v>
      </c>
      <c r="AR21" s="728">
        <f t="shared" si="8"/>
        <v>0</v>
      </c>
      <c r="AS21" s="728">
        <f t="shared" si="8"/>
        <v>0</v>
      </c>
      <c r="AT21" s="728">
        <f t="shared" si="9"/>
        <v>0</v>
      </c>
      <c r="AU21" s="728">
        <f t="shared" si="10"/>
        <v>0</v>
      </c>
      <c r="AV21" s="728">
        <f t="shared" si="11"/>
        <v>0</v>
      </c>
      <c r="AW21" s="728">
        <f t="shared" si="12"/>
        <v>0</v>
      </c>
      <c r="AX21" s="728">
        <f t="shared" si="13"/>
        <v>0</v>
      </c>
      <c r="AY21" s="728">
        <f t="shared" si="14"/>
        <v>0</v>
      </c>
      <c r="AZ21" s="156" t="str">
        <f t="array" ref="AZ21">IF(MAX(ABS(AK21:AY21))&gt;$AZ$5,"EXPLAIN","")</f>
        <v/>
      </c>
    </row>
    <row r="22" spans="2:52">
      <c r="B22" s="258"/>
      <c r="C22" s="468" t="str">
        <f>IF('Prop DUOS'!B22="","",'Prop DUOS'!B22)</f>
        <v/>
      </c>
      <c r="D22" s="472">
        <f>SUM('Prop DUOS'!E22,'Prop TUOS'!D22,'Prop JUOS'!D22)</f>
        <v>0</v>
      </c>
      <c r="E22" s="473">
        <f>SUM('Prop DUOS'!F22,'Prop TUOS'!E22,'Prop JUOS'!E22)</f>
        <v>0</v>
      </c>
      <c r="F22" s="473">
        <f>SUM('Prop DUOS'!G22,'Prop TUOS'!F22,'Prop JUOS'!F22)</f>
        <v>0</v>
      </c>
      <c r="G22" s="473">
        <f>SUM('Prop DUOS'!H22,'Prop TUOS'!G22,'Prop JUOS'!G22)</f>
        <v>0</v>
      </c>
      <c r="H22" s="473">
        <f>SUM('Prop DUOS'!I22,'Prop TUOS'!H22,'Prop JUOS'!H22)</f>
        <v>0</v>
      </c>
      <c r="I22" s="473">
        <f>SUM('Prop DUOS'!J22,'Prop TUOS'!I22,'Prop JUOS'!I22)</f>
        <v>0</v>
      </c>
      <c r="J22" s="473">
        <f>SUM('Prop DUOS'!K22,'Prop TUOS'!J22,'Prop JUOS'!J22)</f>
        <v>0</v>
      </c>
      <c r="K22" s="473">
        <f>SUM('Prop DUOS'!L22,'Prop TUOS'!K22,'Prop JUOS'!K22)</f>
        <v>0</v>
      </c>
      <c r="L22" s="473">
        <f>SUM('Prop DUOS'!M22,'Prop TUOS'!L22,'Prop JUOS'!L22)</f>
        <v>0</v>
      </c>
      <c r="M22" s="473">
        <f>SUM('Prop DUOS'!N22,'Prop TUOS'!M22,'Prop JUOS'!M22)</f>
        <v>0</v>
      </c>
      <c r="N22" s="473">
        <f>SUM('Prop DUOS'!O22,'Prop TUOS'!N22,'Prop JUOS'!N22)</f>
        <v>0</v>
      </c>
      <c r="O22" s="473">
        <f>SUM('Prop DUOS'!P22,'Prop TUOS'!O22,'Prop JUOS'!O22)</f>
        <v>0</v>
      </c>
      <c r="P22" s="473">
        <f>SUM('Prop DUOS'!Q22,'Prop TUOS'!P22,'Prop JUOS'!P22)</f>
        <v>0</v>
      </c>
      <c r="Q22" s="473">
        <f>SUM('Prop DUOS'!R22,'Prop TUOS'!Q22,'Prop JUOS'!Q22)</f>
        <v>0</v>
      </c>
      <c r="R22" s="473">
        <f>SUM('Prop DUOS'!S22,'Prop TUOS'!R22,'Prop JUOS'!R22)</f>
        <v>0</v>
      </c>
      <c r="T22" s="565"/>
      <c r="U22" s="545"/>
      <c r="V22" s="545"/>
      <c r="W22" s="545"/>
      <c r="X22" s="545"/>
      <c r="Y22" s="566"/>
      <c r="Z22" s="545"/>
      <c r="AA22" s="545"/>
      <c r="AB22" s="545"/>
      <c r="AC22" s="545"/>
      <c r="AD22" s="545"/>
      <c r="AE22" s="545"/>
      <c r="AF22" s="545"/>
      <c r="AG22" s="545"/>
      <c r="AH22" s="545"/>
      <c r="AK22" s="727">
        <f t="shared" si="1"/>
        <v>0</v>
      </c>
      <c r="AL22" s="728">
        <f t="shared" si="2"/>
        <v>0</v>
      </c>
      <c r="AM22" s="728">
        <f t="shared" si="3"/>
        <v>0</v>
      </c>
      <c r="AN22" s="728">
        <f t="shared" si="4"/>
        <v>0</v>
      </c>
      <c r="AO22" s="728">
        <f t="shared" si="5"/>
        <v>0</v>
      </c>
      <c r="AP22" s="728">
        <f t="shared" si="6"/>
        <v>0</v>
      </c>
      <c r="AQ22" s="728">
        <f t="shared" si="7"/>
        <v>0</v>
      </c>
      <c r="AR22" s="728">
        <f t="shared" si="8"/>
        <v>0</v>
      </c>
      <c r="AS22" s="728">
        <f t="shared" si="8"/>
        <v>0</v>
      </c>
      <c r="AT22" s="728">
        <f t="shared" si="9"/>
        <v>0</v>
      </c>
      <c r="AU22" s="728">
        <f t="shared" si="10"/>
        <v>0</v>
      </c>
      <c r="AV22" s="728">
        <f t="shared" si="11"/>
        <v>0</v>
      </c>
      <c r="AW22" s="728">
        <f t="shared" si="12"/>
        <v>0</v>
      </c>
      <c r="AX22" s="728">
        <f t="shared" si="13"/>
        <v>0</v>
      </c>
      <c r="AY22" s="728">
        <f t="shared" si="14"/>
        <v>0</v>
      </c>
      <c r="AZ22" s="156" t="str">
        <f t="array" ref="AZ22">IF(MAX(ABS(AK22:AY22))&gt;$AZ$5,"EXPLAIN","")</f>
        <v/>
      </c>
    </row>
    <row r="23" spans="2:52">
      <c r="B23" s="258"/>
      <c r="C23" s="468" t="str">
        <f>IF('Prop DUOS'!B23="","",'Prop DUOS'!B23)</f>
        <v/>
      </c>
      <c r="D23" s="472">
        <f>SUM('Prop DUOS'!E23,'Prop TUOS'!D23,'Prop JUOS'!D23)</f>
        <v>0</v>
      </c>
      <c r="E23" s="473">
        <f>SUM('Prop DUOS'!F23,'Prop TUOS'!E23,'Prop JUOS'!E23)</f>
        <v>0</v>
      </c>
      <c r="F23" s="473">
        <f>SUM('Prop DUOS'!G23,'Prop TUOS'!F23,'Prop JUOS'!F23)</f>
        <v>0</v>
      </c>
      <c r="G23" s="473">
        <f>SUM('Prop DUOS'!H23,'Prop TUOS'!G23,'Prop JUOS'!G23)</f>
        <v>0</v>
      </c>
      <c r="H23" s="473">
        <f>SUM('Prop DUOS'!I23,'Prop TUOS'!H23,'Prop JUOS'!H23)</f>
        <v>0</v>
      </c>
      <c r="I23" s="473">
        <f>SUM('Prop DUOS'!J23,'Prop TUOS'!I23,'Prop JUOS'!I23)</f>
        <v>0</v>
      </c>
      <c r="J23" s="473">
        <f>SUM('Prop DUOS'!K23,'Prop TUOS'!J23,'Prop JUOS'!J23)</f>
        <v>0</v>
      </c>
      <c r="K23" s="473">
        <f>SUM('Prop DUOS'!L23,'Prop TUOS'!K23,'Prop JUOS'!K23)</f>
        <v>0</v>
      </c>
      <c r="L23" s="473">
        <f>SUM('Prop DUOS'!M23,'Prop TUOS'!L23,'Prop JUOS'!L23)</f>
        <v>0</v>
      </c>
      <c r="M23" s="473">
        <f>SUM('Prop DUOS'!N23,'Prop TUOS'!M23,'Prop JUOS'!M23)</f>
        <v>0</v>
      </c>
      <c r="N23" s="473">
        <f>SUM('Prop DUOS'!O23,'Prop TUOS'!N23,'Prop JUOS'!N23)</f>
        <v>0</v>
      </c>
      <c r="O23" s="473">
        <f>SUM('Prop DUOS'!P23,'Prop TUOS'!O23,'Prop JUOS'!O23)</f>
        <v>0</v>
      </c>
      <c r="P23" s="473">
        <f>SUM('Prop DUOS'!Q23,'Prop TUOS'!P23,'Prop JUOS'!P23)</f>
        <v>0</v>
      </c>
      <c r="Q23" s="473">
        <f>SUM('Prop DUOS'!R23,'Prop TUOS'!Q23,'Prop JUOS'!Q23)</f>
        <v>0</v>
      </c>
      <c r="R23" s="473">
        <f>SUM('Prop DUOS'!S23,'Prop TUOS'!R23,'Prop JUOS'!R23)</f>
        <v>0</v>
      </c>
      <c r="T23" s="565"/>
      <c r="U23" s="545"/>
      <c r="V23" s="545"/>
      <c r="W23" s="545"/>
      <c r="X23" s="545"/>
      <c r="Y23" s="566"/>
      <c r="Z23" s="545"/>
      <c r="AA23" s="545"/>
      <c r="AB23" s="545"/>
      <c r="AC23" s="545"/>
      <c r="AD23" s="545"/>
      <c r="AE23" s="545"/>
      <c r="AF23" s="545"/>
      <c r="AG23" s="545"/>
      <c r="AH23" s="545"/>
      <c r="AK23" s="727">
        <f t="shared" si="1"/>
        <v>0</v>
      </c>
      <c r="AL23" s="728">
        <f t="shared" si="2"/>
        <v>0</v>
      </c>
      <c r="AM23" s="728">
        <f t="shared" si="3"/>
        <v>0</v>
      </c>
      <c r="AN23" s="728">
        <f t="shared" si="4"/>
        <v>0</v>
      </c>
      <c r="AO23" s="728">
        <f t="shared" si="5"/>
        <v>0</v>
      </c>
      <c r="AP23" s="728">
        <f t="shared" si="6"/>
        <v>0</v>
      </c>
      <c r="AQ23" s="728">
        <f t="shared" si="7"/>
        <v>0</v>
      </c>
      <c r="AR23" s="728">
        <f t="shared" si="8"/>
        <v>0</v>
      </c>
      <c r="AS23" s="728">
        <f t="shared" si="8"/>
        <v>0</v>
      </c>
      <c r="AT23" s="728">
        <f t="shared" si="9"/>
        <v>0</v>
      </c>
      <c r="AU23" s="728">
        <f t="shared" si="10"/>
        <v>0</v>
      </c>
      <c r="AV23" s="728">
        <f t="shared" si="11"/>
        <v>0</v>
      </c>
      <c r="AW23" s="728">
        <f t="shared" si="12"/>
        <v>0</v>
      </c>
      <c r="AX23" s="728">
        <f t="shared" si="13"/>
        <v>0</v>
      </c>
      <c r="AY23" s="728">
        <f t="shared" si="14"/>
        <v>0</v>
      </c>
      <c r="AZ23" s="156" t="str">
        <f t="array" ref="AZ23">IF(MAX(ABS(AK23:AY23))&gt;$AZ$5,"EXPLAIN","")</f>
        <v/>
      </c>
    </row>
    <row r="24" spans="2:52">
      <c r="B24" s="258"/>
      <c r="C24" s="468" t="str">
        <f>IF('Prop DUOS'!B24="","",'Prop DUOS'!B24)</f>
        <v/>
      </c>
      <c r="D24" s="472">
        <f>SUM('Prop DUOS'!E24,'Prop TUOS'!D24,'Prop JUOS'!D24)</f>
        <v>0</v>
      </c>
      <c r="E24" s="473">
        <f>SUM('Prop DUOS'!F24,'Prop TUOS'!E24,'Prop JUOS'!E24)</f>
        <v>0</v>
      </c>
      <c r="F24" s="473">
        <f>SUM('Prop DUOS'!G24,'Prop TUOS'!F24,'Prop JUOS'!F24)</f>
        <v>0</v>
      </c>
      <c r="G24" s="473">
        <f>SUM('Prop DUOS'!H24,'Prop TUOS'!G24,'Prop JUOS'!G24)</f>
        <v>0</v>
      </c>
      <c r="H24" s="473">
        <f>SUM('Prop DUOS'!I24,'Prop TUOS'!H24,'Prop JUOS'!H24)</f>
        <v>0</v>
      </c>
      <c r="I24" s="473">
        <f>SUM('Prop DUOS'!J24,'Prop TUOS'!I24,'Prop JUOS'!I24)</f>
        <v>0</v>
      </c>
      <c r="J24" s="473">
        <f>SUM('Prop DUOS'!K24,'Prop TUOS'!J24,'Prop JUOS'!J24)</f>
        <v>0</v>
      </c>
      <c r="K24" s="473">
        <f>SUM('Prop DUOS'!L24,'Prop TUOS'!K24,'Prop JUOS'!K24)</f>
        <v>0</v>
      </c>
      <c r="L24" s="473">
        <f>SUM('Prop DUOS'!M24,'Prop TUOS'!L24,'Prop JUOS'!L24)</f>
        <v>0</v>
      </c>
      <c r="M24" s="473">
        <f>SUM('Prop DUOS'!N24,'Prop TUOS'!M24,'Prop JUOS'!M24)</f>
        <v>0</v>
      </c>
      <c r="N24" s="473">
        <f>SUM('Prop DUOS'!O24,'Prop TUOS'!N24,'Prop JUOS'!N24)</f>
        <v>0</v>
      </c>
      <c r="O24" s="473">
        <f>SUM('Prop DUOS'!P24,'Prop TUOS'!O24,'Prop JUOS'!O24)</f>
        <v>0</v>
      </c>
      <c r="P24" s="473">
        <f>SUM('Prop DUOS'!Q24,'Prop TUOS'!P24,'Prop JUOS'!P24)</f>
        <v>0</v>
      </c>
      <c r="Q24" s="473">
        <f>SUM('Prop DUOS'!R24,'Prop TUOS'!Q24,'Prop JUOS'!Q24)</f>
        <v>0</v>
      </c>
      <c r="R24" s="473">
        <f>SUM('Prop DUOS'!S24,'Prop TUOS'!R24,'Prop JUOS'!R24)</f>
        <v>0</v>
      </c>
      <c r="T24" s="565"/>
      <c r="U24" s="545"/>
      <c r="V24" s="545"/>
      <c r="W24" s="545"/>
      <c r="X24" s="545"/>
      <c r="Y24" s="566"/>
      <c r="Z24" s="545"/>
      <c r="AA24" s="545"/>
      <c r="AB24" s="545"/>
      <c r="AC24" s="545"/>
      <c r="AD24" s="545"/>
      <c r="AE24" s="545"/>
      <c r="AF24" s="545"/>
      <c r="AG24" s="545"/>
      <c r="AH24" s="545"/>
      <c r="AK24" s="727">
        <f t="shared" si="1"/>
        <v>0</v>
      </c>
      <c r="AL24" s="728">
        <f t="shared" si="2"/>
        <v>0</v>
      </c>
      <c r="AM24" s="728">
        <f t="shared" si="3"/>
        <v>0</v>
      </c>
      <c r="AN24" s="728">
        <f t="shared" si="4"/>
        <v>0</v>
      </c>
      <c r="AO24" s="728">
        <f t="shared" si="5"/>
        <v>0</v>
      </c>
      <c r="AP24" s="728">
        <f t="shared" si="6"/>
        <v>0</v>
      </c>
      <c r="AQ24" s="728">
        <f t="shared" si="7"/>
        <v>0</v>
      </c>
      <c r="AR24" s="728">
        <f t="shared" si="8"/>
        <v>0</v>
      </c>
      <c r="AS24" s="728">
        <f t="shared" si="8"/>
        <v>0</v>
      </c>
      <c r="AT24" s="728">
        <f t="shared" si="9"/>
        <v>0</v>
      </c>
      <c r="AU24" s="728">
        <f t="shared" si="10"/>
        <v>0</v>
      </c>
      <c r="AV24" s="728">
        <f t="shared" si="11"/>
        <v>0</v>
      </c>
      <c r="AW24" s="728">
        <f t="shared" si="12"/>
        <v>0</v>
      </c>
      <c r="AX24" s="728">
        <f t="shared" si="13"/>
        <v>0</v>
      </c>
      <c r="AY24" s="728">
        <f t="shared" si="14"/>
        <v>0</v>
      </c>
      <c r="AZ24" s="156" t="str">
        <f t="array" ref="AZ24">IF(MAX(ABS(AK24:AY24))&gt;$AZ$5,"EXPLAIN","")</f>
        <v/>
      </c>
    </row>
    <row r="25" spans="2:52">
      <c r="B25" s="258"/>
      <c r="C25" s="468" t="str">
        <f>IF('Prop DUOS'!B25="","",'Prop DUOS'!B25)</f>
        <v/>
      </c>
      <c r="D25" s="472">
        <f>SUM('Prop DUOS'!E25,'Prop TUOS'!D25,'Prop JUOS'!D25)</f>
        <v>0</v>
      </c>
      <c r="E25" s="473">
        <f>SUM('Prop DUOS'!F25,'Prop TUOS'!E25,'Prop JUOS'!E25)</f>
        <v>0</v>
      </c>
      <c r="F25" s="473">
        <f>SUM('Prop DUOS'!G25,'Prop TUOS'!F25,'Prop JUOS'!F25)</f>
        <v>0</v>
      </c>
      <c r="G25" s="473">
        <f>SUM('Prop DUOS'!H25,'Prop TUOS'!G25,'Prop JUOS'!G25)</f>
        <v>0</v>
      </c>
      <c r="H25" s="473">
        <f>SUM('Prop DUOS'!I25,'Prop TUOS'!H25,'Prop JUOS'!H25)</f>
        <v>0</v>
      </c>
      <c r="I25" s="473">
        <f>SUM('Prop DUOS'!J25,'Prop TUOS'!I25,'Prop JUOS'!I25)</f>
        <v>0</v>
      </c>
      <c r="J25" s="473">
        <f>SUM('Prop DUOS'!K25,'Prop TUOS'!J25,'Prop JUOS'!J25)</f>
        <v>0</v>
      </c>
      <c r="K25" s="473">
        <f>SUM('Prop DUOS'!L25,'Prop TUOS'!K25,'Prop JUOS'!K25)</f>
        <v>0</v>
      </c>
      <c r="L25" s="473">
        <f>SUM('Prop DUOS'!M25,'Prop TUOS'!L25,'Prop JUOS'!L25)</f>
        <v>0</v>
      </c>
      <c r="M25" s="473">
        <f>SUM('Prop DUOS'!N25,'Prop TUOS'!M25,'Prop JUOS'!M25)</f>
        <v>0</v>
      </c>
      <c r="N25" s="473">
        <f>SUM('Prop DUOS'!O25,'Prop TUOS'!N25,'Prop JUOS'!N25)</f>
        <v>0</v>
      </c>
      <c r="O25" s="473">
        <f>SUM('Prop DUOS'!P25,'Prop TUOS'!O25,'Prop JUOS'!O25)</f>
        <v>0</v>
      </c>
      <c r="P25" s="473">
        <f>SUM('Prop DUOS'!Q25,'Prop TUOS'!P25,'Prop JUOS'!P25)</f>
        <v>0</v>
      </c>
      <c r="Q25" s="473">
        <f>SUM('Prop DUOS'!R25,'Prop TUOS'!Q25,'Prop JUOS'!Q25)</f>
        <v>0</v>
      </c>
      <c r="R25" s="473">
        <f>SUM('Prop DUOS'!S25,'Prop TUOS'!R25,'Prop JUOS'!R25)</f>
        <v>0</v>
      </c>
      <c r="T25" s="565"/>
      <c r="U25" s="545"/>
      <c r="V25" s="545"/>
      <c r="W25" s="545"/>
      <c r="X25" s="545"/>
      <c r="Y25" s="566"/>
      <c r="Z25" s="545"/>
      <c r="AA25" s="545"/>
      <c r="AB25" s="545"/>
      <c r="AC25" s="545"/>
      <c r="AD25" s="545"/>
      <c r="AE25" s="545"/>
      <c r="AF25" s="545"/>
      <c r="AG25" s="545"/>
      <c r="AH25" s="545"/>
      <c r="AK25" s="727">
        <f t="shared" si="1"/>
        <v>0</v>
      </c>
      <c r="AL25" s="728">
        <f t="shared" si="2"/>
        <v>0</v>
      </c>
      <c r="AM25" s="728">
        <f t="shared" si="3"/>
        <v>0</v>
      </c>
      <c r="AN25" s="728">
        <f t="shared" si="4"/>
        <v>0</v>
      </c>
      <c r="AO25" s="728">
        <f t="shared" si="5"/>
        <v>0</v>
      </c>
      <c r="AP25" s="728">
        <f t="shared" si="6"/>
        <v>0</v>
      </c>
      <c r="AQ25" s="728">
        <f t="shared" si="7"/>
        <v>0</v>
      </c>
      <c r="AR25" s="728">
        <f t="shared" si="8"/>
        <v>0</v>
      </c>
      <c r="AS25" s="728">
        <f t="shared" si="8"/>
        <v>0</v>
      </c>
      <c r="AT25" s="728">
        <f t="shared" si="9"/>
        <v>0</v>
      </c>
      <c r="AU25" s="728">
        <f t="shared" si="10"/>
        <v>0</v>
      </c>
      <c r="AV25" s="728">
        <f t="shared" si="11"/>
        <v>0</v>
      </c>
      <c r="AW25" s="728">
        <f t="shared" si="12"/>
        <v>0</v>
      </c>
      <c r="AX25" s="728">
        <f t="shared" si="13"/>
        <v>0</v>
      </c>
      <c r="AY25" s="728">
        <f t="shared" si="14"/>
        <v>0</v>
      </c>
      <c r="AZ25" s="156" t="str">
        <f t="array" ref="AZ25">IF(MAX(ABS(AK25:AY25))&gt;$AZ$5,"EXPLAIN","")</f>
        <v/>
      </c>
    </row>
    <row r="26" spans="2:52">
      <c r="B26" s="258"/>
      <c r="C26" s="468" t="str">
        <f>IF('Prop DUOS'!B26="","",'Prop DUOS'!B26)</f>
        <v/>
      </c>
      <c r="D26" s="472">
        <f>SUM('Prop DUOS'!E26,'Prop TUOS'!D26,'Prop JUOS'!D26)</f>
        <v>0</v>
      </c>
      <c r="E26" s="473">
        <f>SUM('Prop DUOS'!F26,'Prop TUOS'!E26,'Prop JUOS'!E26)</f>
        <v>0</v>
      </c>
      <c r="F26" s="473">
        <f>SUM('Prop DUOS'!G26,'Prop TUOS'!F26,'Prop JUOS'!F26)</f>
        <v>0</v>
      </c>
      <c r="G26" s="473">
        <f>SUM('Prop DUOS'!H26,'Prop TUOS'!G26,'Prop JUOS'!G26)</f>
        <v>0</v>
      </c>
      <c r="H26" s="473">
        <f>SUM('Prop DUOS'!I26,'Prop TUOS'!H26,'Prop JUOS'!H26)</f>
        <v>0</v>
      </c>
      <c r="I26" s="473">
        <f>SUM('Prop DUOS'!J26,'Prop TUOS'!I26,'Prop JUOS'!I26)</f>
        <v>0</v>
      </c>
      <c r="J26" s="473">
        <f>SUM('Prop DUOS'!K26,'Prop TUOS'!J26,'Prop JUOS'!J26)</f>
        <v>0</v>
      </c>
      <c r="K26" s="473">
        <f>SUM('Prop DUOS'!L26,'Prop TUOS'!K26,'Prop JUOS'!K26)</f>
        <v>0</v>
      </c>
      <c r="L26" s="473">
        <f>SUM('Prop DUOS'!M26,'Prop TUOS'!L26,'Prop JUOS'!L26)</f>
        <v>0</v>
      </c>
      <c r="M26" s="473">
        <f>SUM('Prop DUOS'!N26,'Prop TUOS'!M26,'Prop JUOS'!M26)</f>
        <v>0</v>
      </c>
      <c r="N26" s="473">
        <f>SUM('Prop DUOS'!O26,'Prop TUOS'!N26,'Prop JUOS'!N26)</f>
        <v>0</v>
      </c>
      <c r="O26" s="473">
        <f>SUM('Prop DUOS'!P26,'Prop TUOS'!O26,'Prop JUOS'!O26)</f>
        <v>0</v>
      </c>
      <c r="P26" s="473">
        <f>SUM('Prop DUOS'!Q26,'Prop TUOS'!P26,'Prop JUOS'!P26)</f>
        <v>0</v>
      </c>
      <c r="Q26" s="473">
        <f>SUM('Prop DUOS'!R26,'Prop TUOS'!Q26,'Prop JUOS'!Q26)</f>
        <v>0</v>
      </c>
      <c r="R26" s="473">
        <f>SUM('Prop DUOS'!S26,'Prop TUOS'!R26,'Prop JUOS'!R26)</f>
        <v>0</v>
      </c>
      <c r="T26" s="565"/>
      <c r="U26" s="545"/>
      <c r="V26" s="545"/>
      <c r="W26" s="545"/>
      <c r="X26" s="545"/>
      <c r="Y26" s="566"/>
      <c r="Z26" s="545"/>
      <c r="AA26" s="545"/>
      <c r="AB26" s="545"/>
      <c r="AC26" s="545"/>
      <c r="AD26" s="545"/>
      <c r="AE26" s="545"/>
      <c r="AF26" s="545"/>
      <c r="AG26" s="545"/>
      <c r="AH26" s="545"/>
      <c r="AK26" s="727">
        <f t="shared" si="1"/>
        <v>0</v>
      </c>
      <c r="AL26" s="728">
        <f t="shared" si="2"/>
        <v>0</v>
      </c>
      <c r="AM26" s="728">
        <f t="shared" si="3"/>
        <v>0</v>
      </c>
      <c r="AN26" s="728">
        <f t="shared" si="4"/>
        <v>0</v>
      </c>
      <c r="AO26" s="728">
        <f t="shared" si="5"/>
        <v>0</v>
      </c>
      <c r="AP26" s="728">
        <f t="shared" si="6"/>
        <v>0</v>
      </c>
      <c r="AQ26" s="728">
        <f t="shared" si="7"/>
        <v>0</v>
      </c>
      <c r="AR26" s="728">
        <f t="shared" si="8"/>
        <v>0</v>
      </c>
      <c r="AS26" s="728">
        <f t="shared" si="8"/>
        <v>0</v>
      </c>
      <c r="AT26" s="728">
        <f t="shared" si="9"/>
        <v>0</v>
      </c>
      <c r="AU26" s="728">
        <f t="shared" si="10"/>
        <v>0</v>
      </c>
      <c r="AV26" s="728">
        <f t="shared" si="11"/>
        <v>0</v>
      </c>
      <c r="AW26" s="728">
        <f t="shared" si="12"/>
        <v>0</v>
      </c>
      <c r="AX26" s="728">
        <f t="shared" si="13"/>
        <v>0</v>
      </c>
      <c r="AY26" s="728">
        <f t="shared" si="14"/>
        <v>0</v>
      </c>
      <c r="AZ26" s="156" t="str">
        <f t="array" ref="AZ26">IF(MAX(ABS(AK26:AY26))&gt;$AZ$5,"EXPLAIN","")</f>
        <v/>
      </c>
    </row>
    <row r="27" spans="2:52">
      <c r="B27" s="258"/>
      <c r="C27" s="468" t="str">
        <f>IF('Prop DUOS'!B27="","",'Prop DUOS'!B27)</f>
        <v/>
      </c>
      <c r="D27" s="472">
        <f>SUM('Prop DUOS'!E27,'Prop TUOS'!D27,'Prop JUOS'!D27)</f>
        <v>0</v>
      </c>
      <c r="E27" s="473">
        <f>SUM('Prop DUOS'!F27,'Prop TUOS'!E27,'Prop JUOS'!E27)</f>
        <v>0</v>
      </c>
      <c r="F27" s="473">
        <f>SUM('Prop DUOS'!G27,'Prop TUOS'!F27,'Prop JUOS'!F27)</f>
        <v>0</v>
      </c>
      <c r="G27" s="473">
        <f>SUM('Prop DUOS'!H27,'Prop TUOS'!G27,'Prop JUOS'!G27)</f>
        <v>0</v>
      </c>
      <c r="H27" s="473">
        <f>SUM('Prop DUOS'!I27,'Prop TUOS'!H27,'Prop JUOS'!H27)</f>
        <v>0</v>
      </c>
      <c r="I27" s="473">
        <f>SUM('Prop DUOS'!J27,'Prop TUOS'!I27,'Prop JUOS'!I27)</f>
        <v>0</v>
      </c>
      <c r="J27" s="473">
        <f>SUM('Prop DUOS'!K27,'Prop TUOS'!J27,'Prop JUOS'!J27)</f>
        <v>0</v>
      </c>
      <c r="K27" s="473">
        <f>SUM('Prop DUOS'!L27,'Prop TUOS'!K27,'Prop JUOS'!K27)</f>
        <v>0</v>
      </c>
      <c r="L27" s="473">
        <f>SUM('Prop DUOS'!M27,'Prop TUOS'!L27,'Prop JUOS'!L27)</f>
        <v>0</v>
      </c>
      <c r="M27" s="473">
        <f>SUM('Prop DUOS'!N27,'Prop TUOS'!M27,'Prop JUOS'!M27)</f>
        <v>0</v>
      </c>
      <c r="N27" s="473">
        <f>SUM('Prop DUOS'!O27,'Prop TUOS'!N27,'Prop JUOS'!N27)</f>
        <v>0</v>
      </c>
      <c r="O27" s="473">
        <f>SUM('Prop DUOS'!P27,'Prop TUOS'!O27,'Prop JUOS'!O27)</f>
        <v>0</v>
      </c>
      <c r="P27" s="473">
        <f>SUM('Prop DUOS'!Q27,'Prop TUOS'!P27,'Prop JUOS'!P27)</f>
        <v>0</v>
      </c>
      <c r="Q27" s="473">
        <f>SUM('Prop DUOS'!R27,'Prop TUOS'!Q27,'Prop JUOS'!Q27)</f>
        <v>0</v>
      </c>
      <c r="R27" s="473">
        <f>SUM('Prop DUOS'!S27,'Prop TUOS'!R27,'Prop JUOS'!R27)</f>
        <v>0</v>
      </c>
      <c r="T27" s="565"/>
      <c r="U27" s="545"/>
      <c r="V27" s="545"/>
      <c r="W27" s="545"/>
      <c r="X27" s="545"/>
      <c r="Y27" s="566"/>
      <c r="Z27" s="545"/>
      <c r="AA27" s="545"/>
      <c r="AB27" s="545"/>
      <c r="AC27" s="545"/>
      <c r="AD27" s="545"/>
      <c r="AE27" s="545"/>
      <c r="AF27" s="545"/>
      <c r="AG27" s="545"/>
      <c r="AH27" s="545"/>
      <c r="AK27" s="727">
        <f t="shared" si="1"/>
        <v>0</v>
      </c>
      <c r="AL27" s="728">
        <f t="shared" si="2"/>
        <v>0</v>
      </c>
      <c r="AM27" s="728">
        <f t="shared" si="3"/>
        <v>0</v>
      </c>
      <c r="AN27" s="728">
        <f t="shared" si="4"/>
        <v>0</v>
      </c>
      <c r="AO27" s="728">
        <f t="shared" si="5"/>
        <v>0</v>
      </c>
      <c r="AP27" s="728">
        <f t="shared" si="6"/>
        <v>0</v>
      </c>
      <c r="AQ27" s="728">
        <f t="shared" si="7"/>
        <v>0</v>
      </c>
      <c r="AR27" s="728">
        <f t="shared" si="8"/>
        <v>0</v>
      </c>
      <c r="AS27" s="728">
        <f t="shared" si="8"/>
        <v>0</v>
      </c>
      <c r="AT27" s="728">
        <f t="shared" si="9"/>
        <v>0</v>
      </c>
      <c r="AU27" s="728">
        <f t="shared" si="10"/>
        <v>0</v>
      </c>
      <c r="AV27" s="728">
        <f t="shared" si="11"/>
        <v>0</v>
      </c>
      <c r="AW27" s="728">
        <f t="shared" si="12"/>
        <v>0</v>
      </c>
      <c r="AX27" s="728">
        <f t="shared" si="13"/>
        <v>0</v>
      </c>
      <c r="AY27" s="728">
        <f t="shared" si="14"/>
        <v>0</v>
      </c>
      <c r="AZ27" s="156" t="str">
        <f t="array" ref="AZ27">IF(MAX(ABS(AK27:AY27))&gt;$AZ$5,"EXPLAIN","")</f>
        <v/>
      </c>
    </row>
    <row r="28" spans="2:52">
      <c r="B28" s="258"/>
      <c r="C28" s="468" t="str">
        <f>IF('Prop DUOS'!B28="","",'Prop DUOS'!B28)</f>
        <v/>
      </c>
      <c r="D28" s="472">
        <f>SUM('Prop DUOS'!E28,'Prop TUOS'!D28,'Prop JUOS'!D28)</f>
        <v>0</v>
      </c>
      <c r="E28" s="473">
        <f>SUM('Prop DUOS'!F28,'Prop TUOS'!E28,'Prop JUOS'!E28)</f>
        <v>0</v>
      </c>
      <c r="F28" s="473">
        <f>SUM('Prop DUOS'!G28,'Prop TUOS'!F28,'Prop JUOS'!F28)</f>
        <v>0</v>
      </c>
      <c r="G28" s="473">
        <f>SUM('Prop DUOS'!H28,'Prop TUOS'!G28,'Prop JUOS'!G28)</f>
        <v>0</v>
      </c>
      <c r="H28" s="473">
        <f>SUM('Prop DUOS'!I28,'Prop TUOS'!H28,'Prop JUOS'!H28)</f>
        <v>0</v>
      </c>
      <c r="I28" s="473">
        <f>SUM('Prop DUOS'!J28,'Prop TUOS'!I28,'Prop JUOS'!I28)</f>
        <v>0</v>
      </c>
      <c r="J28" s="473">
        <f>SUM('Prop DUOS'!K28,'Prop TUOS'!J28,'Prop JUOS'!J28)</f>
        <v>0</v>
      </c>
      <c r="K28" s="473">
        <f>SUM('Prop DUOS'!L28,'Prop TUOS'!K28,'Prop JUOS'!K28)</f>
        <v>0</v>
      </c>
      <c r="L28" s="473">
        <f>SUM('Prop DUOS'!M28,'Prop TUOS'!L28,'Prop JUOS'!L28)</f>
        <v>0</v>
      </c>
      <c r="M28" s="473">
        <f>SUM('Prop DUOS'!N28,'Prop TUOS'!M28,'Prop JUOS'!M28)</f>
        <v>0</v>
      </c>
      <c r="N28" s="473">
        <f>SUM('Prop DUOS'!O28,'Prop TUOS'!N28,'Prop JUOS'!N28)</f>
        <v>0</v>
      </c>
      <c r="O28" s="473">
        <f>SUM('Prop DUOS'!P28,'Prop TUOS'!O28,'Prop JUOS'!O28)</f>
        <v>0</v>
      </c>
      <c r="P28" s="473">
        <f>SUM('Prop DUOS'!Q28,'Prop TUOS'!P28,'Prop JUOS'!P28)</f>
        <v>0</v>
      </c>
      <c r="Q28" s="473">
        <f>SUM('Prop DUOS'!R28,'Prop TUOS'!Q28,'Prop JUOS'!Q28)</f>
        <v>0</v>
      </c>
      <c r="R28" s="473">
        <f>SUM('Prop DUOS'!S28,'Prop TUOS'!R28,'Prop JUOS'!R28)</f>
        <v>0</v>
      </c>
      <c r="T28" s="565"/>
      <c r="U28" s="545"/>
      <c r="V28" s="545"/>
      <c r="W28" s="545"/>
      <c r="X28" s="545"/>
      <c r="Y28" s="566"/>
      <c r="Z28" s="545"/>
      <c r="AA28" s="545"/>
      <c r="AB28" s="545"/>
      <c r="AC28" s="545"/>
      <c r="AD28" s="545"/>
      <c r="AE28" s="545"/>
      <c r="AF28" s="545"/>
      <c r="AG28" s="545"/>
      <c r="AH28" s="545"/>
      <c r="AK28" s="727">
        <f t="shared" si="1"/>
        <v>0</v>
      </c>
      <c r="AL28" s="728">
        <f t="shared" si="2"/>
        <v>0</v>
      </c>
      <c r="AM28" s="728">
        <f t="shared" si="3"/>
        <v>0</v>
      </c>
      <c r="AN28" s="728">
        <f t="shared" si="4"/>
        <v>0</v>
      </c>
      <c r="AO28" s="728">
        <f t="shared" si="5"/>
        <v>0</v>
      </c>
      <c r="AP28" s="728">
        <f t="shared" si="6"/>
        <v>0</v>
      </c>
      <c r="AQ28" s="728">
        <f t="shared" si="7"/>
        <v>0</v>
      </c>
      <c r="AR28" s="728">
        <f t="shared" si="8"/>
        <v>0</v>
      </c>
      <c r="AS28" s="728">
        <f t="shared" si="8"/>
        <v>0</v>
      </c>
      <c r="AT28" s="728">
        <f t="shared" si="9"/>
        <v>0</v>
      </c>
      <c r="AU28" s="728">
        <f t="shared" si="10"/>
        <v>0</v>
      </c>
      <c r="AV28" s="728">
        <f t="shared" si="11"/>
        <v>0</v>
      </c>
      <c r="AW28" s="728">
        <f t="shared" si="12"/>
        <v>0</v>
      </c>
      <c r="AX28" s="728">
        <f t="shared" si="13"/>
        <v>0</v>
      </c>
      <c r="AY28" s="728">
        <f t="shared" si="14"/>
        <v>0</v>
      </c>
      <c r="AZ28" s="156" t="str">
        <f t="array" ref="AZ28">IF(MAX(ABS(AK28:AY28))&gt;$AZ$5,"EXPLAIN","")</f>
        <v/>
      </c>
    </row>
    <row r="29" spans="2:52">
      <c r="B29" s="258"/>
      <c r="C29" s="468" t="str">
        <f>IF('Prop DUOS'!B29="","",'Prop DUOS'!B29)</f>
        <v/>
      </c>
      <c r="D29" s="472">
        <f>SUM('Prop DUOS'!E29,'Prop TUOS'!D29,'Prop JUOS'!D29)</f>
        <v>0</v>
      </c>
      <c r="E29" s="473">
        <f>SUM('Prop DUOS'!F29,'Prop TUOS'!E29,'Prop JUOS'!E29)</f>
        <v>0</v>
      </c>
      <c r="F29" s="473">
        <f>SUM('Prop DUOS'!G29,'Prop TUOS'!F29,'Prop JUOS'!F29)</f>
        <v>0</v>
      </c>
      <c r="G29" s="473">
        <f>SUM('Prop DUOS'!H29,'Prop TUOS'!G29,'Prop JUOS'!G29)</f>
        <v>0</v>
      </c>
      <c r="H29" s="473">
        <f>SUM('Prop DUOS'!I29,'Prop TUOS'!H29,'Prop JUOS'!H29)</f>
        <v>0</v>
      </c>
      <c r="I29" s="473">
        <f>SUM('Prop DUOS'!J29,'Prop TUOS'!I29,'Prop JUOS'!I29)</f>
        <v>0</v>
      </c>
      <c r="J29" s="473">
        <f>SUM('Prop DUOS'!K29,'Prop TUOS'!J29,'Prop JUOS'!J29)</f>
        <v>0</v>
      </c>
      <c r="K29" s="473">
        <f>SUM('Prop DUOS'!L29,'Prop TUOS'!K29,'Prop JUOS'!K29)</f>
        <v>0</v>
      </c>
      <c r="L29" s="473">
        <f>SUM('Prop DUOS'!M29,'Prop TUOS'!L29,'Prop JUOS'!L29)</f>
        <v>0</v>
      </c>
      <c r="M29" s="473">
        <f>SUM('Prop DUOS'!N29,'Prop TUOS'!M29,'Prop JUOS'!M29)</f>
        <v>0</v>
      </c>
      <c r="N29" s="473">
        <f>SUM('Prop DUOS'!O29,'Prop TUOS'!N29,'Prop JUOS'!N29)</f>
        <v>0</v>
      </c>
      <c r="O29" s="473">
        <f>SUM('Prop DUOS'!P29,'Prop TUOS'!O29,'Prop JUOS'!O29)</f>
        <v>0</v>
      </c>
      <c r="P29" s="473">
        <f>SUM('Prop DUOS'!Q29,'Prop TUOS'!P29,'Prop JUOS'!P29)</f>
        <v>0</v>
      </c>
      <c r="Q29" s="473">
        <f>SUM('Prop DUOS'!R29,'Prop TUOS'!Q29,'Prop JUOS'!Q29)</f>
        <v>0</v>
      </c>
      <c r="R29" s="473">
        <f>SUM('Prop DUOS'!S29,'Prop TUOS'!R29,'Prop JUOS'!R29)</f>
        <v>0</v>
      </c>
      <c r="T29" s="565"/>
      <c r="U29" s="545"/>
      <c r="V29" s="545"/>
      <c r="W29" s="545"/>
      <c r="X29" s="545"/>
      <c r="Y29" s="566"/>
      <c r="Z29" s="545"/>
      <c r="AA29" s="545"/>
      <c r="AB29" s="545"/>
      <c r="AC29" s="545"/>
      <c r="AD29" s="545"/>
      <c r="AE29" s="545"/>
      <c r="AF29" s="545"/>
      <c r="AG29" s="545"/>
      <c r="AH29" s="545"/>
      <c r="AK29" s="727">
        <f t="shared" si="1"/>
        <v>0</v>
      </c>
      <c r="AL29" s="728">
        <f t="shared" si="2"/>
        <v>0</v>
      </c>
      <c r="AM29" s="728">
        <f t="shared" si="3"/>
        <v>0</v>
      </c>
      <c r="AN29" s="728">
        <f t="shared" si="4"/>
        <v>0</v>
      </c>
      <c r="AO29" s="728">
        <f t="shared" si="5"/>
        <v>0</v>
      </c>
      <c r="AP29" s="728">
        <f t="shared" si="6"/>
        <v>0</v>
      </c>
      <c r="AQ29" s="728">
        <f t="shared" si="7"/>
        <v>0</v>
      </c>
      <c r="AR29" s="728">
        <f t="shared" si="8"/>
        <v>0</v>
      </c>
      <c r="AS29" s="728">
        <f t="shared" si="8"/>
        <v>0</v>
      </c>
      <c r="AT29" s="728">
        <f t="shared" si="9"/>
        <v>0</v>
      </c>
      <c r="AU29" s="728">
        <f t="shared" si="10"/>
        <v>0</v>
      </c>
      <c r="AV29" s="728">
        <f t="shared" si="11"/>
        <v>0</v>
      </c>
      <c r="AW29" s="728">
        <f t="shared" si="12"/>
        <v>0</v>
      </c>
      <c r="AX29" s="728">
        <f t="shared" si="13"/>
        <v>0</v>
      </c>
      <c r="AY29" s="728">
        <f t="shared" si="14"/>
        <v>0</v>
      </c>
      <c r="AZ29" s="156" t="str">
        <f t="array" ref="AZ29">IF(MAX(ABS(AK29:AY29))&gt;$AZ$5,"EXPLAIN","")</f>
        <v/>
      </c>
    </row>
    <row r="30" spans="2:52">
      <c r="B30" s="258"/>
      <c r="C30" s="468" t="str">
        <f>IF('Prop DUOS'!B30="","",'Prop DUOS'!B30)</f>
        <v/>
      </c>
      <c r="D30" s="472">
        <f>SUM('Prop DUOS'!E30,'Prop TUOS'!D30,'Prop JUOS'!D30)</f>
        <v>0</v>
      </c>
      <c r="E30" s="473">
        <f>SUM('Prop DUOS'!F30,'Prop TUOS'!E30,'Prop JUOS'!E30)</f>
        <v>0</v>
      </c>
      <c r="F30" s="473">
        <f>SUM('Prop DUOS'!G30,'Prop TUOS'!F30,'Prop JUOS'!F30)</f>
        <v>0</v>
      </c>
      <c r="G30" s="473">
        <f>SUM('Prop DUOS'!H30,'Prop TUOS'!G30,'Prop JUOS'!G30)</f>
        <v>0</v>
      </c>
      <c r="H30" s="473">
        <f>SUM('Prop DUOS'!I30,'Prop TUOS'!H30,'Prop JUOS'!H30)</f>
        <v>0</v>
      </c>
      <c r="I30" s="473">
        <f>SUM('Prop DUOS'!J30,'Prop TUOS'!I30,'Prop JUOS'!I30)</f>
        <v>0</v>
      </c>
      <c r="J30" s="473">
        <f>SUM('Prop DUOS'!K30,'Prop TUOS'!J30,'Prop JUOS'!J30)</f>
        <v>0</v>
      </c>
      <c r="K30" s="473">
        <f>SUM('Prop DUOS'!L30,'Prop TUOS'!K30,'Prop JUOS'!K30)</f>
        <v>0</v>
      </c>
      <c r="L30" s="473">
        <f>SUM('Prop DUOS'!M30,'Prop TUOS'!L30,'Prop JUOS'!L30)</f>
        <v>0</v>
      </c>
      <c r="M30" s="473">
        <f>SUM('Prop DUOS'!N30,'Prop TUOS'!M30,'Prop JUOS'!M30)</f>
        <v>0</v>
      </c>
      <c r="N30" s="473">
        <f>SUM('Prop DUOS'!O30,'Prop TUOS'!N30,'Prop JUOS'!N30)</f>
        <v>0</v>
      </c>
      <c r="O30" s="473">
        <f>SUM('Prop DUOS'!P30,'Prop TUOS'!O30,'Prop JUOS'!O30)</f>
        <v>0</v>
      </c>
      <c r="P30" s="473">
        <f>SUM('Prop DUOS'!Q30,'Prop TUOS'!P30,'Prop JUOS'!P30)</f>
        <v>0</v>
      </c>
      <c r="Q30" s="473">
        <f>SUM('Prop DUOS'!R30,'Prop TUOS'!Q30,'Prop JUOS'!Q30)</f>
        <v>0</v>
      </c>
      <c r="R30" s="473">
        <f>SUM('Prop DUOS'!S30,'Prop TUOS'!R30,'Prop JUOS'!R30)</f>
        <v>0</v>
      </c>
      <c r="T30" s="565"/>
      <c r="U30" s="545"/>
      <c r="V30" s="545"/>
      <c r="W30" s="545"/>
      <c r="X30" s="545"/>
      <c r="Y30" s="566"/>
      <c r="Z30" s="545"/>
      <c r="AA30" s="545"/>
      <c r="AB30" s="545"/>
      <c r="AC30" s="545"/>
      <c r="AD30" s="545"/>
      <c r="AE30" s="545"/>
      <c r="AF30" s="545"/>
      <c r="AG30" s="545"/>
      <c r="AH30" s="545"/>
      <c r="AK30" s="727">
        <f t="shared" si="1"/>
        <v>0</v>
      </c>
      <c r="AL30" s="728">
        <f t="shared" si="2"/>
        <v>0</v>
      </c>
      <c r="AM30" s="728">
        <f t="shared" si="3"/>
        <v>0</v>
      </c>
      <c r="AN30" s="728">
        <f t="shared" si="4"/>
        <v>0</v>
      </c>
      <c r="AO30" s="728">
        <f t="shared" si="5"/>
        <v>0</v>
      </c>
      <c r="AP30" s="728">
        <f t="shared" si="6"/>
        <v>0</v>
      </c>
      <c r="AQ30" s="728">
        <f t="shared" si="7"/>
        <v>0</v>
      </c>
      <c r="AR30" s="728">
        <f t="shared" si="8"/>
        <v>0</v>
      </c>
      <c r="AS30" s="728">
        <f t="shared" si="8"/>
        <v>0</v>
      </c>
      <c r="AT30" s="728">
        <f t="shared" si="9"/>
        <v>0</v>
      </c>
      <c r="AU30" s="728">
        <f t="shared" si="10"/>
        <v>0</v>
      </c>
      <c r="AV30" s="728">
        <f t="shared" si="11"/>
        <v>0</v>
      </c>
      <c r="AW30" s="728">
        <f t="shared" si="12"/>
        <v>0</v>
      </c>
      <c r="AX30" s="728">
        <f t="shared" si="13"/>
        <v>0</v>
      </c>
      <c r="AY30" s="728">
        <f t="shared" si="14"/>
        <v>0</v>
      </c>
      <c r="AZ30" s="156" t="str">
        <f t="array" ref="AZ30">IF(MAX(ABS(AK30:AY30))&gt;$AZ$5,"EXPLAIN","")</f>
        <v/>
      </c>
    </row>
    <row r="31" spans="2:52">
      <c r="B31" s="258"/>
      <c r="C31" s="468" t="str">
        <f>IF('Prop DUOS'!B31="","",'Prop DUOS'!B31)</f>
        <v/>
      </c>
      <c r="D31" s="472">
        <f>SUM('Prop DUOS'!E31,'Prop TUOS'!D31,'Prop JUOS'!D31)</f>
        <v>0</v>
      </c>
      <c r="E31" s="473">
        <f>SUM('Prop DUOS'!F31,'Prop TUOS'!E31,'Prop JUOS'!E31)</f>
        <v>0</v>
      </c>
      <c r="F31" s="473">
        <f>SUM('Prop DUOS'!G31,'Prop TUOS'!F31,'Prop JUOS'!F31)</f>
        <v>0</v>
      </c>
      <c r="G31" s="473">
        <f>SUM('Prop DUOS'!H31,'Prop TUOS'!G31,'Prop JUOS'!G31)</f>
        <v>0</v>
      </c>
      <c r="H31" s="473">
        <f>SUM('Prop DUOS'!I31,'Prop TUOS'!H31,'Prop JUOS'!H31)</f>
        <v>0</v>
      </c>
      <c r="I31" s="473">
        <f>SUM('Prop DUOS'!J31,'Prop TUOS'!I31,'Prop JUOS'!I31)</f>
        <v>0</v>
      </c>
      <c r="J31" s="473">
        <f>SUM('Prop DUOS'!K31,'Prop TUOS'!J31,'Prop JUOS'!J31)</f>
        <v>0</v>
      </c>
      <c r="K31" s="473">
        <f>SUM('Prop DUOS'!L31,'Prop TUOS'!K31,'Prop JUOS'!K31)</f>
        <v>0</v>
      </c>
      <c r="L31" s="473">
        <f>SUM('Prop DUOS'!M31,'Prop TUOS'!L31,'Prop JUOS'!L31)</f>
        <v>0</v>
      </c>
      <c r="M31" s="473">
        <f>SUM('Prop DUOS'!N31,'Prop TUOS'!M31,'Prop JUOS'!M31)</f>
        <v>0</v>
      </c>
      <c r="N31" s="473">
        <f>SUM('Prop DUOS'!O31,'Prop TUOS'!N31,'Prop JUOS'!N31)</f>
        <v>0</v>
      </c>
      <c r="O31" s="473">
        <f>SUM('Prop DUOS'!P31,'Prop TUOS'!O31,'Prop JUOS'!O31)</f>
        <v>0</v>
      </c>
      <c r="P31" s="473">
        <f>SUM('Prop DUOS'!Q31,'Prop TUOS'!P31,'Prop JUOS'!P31)</f>
        <v>0</v>
      </c>
      <c r="Q31" s="473">
        <f>SUM('Prop DUOS'!R31,'Prop TUOS'!Q31,'Prop JUOS'!Q31)</f>
        <v>0</v>
      </c>
      <c r="R31" s="473">
        <f>SUM('Prop DUOS'!S31,'Prop TUOS'!R31,'Prop JUOS'!R31)</f>
        <v>0</v>
      </c>
      <c r="T31" s="565"/>
      <c r="U31" s="545"/>
      <c r="V31" s="545"/>
      <c r="W31" s="545"/>
      <c r="X31" s="545"/>
      <c r="Y31" s="566"/>
      <c r="Z31" s="545"/>
      <c r="AA31" s="545"/>
      <c r="AB31" s="545"/>
      <c r="AC31" s="545"/>
      <c r="AD31" s="545"/>
      <c r="AE31" s="545"/>
      <c r="AF31" s="545"/>
      <c r="AG31" s="545"/>
      <c r="AH31" s="545"/>
      <c r="AK31" s="727">
        <f t="shared" si="1"/>
        <v>0</v>
      </c>
      <c r="AL31" s="728">
        <f t="shared" si="2"/>
        <v>0</v>
      </c>
      <c r="AM31" s="728">
        <f t="shared" si="3"/>
        <v>0</v>
      </c>
      <c r="AN31" s="728">
        <f t="shared" si="4"/>
        <v>0</v>
      </c>
      <c r="AO31" s="728">
        <f t="shared" si="5"/>
        <v>0</v>
      </c>
      <c r="AP31" s="728">
        <f t="shared" si="6"/>
        <v>0</v>
      </c>
      <c r="AQ31" s="728">
        <f t="shared" si="7"/>
        <v>0</v>
      </c>
      <c r="AR31" s="728">
        <f t="shared" si="8"/>
        <v>0</v>
      </c>
      <c r="AS31" s="728">
        <f t="shared" si="8"/>
        <v>0</v>
      </c>
      <c r="AT31" s="728">
        <f t="shared" si="9"/>
        <v>0</v>
      </c>
      <c r="AU31" s="728">
        <f t="shared" si="10"/>
        <v>0</v>
      </c>
      <c r="AV31" s="728">
        <f t="shared" si="11"/>
        <v>0</v>
      </c>
      <c r="AW31" s="728">
        <f t="shared" si="12"/>
        <v>0</v>
      </c>
      <c r="AX31" s="728">
        <f t="shared" si="13"/>
        <v>0</v>
      </c>
      <c r="AY31" s="728">
        <f t="shared" si="14"/>
        <v>0</v>
      </c>
      <c r="AZ31" s="156" t="str">
        <f t="array" ref="AZ31">IF(MAX(ABS(AK31:AY31))&gt;$AZ$5,"EXPLAIN","")</f>
        <v/>
      </c>
    </row>
    <row r="32" spans="2:52">
      <c r="B32" s="258"/>
      <c r="C32" s="468" t="str">
        <f>IF('Prop DUOS'!B32="","",'Prop DUOS'!B32)</f>
        <v/>
      </c>
      <c r="D32" s="472">
        <f>SUM('Prop DUOS'!E32,'Prop TUOS'!D32,'Prop JUOS'!D32)</f>
        <v>0</v>
      </c>
      <c r="E32" s="473">
        <f>SUM('Prop DUOS'!F32,'Prop TUOS'!E32,'Prop JUOS'!E32)</f>
        <v>0</v>
      </c>
      <c r="F32" s="473">
        <f>SUM('Prop DUOS'!G32,'Prop TUOS'!F32,'Prop JUOS'!F32)</f>
        <v>0</v>
      </c>
      <c r="G32" s="473">
        <f>SUM('Prop DUOS'!H32,'Prop TUOS'!G32,'Prop JUOS'!G32)</f>
        <v>0</v>
      </c>
      <c r="H32" s="473">
        <f>SUM('Prop DUOS'!I32,'Prop TUOS'!H32,'Prop JUOS'!H32)</f>
        <v>0</v>
      </c>
      <c r="I32" s="473">
        <f>SUM('Prop DUOS'!J32,'Prop TUOS'!I32,'Prop JUOS'!I32)</f>
        <v>0</v>
      </c>
      <c r="J32" s="473">
        <f>SUM('Prop DUOS'!K32,'Prop TUOS'!J32,'Prop JUOS'!J32)</f>
        <v>0</v>
      </c>
      <c r="K32" s="473">
        <f>SUM('Prop DUOS'!L32,'Prop TUOS'!K32,'Prop JUOS'!K32)</f>
        <v>0</v>
      </c>
      <c r="L32" s="473">
        <f>SUM('Prop DUOS'!M32,'Prop TUOS'!L32,'Prop JUOS'!L32)</f>
        <v>0</v>
      </c>
      <c r="M32" s="473">
        <f>SUM('Prop DUOS'!N32,'Prop TUOS'!M32,'Prop JUOS'!M32)</f>
        <v>0</v>
      </c>
      <c r="N32" s="473">
        <f>SUM('Prop DUOS'!O32,'Prop TUOS'!N32,'Prop JUOS'!N32)</f>
        <v>0</v>
      </c>
      <c r="O32" s="473">
        <f>SUM('Prop DUOS'!P32,'Prop TUOS'!O32,'Prop JUOS'!O32)</f>
        <v>0</v>
      </c>
      <c r="P32" s="473">
        <f>SUM('Prop DUOS'!Q32,'Prop TUOS'!P32,'Prop JUOS'!P32)</f>
        <v>0</v>
      </c>
      <c r="Q32" s="473">
        <f>SUM('Prop DUOS'!R32,'Prop TUOS'!Q32,'Prop JUOS'!Q32)</f>
        <v>0</v>
      </c>
      <c r="R32" s="473">
        <f>SUM('Prop DUOS'!S32,'Prop TUOS'!R32,'Prop JUOS'!R32)</f>
        <v>0</v>
      </c>
      <c r="T32" s="565"/>
      <c r="U32" s="545"/>
      <c r="V32" s="545"/>
      <c r="W32" s="545"/>
      <c r="X32" s="545"/>
      <c r="Y32" s="566"/>
      <c r="Z32" s="545"/>
      <c r="AA32" s="545"/>
      <c r="AB32" s="545"/>
      <c r="AC32" s="545"/>
      <c r="AD32" s="545"/>
      <c r="AE32" s="545"/>
      <c r="AF32" s="545"/>
      <c r="AG32" s="545"/>
      <c r="AH32" s="545"/>
      <c r="AK32" s="727">
        <f t="shared" si="1"/>
        <v>0</v>
      </c>
      <c r="AL32" s="728">
        <f t="shared" si="2"/>
        <v>0</v>
      </c>
      <c r="AM32" s="728">
        <f t="shared" si="3"/>
        <v>0</v>
      </c>
      <c r="AN32" s="728">
        <f t="shared" si="4"/>
        <v>0</v>
      </c>
      <c r="AO32" s="728">
        <f t="shared" si="5"/>
        <v>0</v>
      </c>
      <c r="AP32" s="728">
        <f t="shared" si="6"/>
        <v>0</v>
      </c>
      <c r="AQ32" s="728">
        <f t="shared" si="7"/>
        <v>0</v>
      </c>
      <c r="AR32" s="728">
        <f t="shared" si="8"/>
        <v>0</v>
      </c>
      <c r="AS32" s="728">
        <f t="shared" si="8"/>
        <v>0</v>
      </c>
      <c r="AT32" s="728">
        <f t="shared" si="9"/>
        <v>0</v>
      </c>
      <c r="AU32" s="728">
        <f t="shared" si="10"/>
        <v>0</v>
      </c>
      <c r="AV32" s="728">
        <f t="shared" si="11"/>
        <v>0</v>
      </c>
      <c r="AW32" s="728">
        <f t="shared" si="12"/>
        <v>0</v>
      </c>
      <c r="AX32" s="728">
        <f t="shared" si="13"/>
        <v>0</v>
      </c>
      <c r="AY32" s="728">
        <f t="shared" si="14"/>
        <v>0</v>
      </c>
      <c r="AZ32" s="156" t="str">
        <f t="array" ref="AZ32">IF(MAX(ABS(AK32:AY32))&gt;$AZ$5,"EXPLAIN","")</f>
        <v/>
      </c>
    </row>
    <row r="33" spans="2:52">
      <c r="B33" s="258"/>
      <c r="C33" s="468" t="str">
        <f>IF('Prop DUOS'!B33="","",'Prop DUOS'!B33)</f>
        <v/>
      </c>
      <c r="D33" s="472">
        <f>SUM('Prop DUOS'!E33,'Prop TUOS'!D33,'Prop JUOS'!D33)</f>
        <v>0</v>
      </c>
      <c r="E33" s="473">
        <f>SUM('Prop DUOS'!F33,'Prop TUOS'!E33,'Prop JUOS'!E33)</f>
        <v>0</v>
      </c>
      <c r="F33" s="473">
        <f>SUM('Prop DUOS'!G33,'Prop TUOS'!F33,'Prop JUOS'!F33)</f>
        <v>0</v>
      </c>
      <c r="G33" s="473">
        <f>SUM('Prop DUOS'!H33,'Prop TUOS'!G33,'Prop JUOS'!G33)</f>
        <v>0</v>
      </c>
      <c r="H33" s="473">
        <f>SUM('Prop DUOS'!I33,'Prop TUOS'!H33,'Prop JUOS'!H33)</f>
        <v>0</v>
      </c>
      <c r="I33" s="473">
        <f>SUM('Prop DUOS'!J33,'Prop TUOS'!I33,'Prop JUOS'!I33)</f>
        <v>0</v>
      </c>
      <c r="J33" s="473">
        <f>SUM('Prop DUOS'!K33,'Prop TUOS'!J33,'Prop JUOS'!J33)</f>
        <v>0</v>
      </c>
      <c r="K33" s="473">
        <f>SUM('Prop DUOS'!L33,'Prop TUOS'!K33,'Prop JUOS'!K33)</f>
        <v>0</v>
      </c>
      <c r="L33" s="473">
        <f>SUM('Prop DUOS'!M33,'Prop TUOS'!L33,'Prop JUOS'!L33)</f>
        <v>0</v>
      </c>
      <c r="M33" s="473">
        <f>SUM('Prop DUOS'!N33,'Prop TUOS'!M33,'Prop JUOS'!M33)</f>
        <v>0</v>
      </c>
      <c r="N33" s="473">
        <f>SUM('Prop DUOS'!O33,'Prop TUOS'!N33,'Prop JUOS'!N33)</f>
        <v>0</v>
      </c>
      <c r="O33" s="473">
        <f>SUM('Prop DUOS'!P33,'Prop TUOS'!O33,'Prop JUOS'!O33)</f>
        <v>0</v>
      </c>
      <c r="P33" s="473">
        <f>SUM('Prop DUOS'!Q33,'Prop TUOS'!P33,'Prop JUOS'!P33)</f>
        <v>0</v>
      </c>
      <c r="Q33" s="473">
        <f>SUM('Prop DUOS'!R33,'Prop TUOS'!Q33,'Prop JUOS'!Q33)</f>
        <v>0</v>
      </c>
      <c r="R33" s="473">
        <f>SUM('Prop DUOS'!S33,'Prop TUOS'!R33,'Prop JUOS'!R33)</f>
        <v>0</v>
      </c>
      <c r="T33" s="565"/>
      <c r="U33" s="545"/>
      <c r="V33" s="545"/>
      <c r="W33" s="545"/>
      <c r="X33" s="545"/>
      <c r="Y33" s="566"/>
      <c r="Z33" s="545"/>
      <c r="AA33" s="545"/>
      <c r="AB33" s="545"/>
      <c r="AC33" s="545"/>
      <c r="AD33" s="545"/>
      <c r="AE33" s="545"/>
      <c r="AF33" s="545"/>
      <c r="AG33" s="545"/>
      <c r="AH33" s="545"/>
      <c r="AK33" s="727">
        <f t="shared" si="1"/>
        <v>0</v>
      </c>
      <c r="AL33" s="728">
        <f t="shared" si="2"/>
        <v>0</v>
      </c>
      <c r="AM33" s="728">
        <f t="shared" si="3"/>
        <v>0</v>
      </c>
      <c r="AN33" s="728">
        <f t="shared" si="4"/>
        <v>0</v>
      </c>
      <c r="AO33" s="728">
        <f t="shared" si="5"/>
        <v>0</v>
      </c>
      <c r="AP33" s="728">
        <f t="shared" si="6"/>
        <v>0</v>
      </c>
      <c r="AQ33" s="728">
        <f t="shared" si="7"/>
        <v>0</v>
      </c>
      <c r="AR33" s="728">
        <f t="shared" si="8"/>
        <v>0</v>
      </c>
      <c r="AS33" s="728">
        <f t="shared" si="8"/>
        <v>0</v>
      </c>
      <c r="AT33" s="728">
        <f t="shared" si="9"/>
        <v>0</v>
      </c>
      <c r="AU33" s="728">
        <f t="shared" si="10"/>
        <v>0</v>
      </c>
      <c r="AV33" s="728">
        <f t="shared" si="11"/>
        <v>0</v>
      </c>
      <c r="AW33" s="728">
        <f t="shared" si="12"/>
        <v>0</v>
      </c>
      <c r="AX33" s="728">
        <f t="shared" si="13"/>
        <v>0</v>
      </c>
      <c r="AY33" s="728">
        <f t="shared" si="14"/>
        <v>0</v>
      </c>
      <c r="AZ33" s="156" t="str">
        <f t="array" ref="AZ33">IF(MAX(ABS(AK33:AY33))&gt;$AZ$5,"EXPLAIN","")</f>
        <v/>
      </c>
    </row>
    <row r="34" spans="2:52">
      <c r="B34" s="258"/>
      <c r="C34" s="468" t="str">
        <f>IF('Prop DUOS'!B34="","",'Prop DUOS'!B34)</f>
        <v/>
      </c>
      <c r="D34" s="472">
        <f>SUM('Prop DUOS'!E34,'Prop TUOS'!D34,'Prop JUOS'!D34)</f>
        <v>0</v>
      </c>
      <c r="E34" s="473">
        <f>SUM('Prop DUOS'!F34,'Prop TUOS'!E34,'Prop JUOS'!E34)</f>
        <v>0</v>
      </c>
      <c r="F34" s="473">
        <f>SUM('Prop DUOS'!G34,'Prop TUOS'!F34,'Prop JUOS'!F34)</f>
        <v>0</v>
      </c>
      <c r="G34" s="473">
        <f>SUM('Prop DUOS'!H34,'Prop TUOS'!G34,'Prop JUOS'!G34)</f>
        <v>0</v>
      </c>
      <c r="H34" s="473">
        <f>SUM('Prop DUOS'!I34,'Prop TUOS'!H34,'Prop JUOS'!H34)</f>
        <v>0</v>
      </c>
      <c r="I34" s="473">
        <f>SUM('Prop DUOS'!J34,'Prop TUOS'!I34,'Prop JUOS'!I34)</f>
        <v>0</v>
      </c>
      <c r="J34" s="473">
        <f>SUM('Prop DUOS'!K34,'Prop TUOS'!J34,'Prop JUOS'!J34)</f>
        <v>0</v>
      </c>
      <c r="K34" s="473">
        <f>SUM('Prop DUOS'!L34,'Prop TUOS'!K34,'Prop JUOS'!K34)</f>
        <v>0</v>
      </c>
      <c r="L34" s="473">
        <f>SUM('Prop DUOS'!M34,'Prop TUOS'!L34,'Prop JUOS'!L34)</f>
        <v>0</v>
      </c>
      <c r="M34" s="473">
        <f>SUM('Prop DUOS'!N34,'Prop TUOS'!M34,'Prop JUOS'!M34)</f>
        <v>0</v>
      </c>
      <c r="N34" s="473">
        <f>SUM('Prop DUOS'!O34,'Prop TUOS'!N34,'Prop JUOS'!N34)</f>
        <v>0</v>
      </c>
      <c r="O34" s="473">
        <f>SUM('Prop DUOS'!P34,'Prop TUOS'!O34,'Prop JUOS'!O34)</f>
        <v>0</v>
      </c>
      <c r="P34" s="473">
        <f>SUM('Prop DUOS'!Q34,'Prop TUOS'!P34,'Prop JUOS'!P34)</f>
        <v>0</v>
      </c>
      <c r="Q34" s="473">
        <f>SUM('Prop DUOS'!R34,'Prop TUOS'!Q34,'Prop JUOS'!Q34)</f>
        <v>0</v>
      </c>
      <c r="R34" s="473">
        <f>SUM('Prop DUOS'!S34,'Prop TUOS'!R34,'Prop JUOS'!R34)</f>
        <v>0</v>
      </c>
      <c r="T34" s="565"/>
      <c r="U34" s="545"/>
      <c r="V34" s="545"/>
      <c r="W34" s="545"/>
      <c r="X34" s="545"/>
      <c r="Y34" s="566"/>
      <c r="Z34" s="545"/>
      <c r="AA34" s="545"/>
      <c r="AB34" s="545"/>
      <c r="AC34" s="545"/>
      <c r="AD34" s="545"/>
      <c r="AE34" s="545"/>
      <c r="AF34" s="545"/>
      <c r="AG34" s="545"/>
      <c r="AH34" s="545"/>
      <c r="AK34" s="727">
        <f t="shared" si="1"/>
        <v>0</v>
      </c>
      <c r="AL34" s="728">
        <f t="shared" si="2"/>
        <v>0</v>
      </c>
      <c r="AM34" s="728">
        <f t="shared" si="3"/>
        <v>0</v>
      </c>
      <c r="AN34" s="728">
        <f t="shared" si="4"/>
        <v>0</v>
      </c>
      <c r="AO34" s="728">
        <f t="shared" si="5"/>
        <v>0</v>
      </c>
      <c r="AP34" s="728">
        <f t="shared" si="6"/>
        <v>0</v>
      </c>
      <c r="AQ34" s="728">
        <f t="shared" si="7"/>
        <v>0</v>
      </c>
      <c r="AR34" s="728">
        <f t="shared" si="8"/>
        <v>0</v>
      </c>
      <c r="AS34" s="728">
        <f t="shared" si="8"/>
        <v>0</v>
      </c>
      <c r="AT34" s="728">
        <f t="shared" si="9"/>
        <v>0</v>
      </c>
      <c r="AU34" s="728">
        <f t="shared" si="10"/>
        <v>0</v>
      </c>
      <c r="AV34" s="728">
        <f t="shared" si="11"/>
        <v>0</v>
      </c>
      <c r="AW34" s="728">
        <f t="shared" si="12"/>
        <v>0</v>
      </c>
      <c r="AX34" s="728">
        <f t="shared" si="13"/>
        <v>0</v>
      </c>
      <c r="AY34" s="728">
        <f t="shared" si="14"/>
        <v>0</v>
      </c>
      <c r="AZ34" s="156" t="str">
        <f t="array" ref="AZ34">IF(MAX(ABS(AK34:AY34))&gt;$AZ$5,"EXPLAIN","")</f>
        <v/>
      </c>
    </row>
    <row r="35" spans="2:52">
      <c r="B35" s="258"/>
      <c r="C35" s="468" t="str">
        <f>IF('Prop DUOS'!B35="","",'Prop DUOS'!B35)</f>
        <v/>
      </c>
      <c r="D35" s="472">
        <f>SUM('Prop DUOS'!E35,'Prop TUOS'!D35,'Prop JUOS'!D35)</f>
        <v>0</v>
      </c>
      <c r="E35" s="473">
        <f>SUM('Prop DUOS'!F35,'Prop TUOS'!E35,'Prop JUOS'!E35)</f>
        <v>0</v>
      </c>
      <c r="F35" s="473">
        <f>SUM('Prop DUOS'!G35,'Prop TUOS'!F35,'Prop JUOS'!F35)</f>
        <v>0</v>
      </c>
      <c r="G35" s="473">
        <f>SUM('Prop DUOS'!H35,'Prop TUOS'!G35,'Prop JUOS'!G35)</f>
        <v>0</v>
      </c>
      <c r="H35" s="473">
        <f>SUM('Prop DUOS'!I35,'Prop TUOS'!H35,'Prop JUOS'!H35)</f>
        <v>0</v>
      </c>
      <c r="I35" s="473">
        <f>SUM('Prop DUOS'!J35,'Prop TUOS'!I35,'Prop JUOS'!I35)</f>
        <v>0</v>
      </c>
      <c r="J35" s="473">
        <f>SUM('Prop DUOS'!K35,'Prop TUOS'!J35,'Prop JUOS'!J35)</f>
        <v>0</v>
      </c>
      <c r="K35" s="473">
        <f>SUM('Prop DUOS'!L35,'Prop TUOS'!K35,'Prop JUOS'!K35)</f>
        <v>0</v>
      </c>
      <c r="L35" s="473">
        <f>SUM('Prop DUOS'!M35,'Prop TUOS'!L35,'Prop JUOS'!L35)</f>
        <v>0</v>
      </c>
      <c r="M35" s="473">
        <f>SUM('Prop DUOS'!N35,'Prop TUOS'!M35,'Prop JUOS'!M35)</f>
        <v>0</v>
      </c>
      <c r="N35" s="473">
        <f>SUM('Prop DUOS'!O35,'Prop TUOS'!N35,'Prop JUOS'!N35)</f>
        <v>0</v>
      </c>
      <c r="O35" s="473">
        <f>SUM('Prop DUOS'!P35,'Prop TUOS'!O35,'Prop JUOS'!O35)</f>
        <v>0</v>
      </c>
      <c r="P35" s="473">
        <f>SUM('Prop DUOS'!Q35,'Prop TUOS'!P35,'Prop JUOS'!P35)</f>
        <v>0</v>
      </c>
      <c r="Q35" s="473">
        <f>SUM('Prop DUOS'!R35,'Prop TUOS'!Q35,'Prop JUOS'!Q35)</f>
        <v>0</v>
      </c>
      <c r="R35" s="473">
        <f>SUM('Prop DUOS'!S35,'Prop TUOS'!R35,'Prop JUOS'!R35)</f>
        <v>0</v>
      </c>
      <c r="T35" s="565"/>
      <c r="U35" s="545"/>
      <c r="V35" s="545"/>
      <c r="W35" s="545"/>
      <c r="X35" s="545"/>
      <c r="Y35" s="566"/>
      <c r="Z35" s="545"/>
      <c r="AA35" s="545"/>
      <c r="AB35" s="545"/>
      <c r="AC35" s="545"/>
      <c r="AD35" s="545"/>
      <c r="AE35" s="545"/>
      <c r="AF35" s="545"/>
      <c r="AG35" s="545"/>
      <c r="AH35" s="545"/>
      <c r="AK35" s="727">
        <f t="shared" si="1"/>
        <v>0</v>
      </c>
      <c r="AL35" s="728">
        <f t="shared" si="2"/>
        <v>0</v>
      </c>
      <c r="AM35" s="728">
        <f t="shared" si="3"/>
        <v>0</v>
      </c>
      <c r="AN35" s="728">
        <f t="shared" si="4"/>
        <v>0</v>
      </c>
      <c r="AO35" s="728">
        <f t="shared" si="5"/>
        <v>0</v>
      </c>
      <c r="AP35" s="728">
        <f t="shared" si="6"/>
        <v>0</v>
      </c>
      <c r="AQ35" s="728">
        <f t="shared" si="7"/>
        <v>0</v>
      </c>
      <c r="AR35" s="728">
        <f t="shared" si="8"/>
        <v>0</v>
      </c>
      <c r="AS35" s="728">
        <f t="shared" si="8"/>
        <v>0</v>
      </c>
      <c r="AT35" s="728">
        <f t="shared" si="9"/>
        <v>0</v>
      </c>
      <c r="AU35" s="728">
        <f t="shared" si="10"/>
        <v>0</v>
      </c>
      <c r="AV35" s="728">
        <f t="shared" si="11"/>
        <v>0</v>
      </c>
      <c r="AW35" s="728">
        <f t="shared" si="12"/>
        <v>0</v>
      </c>
      <c r="AX35" s="728">
        <f t="shared" si="13"/>
        <v>0</v>
      </c>
      <c r="AY35" s="728">
        <f t="shared" si="14"/>
        <v>0</v>
      </c>
      <c r="AZ35" s="156" t="str">
        <f t="array" ref="AZ35">IF(MAX(ABS(AK35:AY35))&gt;$AZ$5,"EXPLAIN","")</f>
        <v/>
      </c>
    </row>
    <row r="36" spans="2:52">
      <c r="B36" s="258"/>
      <c r="C36" s="468" t="str">
        <f>IF('Prop DUOS'!B36="","",'Prop DUOS'!B36)</f>
        <v/>
      </c>
      <c r="D36" s="472">
        <f>SUM('Prop DUOS'!E36,'Prop TUOS'!D36,'Prop JUOS'!D36)</f>
        <v>0</v>
      </c>
      <c r="E36" s="473">
        <f>SUM('Prop DUOS'!F36,'Prop TUOS'!E36,'Prop JUOS'!E36)</f>
        <v>0</v>
      </c>
      <c r="F36" s="473">
        <f>SUM('Prop DUOS'!G36,'Prop TUOS'!F36,'Prop JUOS'!F36)</f>
        <v>0</v>
      </c>
      <c r="G36" s="473">
        <f>SUM('Prop DUOS'!H36,'Prop TUOS'!G36,'Prop JUOS'!G36)</f>
        <v>0</v>
      </c>
      <c r="H36" s="473">
        <f>SUM('Prop DUOS'!I36,'Prop TUOS'!H36,'Prop JUOS'!H36)</f>
        <v>0</v>
      </c>
      <c r="I36" s="473">
        <f>SUM('Prop DUOS'!J36,'Prop TUOS'!I36,'Prop JUOS'!I36)</f>
        <v>0</v>
      </c>
      <c r="J36" s="473">
        <f>SUM('Prop DUOS'!K36,'Prop TUOS'!J36,'Prop JUOS'!J36)</f>
        <v>0</v>
      </c>
      <c r="K36" s="473">
        <f>SUM('Prop DUOS'!L36,'Prop TUOS'!K36,'Prop JUOS'!K36)</f>
        <v>0</v>
      </c>
      <c r="L36" s="473">
        <f>SUM('Prop DUOS'!M36,'Prop TUOS'!L36,'Prop JUOS'!L36)</f>
        <v>0</v>
      </c>
      <c r="M36" s="473">
        <f>SUM('Prop DUOS'!N36,'Prop TUOS'!M36,'Prop JUOS'!M36)</f>
        <v>0</v>
      </c>
      <c r="N36" s="473">
        <f>SUM('Prop DUOS'!O36,'Prop TUOS'!N36,'Prop JUOS'!N36)</f>
        <v>0</v>
      </c>
      <c r="O36" s="473">
        <f>SUM('Prop DUOS'!P36,'Prop TUOS'!O36,'Prop JUOS'!O36)</f>
        <v>0</v>
      </c>
      <c r="P36" s="473">
        <f>SUM('Prop DUOS'!Q36,'Prop TUOS'!P36,'Prop JUOS'!P36)</f>
        <v>0</v>
      </c>
      <c r="Q36" s="473">
        <f>SUM('Prop DUOS'!R36,'Prop TUOS'!Q36,'Prop JUOS'!Q36)</f>
        <v>0</v>
      </c>
      <c r="R36" s="473">
        <f>SUM('Prop DUOS'!S36,'Prop TUOS'!R36,'Prop JUOS'!R36)</f>
        <v>0</v>
      </c>
      <c r="T36" s="565"/>
      <c r="U36" s="545"/>
      <c r="V36" s="545"/>
      <c r="W36" s="545"/>
      <c r="X36" s="545"/>
      <c r="Y36" s="566"/>
      <c r="Z36" s="545"/>
      <c r="AA36" s="545"/>
      <c r="AB36" s="545"/>
      <c r="AC36" s="545"/>
      <c r="AD36" s="545"/>
      <c r="AE36" s="545"/>
      <c r="AF36" s="545"/>
      <c r="AG36" s="545"/>
      <c r="AH36" s="545"/>
      <c r="AK36" s="727">
        <f t="shared" si="1"/>
        <v>0</v>
      </c>
      <c r="AL36" s="728">
        <f t="shared" si="2"/>
        <v>0</v>
      </c>
      <c r="AM36" s="728">
        <f t="shared" si="3"/>
        <v>0</v>
      </c>
      <c r="AN36" s="728">
        <f t="shared" si="4"/>
        <v>0</v>
      </c>
      <c r="AO36" s="728">
        <f t="shared" si="5"/>
        <v>0</v>
      </c>
      <c r="AP36" s="728">
        <f t="shared" si="6"/>
        <v>0</v>
      </c>
      <c r="AQ36" s="728">
        <f t="shared" si="7"/>
        <v>0</v>
      </c>
      <c r="AR36" s="728">
        <f t="shared" si="8"/>
        <v>0</v>
      </c>
      <c r="AS36" s="728">
        <f t="shared" si="8"/>
        <v>0</v>
      </c>
      <c r="AT36" s="728">
        <f t="shared" si="9"/>
        <v>0</v>
      </c>
      <c r="AU36" s="728">
        <f t="shared" si="10"/>
        <v>0</v>
      </c>
      <c r="AV36" s="728">
        <f t="shared" si="11"/>
        <v>0</v>
      </c>
      <c r="AW36" s="728">
        <f t="shared" si="12"/>
        <v>0</v>
      </c>
      <c r="AX36" s="728">
        <f t="shared" si="13"/>
        <v>0</v>
      </c>
      <c r="AY36" s="728">
        <f t="shared" si="14"/>
        <v>0</v>
      </c>
      <c r="AZ36" s="156" t="str">
        <f t="array" ref="AZ36">IF(MAX(ABS(AK36:AY36))&gt;$AZ$5,"EXPLAIN","")</f>
        <v/>
      </c>
    </row>
    <row r="37" spans="2:52">
      <c r="B37" s="258"/>
      <c r="C37" s="468" t="str">
        <f>IF('Prop DUOS'!B37="","",'Prop DUOS'!B37)</f>
        <v/>
      </c>
      <c r="D37" s="472">
        <f>SUM('Prop DUOS'!E37,'Prop TUOS'!D37,'Prop JUOS'!D37)</f>
        <v>0</v>
      </c>
      <c r="E37" s="473">
        <f>SUM('Prop DUOS'!F37,'Prop TUOS'!E37,'Prop JUOS'!E37)</f>
        <v>0</v>
      </c>
      <c r="F37" s="473">
        <f>SUM('Prop DUOS'!G37,'Prop TUOS'!F37,'Prop JUOS'!F37)</f>
        <v>0</v>
      </c>
      <c r="G37" s="473">
        <f>SUM('Prop DUOS'!H37,'Prop TUOS'!G37,'Prop JUOS'!G37)</f>
        <v>0</v>
      </c>
      <c r="H37" s="473">
        <f>SUM('Prop DUOS'!I37,'Prop TUOS'!H37,'Prop JUOS'!H37)</f>
        <v>0</v>
      </c>
      <c r="I37" s="473">
        <f>SUM('Prop DUOS'!J37,'Prop TUOS'!I37,'Prop JUOS'!I37)</f>
        <v>0</v>
      </c>
      <c r="J37" s="473">
        <f>SUM('Prop DUOS'!K37,'Prop TUOS'!J37,'Prop JUOS'!J37)</f>
        <v>0</v>
      </c>
      <c r="K37" s="473">
        <f>SUM('Prop DUOS'!L37,'Prop TUOS'!K37,'Prop JUOS'!K37)</f>
        <v>0</v>
      </c>
      <c r="L37" s="473">
        <f>SUM('Prop DUOS'!M37,'Prop TUOS'!L37,'Prop JUOS'!L37)</f>
        <v>0</v>
      </c>
      <c r="M37" s="473">
        <f>SUM('Prop DUOS'!N37,'Prop TUOS'!M37,'Prop JUOS'!M37)</f>
        <v>0</v>
      </c>
      <c r="N37" s="473">
        <f>SUM('Prop DUOS'!O37,'Prop TUOS'!N37,'Prop JUOS'!N37)</f>
        <v>0</v>
      </c>
      <c r="O37" s="473">
        <f>SUM('Prop DUOS'!P37,'Prop TUOS'!O37,'Prop JUOS'!O37)</f>
        <v>0</v>
      </c>
      <c r="P37" s="473">
        <f>SUM('Prop DUOS'!Q37,'Prop TUOS'!P37,'Prop JUOS'!P37)</f>
        <v>0</v>
      </c>
      <c r="Q37" s="473">
        <f>SUM('Prop DUOS'!R37,'Prop TUOS'!Q37,'Prop JUOS'!Q37)</f>
        <v>0</v>
      </c>
      <c r="R37" s="473">
        <f>SUM('Prop DUOS'!S37,'Prop TUOS'!R37,'Prop JUOS'!R37)</f>
        <v>0</v>
      </c>
      <c r="T37" s="565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5"/>
      <c r="AF37" s="545"/>
      <c r="AG37" s="545"/>
      <c r="AH37" s="545"/>
      <c r="AK37" s="727">
        <f t="shared" si="1"/>
        <v>0</v>
      </c>
      <c r="AL37" s="728">
        <f t="shared" si="2"/>
        <v>0</v>
      </c>
      <c r="AM37" s="728">
        <f t="shared" si="3"/>
        <v>0</v>
      </c>
      <c r="AN37" s="728">
        <f t="shared" si="4"/>
        <v>0</v>
      </c>
      <c r="AO37" s="728">
        <f t="shared" si="5"/>
        <v>0</v>
      </c>
      <c r="AP37" s="728">
        <f t="shared" si="6"/>
        <v>0</v>
      </c>
      <c r="AQ37" s="728">
        <f t="shared" si="7"/>
        <v>0</v>
      </c>
      <c r="AR37" s="728">
        <f t="shared" si="8"/>
        <v>0</v>
      </c>
      <c r="AS37" s="728">
        <f t="shared" si="8"/>
        <v>0</v>
      </c>
      <c r="AT37" s="728">
        <f t="shared" si="9"/>
        <v>0</v>
      </c>
      <c r="AU37" s="728">
        <f t="shared" si="10"/>
        <v>0</v>
      </c>
      <c r="AV37" s="728">
        <f t="shared" si="11"/>
        <v>0</v>
      </c>
      <c r="AW37" s="728">
        <f t="shared" si="12"/>
        <v>0</v>
      </c>
      <c r="AX37" s="728">
        <f t="shared" si="13"/>
        <v>0</v>
      </c>
      <c r="AY37" s="728">
        <f t="shared" si="14"/>
        <v>0</v>
      </c>
      <c r="AZ37" s="156" t="str">
        <f t="array" ref="AZ37">IF(MAX(ABS(AK37:AY37))&gt;$AZ$5,"EXPLAIN","")</f>
        <v/>
      </c>
    </row>
    <row r="38" spans="2:52">
      <c r="B38" s="258"/>
      <c r="C38" s="468" t="str">
        <f>IF('Prop DUOS'!B38="","",'Prop DUOS'!B38)</f>
        <v/>
      </c>
      <c r="D38" s="472">
        <f>SUM('Prop DUOS'!E38,'Prop TUOS'!D38,'Prop JUOS'!D38)</f>
        <v>0</v>
      </c>
      <c r="E38" s="473">
        <f>SUM('Prop DUOS'!F38,'Prop TUOS'!E38,'Prop JUOS'!E38)</f>
        <v>0</v>
      </c>
      <c r="F38" s="473">
        <f>SUM('Prop DUOS'!G38,'Prop TUOS'!F38,'Prop JUOS'!F38)</f>
        <v>0</v>
      </c>
      <c r="G38" s="473">
        <f>SUM('Prop DUOS'!H38,'Prop TUOS'!G38,'Prop JUOS'!G38)</f>
        <v>0</v>
      </c>
      <c r="H38" s="473">
        <f>SUM('Prop DUOS'!I38,'Prop TUOS'!H38,'Prop JUOS'!H38)</f>
        <v>0</v>
      </c>
      <c r="I38" s="473">
        <f>SUM('Prop DUOS'!J38,'Prop TUOS'!I38,'Prop JUOS'!I38)</f>
        <v>0</v>
      </c>
      <c r="J38" s="473">
        <f>SUM('Prop DUOS'!K38,'Prop TUOS'!J38,'Prop JUOS'!J38)</f>
        <v>0</v>
      </c>
      <c r="K38" s="473">
        <f>SUM('Prop DUOS'!L38,'Prop TUOS'!K38,'Prop JUOS'!K38)</f>
        <v>0</v>
      </c>
      <c r="L38" s="473">
        <f>SUM('Prop DUOS'!M38,'Prop TUOS'!L38,'Prop JUOS'!L38)</f>
        <v>0</v>
      </c>
      <c r="M38" s="473">
        <f>SUM('Prop DUOS'!N38,'Prop TUOS'!M38,'Prop JUOS'!M38)</f>
        <v>0</v>
      </c>
      <c r="N38" s="473">
        <f>SUM('Prop DUOS'!O38,'Prop TUOS'!N38,'Prop JUOS'!N38)</f>
        <v>0</v>
      </c>
      <c r="O38" s="473">
        <f>SUM('Prop DUOS'!P38,'Prop TUOS'!O38,'Prop JUOS'!O38)</f>
        <v>0</v>
      </c>
      <c r="P38" s="473">
        <f>SUM('Prop DUOS'!Q38,'Prop TUOS'!P38,'Prop JUOS'!P38)</f>
        <v>0</v>
      </c>
      <c r="Q38" s="473">
        <f>SUM('Prop DUOS'!R38,'Prop TUOS'!Q38,'Prop JUOS'!Q38)</f>
        <v>0</v>
      </c>
      <c r="R38" s="473">
        <f>SUM('Prop DUOS'!S38,'Prop TUOS'!R38,'Prop JUOS'!R38)</f>
        <v>0</v>
      </c>
      <c r="T38" s="565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5"/>
      <c r="AF38" s="545"/>
      <c r="AG38" s="545"/>
      <c r="AH38" s="545"/>
      <c r="AK38" s="727">
        <f t="shared" si="1"/>
        <v>0</v>
      </c>
      <c r="AL38" s="728">
        <f t="shared" si="2"/>
        <v>0</v>
      </c>
      <c r="AM38" s="728">
        <f t="shared" si="3"/>
        <v>0</v>
      </c>
      <c r="AN38" s="728">
        <f t="shared" si="4"/>
        <v>0</v>
      </c>
      <c r="AO38" s="728">
        <f t="shared" si="5"/>
        <v>0</v>
      </c>
      <c r="AP38" s="728">
        <f t="shared" si="6"/>
        <v>0</v>
      </c>
      <c r="AQ38" s="728">
        <f t="shared" si="7"/>
        <v>0</v>
      </c>
      <c r="AR38" s="728">
        <f t="shared" si="8"/>
        <v>0</v>
      </c>
      <c r="AS38" s="728">
        <f t="shared" si="8"/>
        <v>0</v>
      </c>
      <c r="AT38" s="728">
        <f t="shared" si="9"/>
        <v>0</v>
      </c>
      <c r="AU38" s="728">
        <f t="shared" si="10"/>
        <v>0</v>
      </c>
      <c r="AV38" s="728">
        <f t="shared" si="11"/>
        <v>0</v>
      </c>
      <c r="AW38" s="728">
        <f t="shared" si="12"/>
        <v>0</v>
      </c>
      <c r="AX38" s="728">
        <f t="shared" si="13"/>
        <v>0</v>
      </c>
      <c r="AY38" s="728">
        <f t="shared" si="14"/>
        <v>0</v>
      </c>
      <c r="AZ38" s="156" t="str">
        <f t="array" ref="AZ38">IF(MAX(ABS(AK38:AY38))&gt;$AZ$5,"EXPLAIN","")</f>
        <v/>
      </c>
    </row>
    <row r="39" spans="2:52">
      <c r="B39" s="258"/>
      <c r="C39" s="468" t="str">
        <f>IF('Prop DUOS'!B39="","",'Prop DUOS'!B39)</f>
        <v/>
      </c>
      <c r="D39" s="472">
        <f>SUM('Prop DUOS'!E39,'Prop TUOS'!D39,'Prop JUOS'!D39)</f>
        <v>0</v>
      </c>
      <c r="E39" s="473">
        <f>SUM('Prop DUOS'!F39,'Prop TUOS'!E39,'Prop JUOS'!E39)</f>
        <v>0</v>
      </c>
      <c r="F39" s="473">
        <f>SUM('Prop DUOS'!G39,'Prop TUOS'!F39,'Prop JUOS'!F39)</f>
        <v>0</v>
      </c>
      <c r="G39" s="473">
        <f>SUM('Prop DUOS'!H39,'Prop TUOS'!G39,'Prop JUOS'!G39)</f>
        <v>0</v>
      </c>
      <c r="H39" s="473">
        <f>SUM('Prop DUOS'!I39,'Prop TUOS'!H39,'Prop JUOS'!H39)</f>
        <v>0</v>
      </c>
      <c r="I39" s="473">
        <f>SUM('Prop DUOS'!J39,'Prop TUOS'!I39,'Prop JUOS'!I39)</f>
        <v>0</v>
      </c>
      <c r="J39" s="473">
        <f>SUM('Prop DUOS'!K39,'Prop TUOS'!J39,'Prop JUOS'!J39)</f>
        <v>0</v>
      </c>
      <c r="K39" s="473">
        <f>SUM('Prop DUOS'!L39,'Prop TUOS'!K39,'Prop JUOS'!K39)</f>
        <v>0</v>
      </c>
      <c r="L39" s="473">
        <f>SUM('Prop DUOS'!M39,'Prop TUOS'!L39,'Prop JUOS'!L39)</f>
        <v>0</v>
      </c>
      <c r="M39" s="473">
        <f>SUM('Prop DUOS'!N39,'Prop TUOS'!M39,'Prop JUOS'!M39)</f>
        <v>0</v>
      </c>
      <c r="N39" s="473">
        <f>SUM('Prop DUOS'!O39,'Prop TUOS'!N39,'Prop JUOS'!N39)</f>
        <v>0</v>
      </c>
      <c r="O39" s="473">
        <f>SUM('Prop DUOS'!P39,'Prop TUOS'!O39,'Prop JUOS'!O39)</f>
        <v>0</v>
      </c>
      <c r="P39" s="473">
        <f>SUM('Prop DUOS'!Q39,'Prop TUOS'!P39,'Prop JUOS'!P39)</f>
        <v>0</v>
      </c>
      <c r="Q39" s="473">
        <f>SUM('Prop DUOS'!R39,'Prop TUOS'!Q39,'Prop JUOS'!Q39)</f>
        <v>0</v>
      </c>
      <c r="R39" s="473">
        <f>SUM('Prop DUOS'!S39,'Prop TUOS'!R39,'Prop JUOS'!R39)</f>
        <v>0</v>
      </c>
      <c r="T39" s="565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5"/>
      <c r="AF39" s="545"/>
      <c r="AG39" s="545"/>
      <c r="AH39" s="545"/>
      <c r="AK39" s="727">
        <f t="shared" ref="AK39:AK66" si="15">IFERROR(D39/T39-1,0)</f>
        <v>0</v>
      </c>
      <c r="AL39" s="728">
        <f t="shared" ref="AL39:AL66" si="16">IFERROR(E39/U39-1,0)</f>
        <v>0</v>
      </c>
      <c r="AM39" s="728">
        <f t="shared" ref="AM39:AM66" si="17">IFERROR(F39/V39-1,0)</f>
        <v>0</v>
      </c>
      <c r="AN39" s="728">
        <f t="shared" ref="AN39:AN66" si="18">IFERROR(G39/W39-1,0)</f>
        <v>0</v>
      </c>
      <c r="AO39" s="728">
        <f t="shared" ref="AO39:AO66" si="19">IFERROR(H39/X39-1,0)</f>
        <v>0</v>
      </c>
      <c r="AP39" s="728">
        <f t="shared" ref="AP39:AP66" si="20">IFERROR(I39/Y39-1,0)</f>
        <v>0</v>
      </c>
      <c r="AQ39" s="728">
        <f t="shared" ref="AQ39:AQ66" si="21">IFERROR(J39/Z39-1,0)</f>
        <v>0</v>
      </c>
      <c r="AR39" s="728">
        <f t="shared" ref="AR39:AS66" si="22">IFERROR(K39/AA39-1,0)</f>
        <v>0</v>
      </c>
      <c r="AS39" s="728">
        <f t="shared" si="22"/>
        <v>0</v>
      </c>
      <c r="AT39" s="728">
        <f t="shared" ref="AT39:AT66" si="23">IFERROR(M39/AC39-1,0)</f>
        <v>0</v>
      </c>
      <c r="AU39" s="728">
        <f t="shared" ref="AU39:AU66" si="24">IFERROR(N39/AD39-1,0)</f>
        <v>0</v>
      </c>
      <c r="AV39" s="728">
        <f t="shared" ref="AV39:AV66" si="25">IFERROR(O39/AE39-1,0)</f>
        <v>0</v>
      </c>
      <c r="AW39" s="728">
        <f t="shared" ref="AW39:AW66" si="26">IFERROR(P39/AF39-1,0)</f>
        <v>0</v>
      </c>
      <c r="AX39" s="728">
        <f t="shared" si="13"/>
        <v>0</v>
      </c>
      <c r="AY39" s="728">
        <f t="shared" si="14"/>
        <v>0</v>
      </c>
      <c r="AZ39" s="156" t="str">
        <f t="array" ref="AZ39">IF(MAX(ABS(AK39:AY39))&gt;$AZ$5,"EXPLAIN","")</f>
        <v/>
      </c>
    </row>
    <row r="40" spans="2:52">
      <c r="B40" s="258"/>
      <c r="C40" s="468" t="str">
        <f>IF('Prop DUOS'!B40="","",'Prop DUOS'!B40)</f>
        <v/>
      </c>
      <c r="D40" s="472">
        <f>SUM('Prop DUOS'!E40,'Prop TUOS'!D40,'Prop JUOS'!D40)</f>
        <v>0</v>
      </c>
      <c r="E40" s="473">
        <f>SUM('Prop DUOS'!F40,'Prop TUOS'!E40,'Prop JUOS'!E40)</f>
        <v>0</v>
      </c>
      <c r="F40" s="473">
        <f>SUM('Prop DUOS'!G40,'Prop TUOS'!F40,'Prop JUOS'!F40)</f>
        <v>0</v>
      </c>
      <c r="G40" s="473">
        <f>SUM('Prop DUOS'!H40,'Prop TUOS'!G40,'Prop JUOS'!G40)</f>
        <v>0</v>
      </c>
      <c r="H40" s="473">
        <f>SUM('Prop DUOS'!I40,'Prop TUOS'!H40,'Prop JUOS'!H40)</f>
        <v>0</v>
      </c>
      <c r="I40" s="473">
        <f>SUM('Prop DUOS'!J40,'Prop TUOS'!I40,'Prop JUOS'!I40)</f>
        <v>0</v>
      </c>
      <c r="J40" s="473">
        <f>SUM('Prop DUOS'!K40,'Prop TUOS'!J40,'Prop JUOS'!J40)</f>
        <v>0</v>
      </c>
      <c r="K40" s="473">
        <f>SUM('Prop DUOS'!L40,'Prop TUOS'!K40,'Prop JUOS'!K40)</f>
        <v>0</v>
      </c>
      <c r="L40" s="473">
        <f>SUM('Prop DUOS'!M40,'Prop TUOS'!L40,'Prop JUOS'!L40)</f>
        <v>0</v>
      </c>
      <c r="M40" s="473">
        <f>SUM('Prop DUOS'!N40,'Prop TUOS'!M40,'Prop JUOS'!M40)</f>
        <v>0</v>
      </c>
      <c r="N40" s="473">
        <f>SUM('Prop DUOS'!O40,'Prop TUOS'!N40,'Prop JUOS'!N40)</f>
        <v>0</v>
      </c>
      <c r="O40" s="473">
        <f>SUM('Prop DUOS'!P40,'Prop TUOS'!O40,'Prop JUOS'!O40)</f>
        <v>0</v>
      </c>
      <c r="P40" s="473">
        <f>SUM('Prop DUOS'!Q40,'Prop TUOS'!P40,'Prop JUOS'!P40)</f>
        <v>0</v>
      </c>
      <c r="Q40" s="473">
        <f>SUM('Prop DUOS'!R40,'Prop TUOS'!Q40,'Prop JUOS'!Q40)</f>
        <v>0</v>
      </c>
      <c r="R40" s="473">
        <f>SUM('Prop DUOS'!S40,'Prop TUOS'!R40,'Prop JUOS'!R40)</f>
        <v>0</v>
      </c>
      <c r="T40" s="565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5"/>
      <c r="AF40" s="545"/>
      <c r="AG40" s="545"/>
      <c r="AH40" s="545"/>
      <c r="AK40" s="727">
        <f t="shared" si="15"/>
        <v>0</v>
      </c>
      <c r="AL40" s="728">
        <f t="shared" si="16"/>
        <v>0</v>
      </c>
      <c r="AM40" s="728">
        <f t="shared" si="17"/>
        <v>0</v>
      </c>
      <c r="AN40" s="728">
        <f t="shared" si="18"/>
        <v>0</v>
      </c>
      <c r="AO40" s="728">
        <f t="shared" si="19"/>
        <v>0</v>
      </c>
      <c r="AP40" s="728">
        <f t="shared" si="20"/>
        <v>0</v>
      </c>
      <c r="AQ40" s="728">
        <f t="shared" si="21"/>
        <v>0</v>
      </c>
      <c r="AR40" s="728">
        <f t="shared" si="22"/>
        <v>0</v>
      </c>
      <c r="AS40" s="728">
        <f t="shared" si="22"/>
        <v>0</v>
      </c>
      <c r="AT40" s="728">
        <f t="shared" si="23"/>
        <v>0</v>
      </c>
      <c r="AU40" s="728">
        <f t="shared" si="24"/>
        <v>0</v>
      </c>
      <c r="AV40" s="728">
        <f t="shared" si="25"/>
        <v>0</v>
      </c>
      <c r="AW40" s="728">
        <f t="shared" si="26"/>
        <v>0</v>
      </c>
      <c r="AX40" s="728">
        <f t="shared" si="13"/>
        <v>0</v>
      </c>
      <c r="AY40" s="728">
        <f t="shared" si="14"/>
        <v>0</v>
      </c>
      <c r="AZ40" s="156" t="str">
        <f t="array" ref="AZ40">IF(MAX(ABS(AK40:AY40))&gt;$AZ$5,"EXPLAIN","")</f>
        <v/>
      </c>
    </row>
    <row r="41" spans="2:52">
      <c r="B41" s="258"/>
      <c r="C41" s="468" t="str">
        <f>IF('Prop DUOS'!B41="","",'Prop DUOS'!B41)</f>
        <v/>
      </c>
      <c r="D41" s="472">
        <f>SUM('Prop DUOS'!E41,'Prop TUOS'!D41,'Prop JUOS'!D41)</f>
        <v>0</v>
      </c>
      <c r="E41" s="473">
        <f>SUM('Prop DUOS'!F41,'Prop TUOS'!E41,'Prop JUOS'!E41)</f>
        <v>0</v>
      </c>
      <c r="F41" s="473">
        <f>SUM('Prop DUOS'!G41,'Prop TUOS'!F41,'Prop JUOS'!F41)</f>
        <v>0</v>
      </c>
      <c r="G41" s="473">
        <f>SUM('Prop DUOS'!H41,'Prop TUOS'!G41,'Prop JUOS'!G41)</f>
        <v>0</v>
      </c>
      <c r="H41" s="473">
        <f>SUM('Prop DUOS'!I41,'Prop TUOS'!H41,'Prop JUOS'!H41)</f>
        <v>0</v>
      </c>
      <c r="I41" s="473">
        <f>SUM('Prop DUOS'!J41,'Prop TUOS'!I41,'Prop JUOS'!I41)</f>
        <v>0</v>
      </c>
      <c r="J41" s="473">
        <f>SUM('Prop DUOS'!K41,'Prop TUOS'!J41,'Prop JUOS'!J41)</f>
        <v>0</v>
      </c>
      <c r="K41" s="473">
        <f>SUM('Prop DUOS'!L41,'Prop TUOS'!K41,'Prop JUOS'!K41)</f>
        <v>0</v>
      </c>
      <c r="L41" s="473">
        <f>SUM('Prop DUOS'!M41,'Prop TUOS'!L41,'Prop JUOS'!L41)</f>
        <v>0</v>
      </c>
      <c r="M41" s="473">
        <f>SUM('Prop DUOS'!N41,'Prop TUOS'!M41,'Prop JUOS'!M41)</f>
        <v>0</v>
      </c>
      <c r="N41" s="473">
        <f>SUM('Prop DUOS'!O41,'Prop TUOS'!N41,'Prop JUOS'!N41)</f>
        <v>0</v>
      </c>
      <c r="O41" s="473">
        <f>SUM('Prop DUOS'!P41,'Prop TUOS'!O41,'Prop JUOS'!O41)</f>
        <v>0</v>
      </c>
      <c r="P41" s="473">
        <f>SUM('Prop DUOS'!Q41,'Prop TUOS'!P41,'Prop JUOS'!P41)</f>
        <v>0</v>
      </c>
      <c r="Q41" s="473">
        <f>SUM('Prop DUOS'!R41,'Prop TUOS'!Q41,'Prop JUOS'!Q41)</f>
        <v>0</v>
      </c>
      <c r="R41" s="473">
        <f>SUM('Prop DUOS'!S41,'Prop TUOS'!R41,'Prop JUOS'!R41)</f>
        <v>0</v>
      </c>
      <c r="T41" s="565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5"/>
      <c r="AF41" s="545"/>
      <c r="AG41" s="545"/>
      <c r="AH41" s="545"/>
      <c r="AK41" s="727">
        <f t="shared" si="15"/>
        <v>0</v>
      </c>
      <c r="AL41" s="728">
        <f t="shared" si="16"/>
        <v>0</v>
      </c>
      <c r="AM41" s="728">
        <f t="shared" si="17"/>
        <v>0</v>
      </c>
      <c r="AN41" s="728">
        <f t="shared" si="18"/>
        <v>0</v>
      </c>
      <c r="AO41" s="728">
        <f t="shared" si="19"/>
        <v>0</v>
      </c>
      <c r="AP41" s="728">
        <f t="shared" si="20"/>
        <v>0</v>
      </c>
      <c r="AQ41" s="728">
        <f t="shared" si="21"/>
        <v>0</v>
      </c>
      <c r="AR41" s="728">
        <f t="shared" si="22"/>
        <v>0</v>
      </c>
      <c r="AS41" s="728">
        <f t="shared" si="22"/>
        <v>0</v>
      </c>
      <c r="AT41" s="728">
        <f t="shared" si="23"/>
        <v>0</v>
      </c>
      <c r="AU41" s="728">
        <f t="shared" si="24"/>
        <v>0</v>
      </c>
      <c r="AV41" s="728">
        <f t="shared" si="25"/>
        <v>0</v>
      </c>
      <c r="AW41" s="728">
        <f t="shared" si="26"/>
        <v>0</v>
      </c>
      <c r="AX41" s="728">
        <f t="shared" si="13"/>
        <v>0</v>
      </c>
      <c r="AY41" s="728">
        <f t="shared" si="14"/>
        <v>0</v>
      </c>
      <c r="AZ41" s="156" t="str">
        <f t="array" ref="AZ41">IF(MAX(ABS(AK41:AY41))&gt;$AZ$5,"EXPLAIN","")</f>
        <v/>
      </c>
    </row>
    <row r="42" spans="2:52">
      <c r="B42" s="258"/>
      <c r="C42" s="468" t="str">
        <f>IF('Prop DUOS'!B42="","",'Prop DUOS'!B42)</f>
        <v/>
      </c>
      <c r="D42" s="472">
        <f>SUM('Prop DUOS'!E42,'Prop TUOS'!D42,'Prop JUOS'!D42)</f>
        <v>0</v>
      </c>
      <c r="E42" s="473">
        <f>SUM('Prop DUOS'!F42,'Prop TUOS'!E42,'Prop JUOS'!E42)</f>
        <v>0</v>
      </c>
      <c r="F42" s="473">
        <f>SUM('Prop DUOS'!G42,'Prop TUOS'!F42,'Prop JUOS'!F42)</f>
        <v>0</v>
      </c>
      <c r="G42" s="473">
        <f>SUM('Prop DUOS'!H42,'Prop TUOS'!G42,'Prop JUOS'!G42)</f>
        <v>0</v>
      </c>
      <c r="H42" s="473">
        <f>SUM('Prop DUOS'!I42,'Prop TUOS'!H42,'Prop JUOS'!H42)</f>
        <v>0</v>
      </c>
      <c r="I42" s="473">
        <f>SUM('Prop DUOS'!J42,'Prop TUOS'!I42,'Prop JUOS'!I42)</f>
        <v>0</v>
      </c>
      <c r="J42" s="473">
        <f>SUM('Prop DUOS'!K42,'Prop TUOS'!J42,'Prop JUOS'!J42)</f>
        <v>0</v>
      </c>
      <c r="K42" s="473">
        <f>SUM('Prop DUOS'!L42,'Prop TUOS'!K42,'Prop JUOS'!K42)</f>
        <v>0</v>
      </c>
      <c r="L42" s="473">
        <f>SUM('Prop DUOS'!M42,'Prop TUOS'!L42,'Prop JUOS'!L42)</f>
        <v>0</v>
      </c>
      <c r="M42" s="473">
        <f>SUM('Prop DUOS'!N42,'Prop TUOS'!M42,'Prop JUOS'!M42)</f>
        <v>0</v>
      </c>
      <c r="N42" s="473">
        <f>SUM('Prop DUOS'!O42,'Prop TUOS'!N42,'Prop JUOS'!N42)</f>
        <v>0</v>
      </c>
      <c r="O42" s="473">
        <f>SUM('Prop DUOS'!P42,'Prop TUOS'!O42,'Prop JUOS'!O42)</f>
        <v>0</v>
      </c>
      <c r="P42" s="473">
        <f>SUM('Prop DUOS'!Q42,'Prop TUOS'!P42,'Prop JUOS'!P42)</f>
        <v>0</v>
      </c>
      <c r="Q42" s="473">
        <f>SUM('Prop DUOS'!R42,'Prop TUOS'!Q42,'Prop JUOS'!Q42)</f>
        <v>0</v>
      </c>
      <c r="R42" s="473">
        <f>SUM('Prop DUOS'!S42,'Prop TUOS'!R42,'Prop JUOS'!R42)</f>
        <v>0</v>
      </c>
      <c r="T42" s="565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5"/>
      <c r="AF42" s="545"/>
      <c r="AG42" s="545"/>
      <c r="AH42" s="545"/>
      <c r="AK42" s="727">
        <f t="shared" si="15"/>
        <v>0</v>
      </c>
      <c r="AL42" s="728">
        <f t="shared" si="16"/>
        <v>0</v>
      </c>
      <c r="AM42" s="728">
        <f t="shared" si="17"/>
        <v>0</v>
      </c>
      <c r="AN42" s="728">
        <f t="shared" si="18"/>
        <v>0</v>
      </c>
      <c r="AO42" s="728">
        <f t="shared" si="19"/>
        <v>0</v>
      </c>
      <c r="AP42" s="728">
        <f t="shared" si="20"/>
        <v>0</v>
      </c>
      <c r="AQ42" s="728">
        <f t="shared" si="21"/>
        <v>0</v>
      </c>
      <c r="AR42" s="728">
        <f t="shared" si="22"/>
        <v>0</v>
      </c>
      <c r="AS42" s="728">
        <f t="shared" si="22"/>
        <v>0</v>
      </c>
      <c r="AT42" s="728">
        <f t="shared" si="23"/>
        <v>0</v>
      </c>
      <c r="AU42" s="728">
        <f t="shared" si="24"/>
        <v>0</v>
      </c>
      <c r="AV42" s="728">
        <f t="shared" si="25"/>
        <v>0</v>
      </c>
      <c r="AW42" s="728">
        <f t="shared" si="26"/>
        <v>0</v>
      </c>
      <c r="AX42" s="728">
        <f t="shared" si="13"/>
        <v>0</v>
      </c>
      <c r="AY42" s="728">
        <f t="shared" si="14"/>
        <v>0</v>
      </c>
      <c r="AZ42" s="156" t="str">
        <f t="array" ref="AZ42">IF(MAX(ABS(AK42:AY42))&gt;$AZ$5,"EXPLAIN","")</f>
        <v/>
      </c>
    </row>
    <row r="43" spans="2:52">
      <c r="B43" s="258"/>
      <c r="C43" s="468" t="str">
        <f>IF('Prop DUOS'!B43="","",'Prop DUOS'!B43)</f>
        <v/>
      </c>
      <c r="D43" s="472">
        <f>SUM('Prop DUOS'!E43,'Prop TUOS'!D43,'Prop JUOS'!D43)</f>
        <v>0</v>
      </c>
      <c r="E43" s="473">
        <f>SUM('Prop DUOS'!F43,'Prop TUOS'!E43,'Prop JUOS'!E43)</f>
        <v>0</v>
      </c>
      <c r="F43" s="473">
        <f>SUM('Prop DUOS'!G43,'Prop TUOS'!F43,'Prop JUOS'!F43)</f>
        <v>0</v>
      </c>
      <c r="G43" s="473">
        <f>SUM('Prop DUOS'!H43,'Prop TUOS'!G43,'Prop JUOS'!G43)</f>
        <v>0</v>
      </c>
      <c r="H43" s="473">
        <f>SUM('Prop DUOS'!I43,'Prop TUOS'!H43,'Prop JUOS'!H43)</f>
        <v>0</v>
      </c>
      <c r="I43" s="473">
        <f>SUM('Prop DUOS'!J43,'Prop TUOS'!I43,'Prop JUOS'!I43)</f>
        <v>0</v>
      </c>
      <c r="J43" s="473">
        <f>SUM('Prop DUOS'!K43,'Prop TUOS'!J43,'Prop JUOS'!J43)</f>
        <v>0</v>
      </c>
      <c r="K43" s="473">
        <f>SUM('Prop DUOS'!L43,'Prop TUOS'!K43,'Prop JUOS'!K43)</f>
        <v>0</v>
      </c>
      <c r="L43" s="473">
        <f>SUM('Prop DUOS'!M43,'Prop TUOS'!L43,'Prop JUOS'!L43)</f>
        <v>0</v>
      </c>
      <c r="M43" s="473">
        <f>SUM('Prop DUOS'!N43,'Prop TUOS'!M43,'Prop JUOS'!M43)</f>
        <v>0</v>
      </c>
      <c r="N43" s="473">
        <f>SUM('Prop DUOS'!O43,'Prop TUOS'!N43,'Prop JUOS'!N43)</f>
        <v>0</v>
      </c>
      <c r="O43" s="473">
        <f>SUM('Prop DUOS'!P43,'Prop TUOS'!O43,'Prop JUOS'!O43)</f>
        <v>0</v>
      </c>
      <c r="P43" s="473">
        <f>SUM('Prop DUOS'!Q43,'Prop TUOS'!P43,'Prop JUOS'!P43)</f>
        <v>0</v>
      </c>
      <c r="Q43" s="473">
        <f>SUM('Prop DUOS'!R43,'Prop TUOS'!Q43,'Prop JUOS'!Q43)</f>
        <v>0</v>
      </c>
      <c r="R43" s="473">
        <f>SUM('Prop DUOS'!S43,'Prop TUOS'!R43,'Prop JUOS'!R43)</f>
        <v>0</v>
      </c>
      <c r="T43" s="565"/>
      <c r="U43" s="545"/>
      <c r="V43" s="545"/>
      <c r="W43" s="545"/>
      <c r="X43" s="545"/>
      <c r="Y43" s="545"/>
      <c r="Z43" s="545"/>
      <c r="AA43" s="545"/>
      <c r="AB43" s="545"/>
      <c r="AC43" s="545"/>
      <c r="AD43" s="545"/>
      <c r="AE43" s="545"/>
      <c r="AF43" s="545"/>
      <c r="AG43" s="545"/>
      <c r="AH43" s="545"/>
      <c r="AK43" s="727">
        <f t="shared" si="15"/>
        <v>0</v>
      </c>
      <c r="AL43" s="728">
        <f t="shared" si="16"/>
        <v>0</v>
      </c>
      <c r="AM43" s="728">
        <f t="shared" si="17"/>
        <v>0</v>
      </c>
      <c r="AN43" s="728">
        <f t="shared" si="18"/>
        <v>0</v>
      </c>
      <c r="AO43" s="728">
        <f t="shared" si="19"/>
        <v>0</v>
      </c>
      <c r="AP43" s="728">
        <f t="shared" si="20"/>
        <v>0</v>
      </c>
      <c r="AQ43" s="728">
        <f t="shared" si="21"/>
        <v>0</v>
      </c>
      <c r="AR43" s="728">
        <f t="shared" si="22"/>
        <v>0</v>
      </c>
      <c r="AS43" s="728">
        <f t="shared" si="22"/>
        <v>0</v>
      </c>
      <c r="AT43" s="728">
        <f t="shared" si="23"/>
        <v>0</v>
      </c>
      <c r="AU43" s="728">
        <f t="shared" si="24"/>
        <v>0</v>
      </c>
      <c r="AV43" s="728">
        <f t="shared" si="25"/>
        <v>0</v>
      </c>
      <c r="AW43" s="728">
        <f t="shared" si="26"/>
        <v>0</v>
      </c>
      <c r="AX43" s="728">
        <f t="shared" si="13"/>
        <v>0</v>
      </c>
      <c r="AY43" s="728">
        <f t="shared" si="14"/>
        <v>0</v>
      </c>
      <c r="AZ43" s="156" t="str">
        <f t="array" ref="AZ43">IF(MAX(ABS(AK43:AY43))&gt;$AZ$5,"EXPLAIN","")</f>
        <v/>
      </c>
    </row>
    <row r="44" spans="2:52">
      <c r="B44" s="258"/>
      <c r="C44" s="468" t="str">
        <f>IF('Prop DUOS'!B44="","",'Prop DUOS'!B44)</f>
        <v/>
      </c>
      <c r="D44" s="472">
        <f>SUM('Prop DUOS'!E44,'Prop TUOS'!D44,'Prop JUOS'!D44)</f>
        <v>0</v>
      </c>
      <c r="E44" s="473">
        <f>SUM('Prop DUOS'!F44,'Prop TUOS'!E44,'Prop JUOS'!E44)</f>
        <v>0</v>
      </c>
      <c r="F44" s="473">
        <f>SUM('Prop DUOS'!G44,'Prop TUOS'!F44,'Prop JUOS'!F44)</f>
        <v>0</v>
      </c>
      <c r="G44" s="473">
        <f>SUM('Prop DUOS'!H44,'Prop TUOS'!G44,'Prop JUOS'!G44)</f>
        <v>0</v>
      </c>
      <c r="H44" s="473">
        <f>SUM('Prop DUOS'!I44,'Prop TUOS'!H44,'Prop JUOS'!H44)</f>
        <v>0</v>
      </c>
      <c r="I44" s="473">
        <f>SUM('Prop DUOS'!J44,'Prop TUOS'!I44,'Prop JUOS'!I44)</f>
        <v>0</v>
      </c>
      <c r="J44" s="473">
        <f>SUM('Prop DUOS'!K44,'Prop TUOS'!J44,'Prop JUOS'!J44)</f>
        <v>0</v>
      </c>
      <c r="K44" s="473">
        <f>SUM('Prop DUOS'!L44,'Prop TUOS'!K44,'Prop JUOS'!K44)</f>
        <v>0</v>
      </c>
      <c r="L44" s="473">
        <f>SUM('Prop DUOS'!M44,'Prop TUOS'!L44,'Prop JUOS'!L44)</f>
        <v>0</v>
      </c>
      <c r="M44" s="473">
        <f>SUM('Prop DUOS'!N44,'Prop TUOS'!M44,'Prop JUOS'!M44)</f>
        <v>0</v>
      </c>
      <c r="N44" s="473">
        <f>SUM('Prop DUOS'!O44,'Prop TUOS'!N44,'Prop JUOS'!N44)</f>
        <v>0</v>
      </c>
      <c r="O44" s="473">
        <f>SUM('Prop DUOS'!P44,'Prop TUOS'!O44,'Prop JUOS'!O44)</f>
        <v>0</v>
      </c>
      <c r="P44" s="473">
        <f>SUM('Prop DUOS'!Q44,'Prop TUOS'!P44,'Prop JUOS'!P44)</f>
        <v>0</v>
      </c>
      <c r="Q44" s="473">
        <f>SUM('Prop DUOS'!R44,'Prop TUOS'!Q44,'Prop JUOS'!Q44)</f>
        <v>0</v>
      </c>
      <c r="R44" s="473">
        <f>SUM('Prop DUOS'!S44,'Prop TUOS'!R44,'Prop JUOS'!R44)</f>
        <v>0</v>
      </c>
      <c r="T44" s="565"/>
      <c r="U44" s="545"/>
      <c r="V44" s="545"/>
      <c r="W44" s="545"/>
      <c r="X44" s="545"/>
      <c r="Y44" s="545"/>
      <c r="Z44" s="545"/>
      <c r="AA44" s="545"/>
      <c r="AB44" s="545"/>
      <c r="AC44" s="545"/>
      <c r="AD44" s="545"/>
      <c r="AE44" s="545"/>
      <c r="AF44" s="545"/>
      <c r="AG44" s="545"/>
      <c r="AH44" s="545"/>
      <c r="AK44" s="727">
        <f t="shared" si="15"/>
        <v>0</v>
      </c>
      <c r="AL44" s="728">
        <f t="shared" si="16"/>
        <v>0</v>
      </c>
      <c r="AM44" s="728">
        <f t="shared" si="17"/>
        <v>0</v>
      </c>
      <c r="AN44" s="728">
        <f t="shared" si="18"/>
        <v>0</v>
      </c>
      <c r="AO44" s="728">
        <f t="shared" si="19"/>
        <v>0</v>
      </c>
      <c r="AP44" s="728">
        <f t="shared" si="20"/>
        <v>0</v>
      </c>
      <c r="AQ44" s="728">
        <f t="shared" si="21"/>
        <v>0</v>
      </c>
      <c r="AR44" s="728">
        <f t="shared" si="22"/>
        <v>0</v>
      </c>
      <c r="AS44" s="728">
        <f t="shared" si="22"/>
        <v>0</v>
      </c>
      <c r="AT44" s="728">
        <f t="shared" si="23"/>
        <v>0</v>
      </c>
      <c r="AU44" s="728">
        <f t="shared" si="24"/>
        <v>0</v>
      </c>
      <c r="AV44" s="728">
        <f t="shared" si="25"/>
        <v>0</v>
      </c>
      <c r="AW44" s="728">
        <f t="shared" si="26"/>
        <v>0</v>
      </c>
      <c r="AX44" s="728">
        <f t="shared" si="13"/>
        <v>0</v>
      </c>
      <c r="AY44" s="728">
        <f t="shared" si="14"/>
        <v>0</v>
      </c>
      <c r="AZ44" s="156" t="str">
        <f t="array" ref="AZ44">IF(MAX(ABS(AK44:AY44))&gt;$AZ$5,"EXPLAIN","")</f>
        <v/>
      </c>
    </row>
    <row r="45" spans="2:52">
      <c r="B45" s="258"/>
      <c r="C45" s="468" t="str">
        <f>IF('Prop DUOS'!B45="","",'Prop DUOS'!B45)</f>
        <v/>
      </c>
      <c r="D45" s="472">
        <f>SUM('Prop DUOS'!E45,'Prop TUOS'!D45,'Prop JUOS'!D45)</f>
        <v>0</v>
      </c>
      <c r="E45" s="473">
        <f>SUM('Prop DUOS'!F45,'Prop TUOS'!E45,'Prop JUOS'!E45)</f>
        <v>0</v>
      </c>
      <c r="F45" s="473">
        <f>SUM('Prop DUOS'!G45,'Prop TUOS'!F45,'Prop JUOS'!F45)</f>
        <v>0</v>
      </c>
      <c r="G45" s="473">
        <f>SUM('Prop DUOS'!H45,'Prop TUOS'!G45,'Prop JUOS'!G45)</f>
        <v>0</v>
      </c>
      <c r="H45" s="473">
        <f>SUM('Prop DUOS'!I45,'Prop TUOS'!H45,'Prop JUOS'!H45)</f>
        <v>0</v>
      </c>
      <c r="I45" s="473">
        <f>SUM('Prop DUOS'!J45,'Prop TUOS'!I45,'Prop JUOS'!I45)</f>
        <v>0</v>
      </c>
      <c r="J45" s="473">
        <f>SUM('Prop DUOS'!K45,'Prop TUOS'!J45,'Prop JUOS'!J45)</f>
        <v>0</v>
      </c>
      <c r="K45" s="473">
        <f>SUM('Prop DUOS'!L45,'Prop TUOS'!K45,'Prop JUOS'!K45)</f>
        <v>0</v>
      </c>
      <c r="L45" s="473">
        <f>SUM('Prop DUOS'!M45,'Prop TUOS'!L45,'Prop JUOS'!L45)</f>
        <v>0</v>
      </c>
      <c r="M45" s="473">
        <f>SUM('Prop DUOS'!N45,'Prop TUOS'!M45,'Prop JUOS'!M45)</f>
        <v>0</v>
      </c>
      <c r="N45" s="473">
        <f>SUM('Prop DUOS'!O45,'Prop TUOS'!N45,'Prop JUOS'!N45)</f>
        <v>0</v>
      </c>
      <c r="O45" s="473">
        <f>SUM('Prop DUOS'!P45,'Prop TUOS'!O45,'Prop JUOS'!O45)</f>
        <v>0</v>
      </c>
      <c r="P45" s="473">
        <f>SUM('Prop DUOS'!Q45,'Prop TUOS'!P45,'Prop JUOS'!P45)</f>
        <v>0</v>
      </c>
      <c r="Q45" s="473">
        <f>SUM('Prop DUOS'!R45,'Prop TUOS'!Q45,'Prop JUOS'!Q45)</f>
        <v>0</v>
      </c>
      <c r="R45" s="473">
        <f>SUM('Prop DUOS'!S45,'Prop TUOS'!R45,'Prop JUOS'!R45)</f>
        <v>0</v>
      </c>
      <c r="T45" s="565"/>
      <c r="U45" s="545"/>
      <c r="V45" s="545"/>
      <c r="W45" s="545"/>
      <c r="X45" s="545"/>
      <c r="Y45" s="545"/>
      <c r="Z45" s="545"/>
      <c r="AA45" s="545"/>
      <c r="AB45" s="545"/>
      <c r="AC45" s="545"/>
      <c r="AD45" s="545"/>
      <c r="AE45" s="545"/>
      <c r="AF45" s="545"/>
      <c r="AG45" s="545"/>
      <c r="AH45" s="545"/>
      <c r="AK45" s="727">
        <f t="shared" si="15"/>
        <v>0</v>
      </c>
      <c r="AL45" s="728">
        <f t="shared" si="16"/>
        <v>0</v>
      </c>
      <c r="AM45" s="728">
        <f t="shared" si="17"/>
        <v>0</v>
      </c>
      <c r="AN45" s="728">
        <f t="shared" si="18"/>
        <v>0</v>
      </c>
      <c r="AO45" s="728">
        <f t="shared" si="19"/>
        <v>0</v>
      </c>
      <c r="AP45" s="728">
        <f t="shared" si="20"/>
        <v>0</v>
      </c>
      <c r="AQ45" s="728">
        <f t="shared" si="21"/>
        <v>0</v>
      </c>
      <c r="AR45" s="728">
        <f t="shared" si="22"/>
        <v>0</v>
      </c>
      <c r="AS45" s="728">
        <f t="shared" si="22"/>
        <v>0</v>
      </c>
      <c r="AT45" s="728">
        <f t="shared" si="23"/>
        <v>0</v>
      </c>
      <c r="AU45" s="728">
        <f t="shared" si="24"/>
        <v>0</v>
      </c>
      <c r="AV45" s="728">
        <f t="shared" si="25"/>
        <v>0</v>
      </c>
      <c r="AW45" s="728">
        <f t="shared" si="26"/>
        <v>0</v>
      </c>
      <c r="AX45" s="728">
        <f t="shared" si="13"/>
        <v>0</v>
      </c>
      <c r="AY45" s="728">
        <f t="shared" si="14"/>
        <v>0</v>
      </c>
      <c r="AZ45" s="156" t="str">
        <f t="array" ref="AZ45">IF(MAX(ABS(AK45:AY45))&gt;$AZ$5,"EXPLAIN","")</f>
        <v/>
      </c>
    </row>
    <row r="46" spans="2:52">
      <c r="B46" s="258"/>
      <c r="C46" s="468" t="str">
        <f>IF('Prop DUOS'!B46="","",'Prop DUOS'!B46)</f>
        <v/>
      </c>
      <c r="D46" s="472">
        <f>SUM('Prop DUOS'!E46,'Prop TUOS'!D46,'Prop JUOS'!D46)</f>
        <v>0</v>
      </c>
      <c r="E46" s="473">
        <f>SUM('Prop DUOS'!F46,'Prop TUOS'!E46,'Prop JUOS'!E46)</f>
        <v>0</v>
      </c>
      <c r="F46" s="473">
        <f>SUM('Prop DUOS'!G46,'Prop TUOS'!F46,'Prop JUOS'!F46)</f>
        <v>0</v>
      </c>
      <c r="G46" s="473">
        <f>SUM('Prop DUOS'!H46,'Prop TUOS'!G46,'Prop JUOS'!G46)</f>
        <v>0</v>
      </c>
      <c r="H46" s="473">
        <f>SUM('Prop DUOS'!I46,'Prop TUOS'!H46,'Prop JUOS'!H46)</f>
        <v>0</v>
      </c>
      <c r="I46" s="473">
        <f>SUM('Prop DUOS'!J46,'Prop TUOS'!I46,'Prop JUOS'!I46)</f>
        <v>0</v>
      </c>
      <c r="J46" s="473">
        <f>SUM('Prop DUOS'!K46,'Prop TUOS'!J46,'Prop JUOS'!J46)</f>
        <v>0</v>
      </c>
      <c r="K46" s="473">
        <f>SUM('Prop DUOS'!L46,'Prop TUOS'!K46,'Prop JUOS'!K46)</f>
        <v>0</v>
      </c>
      <c r="L46" s="473">
        <f>SUM('Prop DUOS'!M46,'Prop TUOS'!L46,'Prop JUOS'!L46)</f>
        <v>0</v>
      </c>
      <c r="M46" s="473">
        <f>SUM('Prop DUOS'!N46,'Prop TUOS'!M46,'Prop JUOS'!M46)</f>
        <v>0</v>
      </c>
      <c r="N46" s="473">
        <f>SUM('Prop DUOS'!O46,'Prop TUOS'!N46,'Prop JUOS'!N46)</f>
        <v>0</v>
      </c>
      <c r="O46" s="473">
        <f>SUM('Prop DUOS'!P46,'Prop TUOS'!O46,'Prop JUOS'!O46)</f>
        <v>0</v>
      </c>
      <c r="P46" s="473">
        <f>SUM('Prop DUOS'!Q46,'Prop TUOS'!P46,'Prop JUOS'!P46)</f>
        <v>0</v>
      </c>
      <c r="Q46" s="473">
        <f>SUM('Prop DUOS'!R46,'Prop TUOS'!Q46,'Prop JUOS'!Q46)</f>
        <v>0</v>
      </c>
      <c r="R46" s="473">
        <f>SUM('Prop DUOS'!S46,'Prop TUOS'!R46,'Prop JUOS'!R46)</f>
        <v>0</v>
      </c>
      <c r="T46" s="565"/>
      <c r="U46" s="545"/>
      <c r="V46" s="545"/>
      <c r="W46" s="545"/>
      <c r="X46" s="545"/>
      <c r="Y46" s="545"/>
      <c r="Z46" s="545"/>
      <c r="AA46" s="545"/>
      <c r="AB46" s="545"/>
      <c r="AC46" s="545"/>
      <c r="AD46" s="545"/>
      <c r="AE46" s="545"/>
      <c r="AF46" s="545"/>
      <c r="AG46" s="545"/>
      <c r="AH46" s="545"/>
      <c r="AK46" s="727">
        <f t="shared" si="15"/>
        <v>0</v>
      </c>
      <c r="AL46" s="728">
        <f t="shared" si="16"/>
        <v>0</v>
      </c>
      <c r="AM46" s="728">
        <f t="shared" si="17"/>
        <v>0</v>
      </c>
      <c r="AN46" s="728">
        <f t="shared" si="18"/>
        <v>0</v>
      </c>
      <c r="AO46" s="728">
        <f t="shared" si="19"/>
        <v>0</v>
      </c>
      <c r="AP46" s="728">
        <f t="shared" si="20"/>
        <v>0</v>
      </c>
      <c r="AQ46" s="728">
        <f t="shared" si="21"/>
        <v>0</v>
      </c>
      <c r="AR46" s="728">
        <f t="shared" si="22"/>
        <v>0</v>
      </c>
      <c r="AS46" s="728">
        <f t="shared" si="22"/>
        <v>0</v>
      </c>
      <c r="AT46" s="728">
        <f t="shared" si="23"/>
        <v>0</v>
      </c>
      <c r="AU46" s="728">
        <f t="shared" si="24"/>
        <v>0</v>
      </c>
      <c r="AV46" s="728">
        <f t="shared" si="25"/>
        <v>0</v>
      </c>
      <c r="AW46" s="728">
        <f t="shared" si="26"/>
        <v>0</v>
      </c>
      <c r="AX46" s="728">
        <f t="shared" si="13"/>
        <v>0</v>
      </c>
      <c r="AY46" s="728">
        <f t="shared" si="14"/>
        <v>0</v>
      </c>
      <c r="AZ46" s="156" t="str">
        <f t="array" ref="AZ46">IF(MAX(ABS(AK46:AY46))&gt;$AZ$5,"EXPLAIN","")</f>
        <v/>
      </c>
    </row>
    <row r="47" spans="2:52">
      <c r="B47" s="258"/>
      <c r="C47" s="468" t="str">
        <f>IF('Prop DUOS'!B47="","",'Prop DUOS'!B47)</f>
        <v/>
      </c>
      <c r="D47" s="472">
        <f>SUM('Prop DUOS'!E47,'Prop TUOS'!D47,'Prop JUOS'!D47)</f>
        <v>0</v>
      </c>
      <c r="E47" s="473">
        <f>SUM('Prop DUOS'!F47,'Prop TUOS'!E47,'Prop JUOS'!E47)</f>
        <v>0</v>
      </c>
      <c r="F47" s="473">
        <f>SUM('Prop DUOS'!G47,'Prop TUOS'!F47,'Prop JUOS'!F47)</f>
        <v>0</v>
      </c>
      <c r="G47" s="473">
        <f>SUM('Prop DUOS'!H47,'Prop TUOS'!G47,'Prop JUOS'!G47)</f>
        <v>0</v>
      </c>
      <c r="H47" s="473">
        <f>SUM('Prop DUOS'!I47,'Prop TUOS'!H47,'Prop JUOS'!H47)</f>
        <v>0</v>
      </c>
      <c r="I47" s="473">
        <f>SUM('Prop DUOS'!J47,'Prop TUOS'!I47,'Prop JUOS'!I47)</f>
        <v>0</v>
      </c>
      <c r="J47" s="473">
        <f>SUM('Prop DUOS'!K47,'Prop TUOS'!J47,'Prop JUOS'!J47)</f>
        <v>0</v>
      </c>
      <c r="K47" s="473">
        <f>SUM('Prop DUOS'!L47,'Prop TUOS'!K47,'Prop JUOS'!K47)</f>
        <v>0</v>
      </c>
      <c r="L47" s="473">
        <f>SUM('Prop DUOS'!M47,'Prop TUOS'!L47,'Prop JUOS'!L47)</f>
        <v>0</v>
      </c>
      <c r="M47" s="473">
        <f>SUM('Prop DUOS'!N47,'Prop TUOS'!M47,'Prop JUOS'!M47)</f>
        <v>0</v>
      </c>
      <c r="N47" s="473">
        <f>SUM('Prop DUOS'!O47,'Prop TUOS'!N47,'Prop JUOS'!N47)</f>
        <v>0</v>
      </c>
      <c r="O47" s="473">
        <f>SUM('Prop DUOS'!P47,'Prop TUOS'!O47,'Prop JUOS'!O47)</f>
        <v>0</v>
      </c>
      <c r="P47" s="473">
        <f>SUM('Prop DUOS'!Q47,'Prop TUOS'!P47,'Prop JUOS'!P47)</f>
        <v>0</v>
      </c>
      <c r="Q47" s="473">
        <f>SUM('Prop DUOS'!R47,'Prop TUOS'!Q47,'Prop JUOS'!Q47)</f>
        <v>0</v>
      </c>
      <c r="R47" s="473">
        <f>SUM('Prop DUOS'!S47,'Prop TUOS'!R47,'Prop JUOS'!R47)</f>
        <v>0</v>
      </c>
      <c r="T47" s="565"/>
      <c r="U47" s="545"/>
      <c r="V47" s="545"/>
      <c r="W47" s="545"/>
      <c r="X47" s="545"/>
      <c r="Y47" s="545"/>
      <c r="Z47" s="545"/>
      <c r="AA47" s="545"/>
      <c r="AB47" s="545"/>
      <c r="AC47" s="545"/>
      <c r="AD47" s="545"/>
      <c r="AE47" s="545"/>
      <c r="AF47" s="545"/>
      <c r="AG47" s="545"/>
      <c r="AH47" s="545"/>
      <c r="AK47" s="727">
        <f t="shared" si="15"/>
        <v>0</v>
      </c>
      <c r="AL47" s="728">
        <f t="shared" si="16"/>
        <v>0</v>
      </c>
      <c r="AM47" s="728">
        <f t="shared" si="17"/>
        <v>0</v>
      </c>
      <c r="AN47" s="728">
        <f t="shared" si="18"/>
        <v>0</v>
      </c>
      <c r="AO47" s="728">
        <f t="shared" si="19"/>
        <v>0</v>
      </c>
      <c r="AP47" s="728">
        <f t="shared" si="20"/>
        <v>0</v>
      </c>
      <c r="AQ47" s="728">
        <f t="shared" si="21"/>
        <v>0</v>
      </c>
      <c r="AR47" s="728">
        <f t="shared" si="22"/>
        <v>0</v>
      </c>
      <c r="AS47" s="728">
        <f t="shared" si="22"/>
        <v>0</v>
      </c>
      <c r="AT47" s="728">
        <f t="shared" si="23"/>
        <v>0</v>
      </c>
      <c r="AU47" s="728">
        <f t="shared" si="24"/>
        <v>0</v>
      </c>
      <c r="AV47" s="728">
        <f t="shared" si="25"/>
        <v>0</v>
      </c>
      <c r="AW47" s="728">
        <f t="shared" si="26"/>
        <v>0</v>
      </c>
      <c r="AX47" s="728">
        <f t="shared" si="13"/>
        <v>0</v>
      </c>
      <c r="AY47" s="728">
        <f t="shared" si="14"/>
        <v>0</v>
      </c>
      <c r="AZ47" s="156" t="str">
        <f t="array" ref="AZ47">IF(MAX(ABS(AK47:AY47))&gt;$AZ$5,"EXPLAIN","")</f>
        <v/>
      </c>
    </row>
    <row r="48" spans="2:52">
      <c r="B48" s="258"/>
      <c r="C48" s="468" t="str">
        <f>IF('Prop DUOS'!B48="","",'Prop DUOS'!B48)</f>
        <v/>
      </c>
      <c r="D48" s="472">
        <f>SUM('Prop DUOS'!E48,'Prop TUOS'!D48,'Prop JUOS'!D48)</f>
        <v>0</v>
      </c>
      <c r="E48" s="473">
        <f>SUM('Prop DUOS'!F48,'Prop TUOS'!E48,'Prop JUOS'!E48)</f>
        <v>0</v>
      </c>
      <c r="F48" s="473">
        <f>SUM('Prop DUOS'!G48,'Prop TUOS'!F48,'Prop JUOS'!F48)</f>
        <v>0</v>
      </c>
      <c r="G48" s="473">
        <f>SUM('Prop DUOS'!H48,'Prop TUOS'!G48,'Prop JUOS'!G48)</f>
        <v>0</v>
      </c>
      <c r="H48" s="473">
        <f>SUM('Prop DUOS'!I48,'Prop TUOS'!H48,'Prop JUOS'!H48)</f>
        <v>0</v>
      </c>
      <c r="I48" s="473">
        <f>SUM('Prop DUOS'!J48,'Prop TUOS'!I48,'Prop JUOS'!I48)</f>
        <v>0</v>
      </c>
      <c r="J48" s="473">
        <f>SUM('Prop DUOS'!K48,'Prop TUOS'!J48,'Prop JUOS'!J48)</f>
        <v>0</v>
      </c>
      <c r="K48" s="473">
        <f>SUM('Prop DUOS'!L48,'Prop TUOS'!K48,'Prop JUOS'!K48)</f>
        <v>0</v>
      </c>
      <c r="L48" s="473">
        <f>SUM('Prop DUOS'!M48,'Prop TUOS'!L48,'Prop JUOS'!L48)</f>
        <v>0</v>
      </c>
      <c r="M48" s="473">
        <f>SUM('Prop DUOS'!N48,'Prop TUOS'!M48,'Prop JUOS'!M48)</f>
        <v>0</v>
      </c>
      <c r="N48" s="473">
        <f>SUM('Prop DUOS'!O48,'Prop TUOS'!N48,'Prop JUOS'!N48)</f>
        <v>0</v>
      </c>
      <c r="O48" s="473">
        <f>SUM('Prop DUOS'!P48,'Prop TUOS'!O48,'Prop JUOS'!O48)</f>
        <v>0</v>
      </c>
      <c r="P48" s="473">
        <f>SUM('Prop DUOS'!Q48,'Prop TUOS'!P48,'Prop JUOS'!P48)</f>
        <v>0</v>
      </c>
      <c r="Q48" s="473">
        <f>SUM('Prop DUOS'!R48,'Prop TUOS'!Q48,'Prop JUOS'!Q48)</f>
        <v>0</v>
      </c>
      <c r="R48" s="473">
        <f>SUM('Prop DUOS'!S48,'Prop TUOS'!R48,'Prop JUOS'!R48)</f>
        <v>0</v>
      </c>
      <c r="T48" s="565"/>
      <c r="U48" s="545"/>
      <c r="V48" s="545"/>
      <c r="W48" s="545"/>
      <c r="X48" s="545"/>
      <c r="Y48" s="545"/>
      <c r="Z48" s="545"/>
      <c r="AA48" s="545"/>
      <c r="AB48" s="545"/>
      <c r="AC48" s="545"/>
      <c r="AD48" s="545"/>
      <c r="AE48" s="545"/>
      <c r="AF48" s="545"/>
      <c r="AG48" s="545"/>
      <c r="AH48" s="545"/>
      <c r="AK48" s="727">
        <f t="shared" si="15"/>
        <v>0</v>
      </c>
      <c r="AL48" s="728">
        <f t="shared" si="16"/>
        <v>0</v>
      </c>
      <c r="AM48" s="728">
        <f t="shared" si="17"/>
        <v>0</v>
      </c>
      <c r="AN48" s="728">
        <f t="shared" si="18"/>
        <v>0</v>
      </c>
      <c r="AO48" s="728">
        <f t="shared" si="19"/>
        <v>0</v>
      </c>
      <c r="AP48" s="728">
        <f t="shared" si="20"/>
        <v>0</v>
      </c>
      <c r="AQ48" s="728">
        <f t="shared" si="21"/>
        <v>0</v>
      </c>
      <c r="AR48" s="728">
        <f t="shared" si="22"/>
        <v>0</v>
      </c>
      <c r="AS48" s="728">
        <f t="shared" si="22"/>
        <v>0</v>
      </c>
      <c r="AT48" s="728">
        <f t="shared" si="23"/>
        <v>0</v>
      </c>
      <c r="AU48" s="728">
        <f t="shared" si="24"/>
        <v>0</v>
      </c>
      <c r="AV48" s="728">
        <f t="shared" si="25"/>
        <v>0</v>
      </c>
      <c r="AW48" s="728">
        <f t="shared" si="26"/>
        <v>0</v>
      </c>
      <c r="AX48" s="728">
        <f t="shared" si="13"/>
        <v>0</v>
      </c>
      <c r="AY48" s="728">
        <f t="shared" si="14"/>
        <v>0</v>
      </c>
      <c r="AZ48" s="156" t="str">
        <f t="array" ref="AZ48">IF(MAX(ABS(AK48:AY48))&gt;$AZ$5,"EXPLAIN","")</f>
        <v/>
      </c>
    </row>
    <row r="49" spans="2:52">
      <c r="B49" s="258"/>
      <c r="C49" s="468" t="str">
        <f>IF('Prop DUOS'!B49="","",'Prop DUOS'!B49)</f>
        <v/>
      </c>
      <c r="D49" s="472">
        <f>SUM('Prop DUOS'!E49,'Prop TUOS'!D49,'Prop JUOS'!D49)</f>
        <v>0</v>
      </c>
      <c r="E49" s="473">
        <f>SUM('Prop DUOS'!F49,'Prop TUOS'!E49,'Prop JUOS'!E49)</f>
        <v>0</v>
      </c>
      <c r="F49" s="473">
        <f>SUM('Prop DUOS'!G49,'Prop TUOS'!F49,'Prop JUOS'!F49)</f>
        <v>0</v>
      </c>
      <c r="G49" s="473">
        <f>SUM('Prop DUOS'!H49,'Prop TUOS'!G49,'Prop JUOS'!G49)</f>
        <v>0</v>
      </c>
      <c r="H49" s="473">
        <f>SUM('Prop DUOS'!I49,'Prop TUOS'!H49,'Prop JUOS'!H49)</f>
        <v>0</v>
      </c>
      <c r="I49" s="473">
        <f>SUM('Prop DUOS'!J49,'Prop TUOS'!I49,'Prop JUOS'!I49)</f>
        <v>0</v>
      </c>
      <c r="J49" s="473">
        <f>SUM('Prop DUOS'!K49,'Prop TUOS'!J49,'Prop JUOS'!J49)</f>
        <v>0</v>
      </c>
      <c r="K49" s="473">
        <f>SUM('Prop DUOS'!L49,'Prop TUOS'!K49,'Prop JUOS'!K49)</f>
        <v>0</v>
      </c>
      <c r="L49" s="473">
        <f>SUM('Prop DUOS'!M49,'Prop TUOS'!L49,'Prop JUOS'!L49)</f>
        <v>0</v>
      </c>
      <c r="M49" s="473">
        <f>SUM('Prop DUOS'!N49,'Prop TUOS'!M49,'Prop JUOS'!M49)</f>
        <v>0</v>
      </c>
      <c r="N49" s="473">
        <f>SUM('Prop DUOS'!O49,'Prop TUOS'!N49,'Prop JUOS'!N49)</f>
        <v>0</v>
      </c>
      <c r="O49" s="473">
        <f>SUM('Prop DUOS'!P49,'Prop TUOS'!O49,'Prop JUOS'!O49)</f>
        <v>0</v>
      </c>
      <c r="P49" s="473">
        <f>SUM('Prop DUOS'!Q49,'Prop TUOS'!P49,'Prop JUOS'!P49)</f>
        <v>0</v>
      </c>
      <c r="Q49" s="473">
        <f>SUM('Prop DUOS'!R49,'Prop TUOS'!Q49,'Prop JUOS'!Q49)</f>
        <v>0</v>
      </c>
      <c r="R49" s="473">
        <f>SUM('Prop DUOS'!S49,'Prop TUOS'!R49,'Prop JUOS'!R49)</f>
        <v>0</v>
      </c>
      <c r="T49" s="565"/>
      <c r="U49" s="545"/>
      <c r="V49" s="545"/>
      <c r="W49" s="545"/>
      <c r="X49" s="545"/>
      <c r="Y49" s="545"/>
      <c r="Z49" s="545"/>
      <c r="AA49" s="545"/>
      <c r="AB49" s="545"/>
      <c r="AC49" s="545"/>
      <c r="AD49" s="545"/>
      <c r="AE49" s="545"/>
      <c r="AF49" s="545"/>
      <c r="AG49" s="545"/>
      <c r="AH49" s="545"/>
      <c r="AK49" s="727">
        <f t="shared" si="15"/>
        <v>0</v>
      </c>
      <c r="AL49" s="728">
        <f t="shared" si="16"/>
        <v>0</v>
      </c>
      <c r="AM49" s="728">
        <f t="shared" si="17"/>
        <v>0</v>
      </c>
      <c r="AN49" s="728">
        <f t="shared" si="18"/>
        <v>0</v>
      </c>
      <c r="AO49" s="728">
        <f t="shared" si="19"/>
        <v>0</v>
      </c>
      <c r="AP49" s="728">
        <f t="shared" si="20"/>
        <v>0</v>
      </c>
      <c r="AQ49" s="728">
        <f t="shared" si="21"/>
        <v>0</v>
      </c>
      <c r="AR49" s="728">
        <f t="shared" si="22"/>
        <v>0</v>
      </c>
      <c r="AS49" s="728">
        <f t="shared" si="22"/>
        <v>0</v>
      </c>
      <c r="AT49" s="728">
        <f t="shared" si="23"/>
        <v>0</v>
      </c>
      <c r="AU49" s="728">
        <f t="shared" si="24"/>
        <v>0</v>
      </c>
      <c r="AV49" s="728">
        <f t="shared" si="25"/>
        <v>0</v>
      </c>
      <c r="AW49" s="728">
        <f t="shared" si="26"/>
        <v>0</v>
      </c>
      <c r="AX49" s="728">
        <f t="shared" si="13"/>
        <v>0</v>
      </c>
      <c r="AY49" s="728">
        <f t="shared" si="14"/>
        <v>0</v>
      </c>
      <c r="AZ49" s="156" t="str">
        <f t="array" ref="AZ49">IF(MAX(ABS(AK49:AY49))&gt;$AZ$5,"EXPLAIN","")</f>
        <v/>
      </c>
    </row>
    <row r="50" spans="2:52">
      <c r="B50" s="258"/>
      <c r="C50" s="468" t="str">
        <f>IF('Prop DUOS'!B50="","",'Prop DUOS'!B50)</f>
        <v/>
      </c>
      <c r="D50" s="472">
        <f>SUM('Prop DUOS'!E50,'Prop TUOS'!D50,'Prop JUOS'!D50)</f>
        <v>0</v>
      </c>
      <c r="E50" s="473">
        <f>SUM('Prop DUOS'!F50,'Prop TUOS'!E50,'Prop JUOS'!E50)</f>
        <v>0</v>
      </c>
      <c r="F50" s="473">
        <f>SUM('Prop DUOS'!G50,'Prop TUOS'!F50,'Prop JUOS'!F50)</f>
        <v>0</v>
      </c>
      <c r="G50" s="473">
        <f>SUM('Prop DUOS'!H50,'Prop TUOS'!G50,'Prop JUOS'!G50)</f>
        <v>0</v>
      </c>
      <c r="H50" s="473">
        <f>SUM('Prop DUOS'!I50,'Prop TUOS'!H50,'Prop JUOS'!H50)</f>
        <v>0</v>
      </c>
      <c r="I50" s="473">
        <f>SUM('Prop DUOS'!J50,'Prop TUOS'!I50,'Prop JUOS'!I50)</f>
        <v>0</v>
      </c>
      <c r="J50" s="473">
        <f>SUM('Prop DUOS'!K50,'Prop TUOS'!J50,'Prop JUOS'!J50)</f>
        <v>0</v>
      </c>
      <c r="K50" s="473">
        <f>SUM('Prop DUOS'!L50,'Prop TUOS'!K50,'Prop JUOS'!K50)</f>
        <v>0</v>
      </c>
      <c r="L50" s="473">
        <f>SUM('Prop DUOS'!M50,'Prop TUOS'!L50,'Prop JUOS'!L50)</f>
        <v>0</v>
      </c>
      <c r="M50" s="473">
        <f>SUM('Prop DUOS'!N50,'Prop TUOS'!M50,'Prop JUOS'!M50)</f>
        <v>0</v>
      </c>
      <c r="N50" s="473">
        <f>SUM('Prop DUOS'!O50,'Prop TUOS'!N50,'Prop JUOS'!N50)</f>
        <v>0</v>
      </c>
      <c r="O50" s="473">
        <f>SUM('Prop DUOS'!P50,'Prop TUOS'!O50,'Prop JUOS'!O50)</f>
        <v>0</v>
      </c>
      <c r="P50" s="473">
        <f>SUM('Prop DUOS'!Q50,'Prop TUOS'!P50,'Prop JUOS'!P50)</f>
        <v>0</v>
      </c>
      <c r="Q50" s="473">
        <f>SUM('Prop DUOS'!R50,'Prop TUOS'!Q50,'Prop JUOS'!Q50)</f>
        <v>0</v>
      </c>
      <c r="R50" s="473">
        <f>SUM('Prop DUOS'!S50,'Prop TUOS'!R50,'Prop JUOS'!R50)</f>
        <v>0</v>
      </c>
      <c r="T50" s="544"/>
      <c r="U50" s="545"/>
      <c r="V50" s="545"/>
      <c r="W50" s="545"/>
      <c r="X50" s="545"/>
      <c r="Y50" s="545"/>
      <c r="Z50" s="545"/>
      <c r="AA50" s="545"/>
      <c r="AB50" s="545"/>
      <c r="AC50" s="545"/>
      <c r="AD50" s="545"/>
      <c r="AE50" s="545"/>
      <c r="AF50" s="545"/>
      <c r="AG50" s="545"/>
      <c r="AH50" s="545"/>
      <c r="AK50" s="727">
        <f t="shared" si="15"/>
        <v>0</v>
      </c>
      <c r="AL50" s="728">
        <f t="shared" si="16"/>
        <v>0</v>
      </c>
      <c r="AM50" s="728">
        <f t="shared" si="17"/>
        <v>0</v>
      </c>
      <c r="AN50" s="728">
        <f t="shared" si="18"/>
        <v>0</v>
      </c>
      <c r="AO50" s="728">
        <f t="shared" si="19"/>
        <v>0</v>
      </c>
      <c r="AP50" s="728">
        <f t="shared" si="20"/>
        <v>0</v>
      </c>
      <c r="AQ50" s="728">
        <f t="shared" si="21"/>
        <v>0</v>
      </c>
      <c r="AR50" s="728">
        <f t="shared" si="22"/>
        <v>0</v>
      </c>
      <c r="AS50" s="728">
        <f t="shared" si="22"/>
        <v>0</v>
      </c>
      <c r="AT50" s="728">
        <f t="shared" si="23"/>
        <v>0</v>
      </c>
      <c r="AU50" s="728">
        <f t="shared" si="24"/>
        <v>0</v>
      </c>
      <c r="AV50" s="728">
        <f t="shared" si="25"/>
        <v>0</v>
      </c>
      <c r="AW50" s="728">
        <f t="shared" si="26"/>
        <v>0</v>
      </c>
      <c r="AX50" s="728">
        <f t="shared" si="13"/>
        <v>0</v>
      </c>
      <c r="AY50" s="728">
        <f t="shared" si="14"/>
        <v>0</v>
      </c>
      <c r="AZ50" s="156" t="str">
        <f t="array" ref="AZ50">IF(MAX(ABS(AK50:AY50))&gt;$AZ$5,"EXPLAIN","")</f>
        <v/>
      </c>
    </row>
    <row r="51" spans="2:52">
      <c r="B51" s="258"/>
      <c r="C51" s="468" t="str">
        <f>IF('Prop DUOS'!B51="","",'Prop DUOS'!B51)</f>
        <v/>
      </c>
      <c r="D51" s="472">
        <f>SUM('Prop DUOS'!E51,'Prop TUOS'!D51,'Prop JUOS'!D51)</f>
        <v>0</v>
      </c>
      <c r="E51" s="473">
        <f>SUM('Prop DUOS'!F51,'Prop TUOS'!E51,'Prop JUOS'!E51)</f>
        <v>0</v>
      </c>
      <c r="F51" s="473">
        <f>SUM('Prop DUOS'!G51,'Prop TUOS'!F51,'Prop JUOS'!F51)</f>
        <v>0</v>
      </c>
      <c r="G51" s="473">
        <f>SUM('Prop DUOS'!H51,'Prop TUOS'!G51,'Prop JUOS'!G51)</f>
        <v>0</v>
      </c>
      <c r="H51" s="473">
        <f>SUM('Prop DUOS'!I51,'Prop TUOS'!H51,'Prop JUOS'!H51)</f>
        <v>0</v>
      </c>
      <c r="I51" s="473">
        <f>SUM('Prop DUOS'!J51,'Prop TUOS'!I51,'Prop JUOS'!I51)</f>
        <v>0</v>
      </c>
      <c r="J51" s="473">
        <f>SUM('Prop DUOS'!K51,'Prop TUOS'!J51,'Prop JUOS'!J51)</f>
        <v>0</v>
      </c>
      <c r="K51" s="473">
        <f>SUM('Prop DUOS'!L51,'Prop TUOS'!K51,'Prop JUOS'!K51)</f>
        <v>0</v>
      </c>
      <c r="L51" s="473">
        <f>SUM('Prop DUOS'!M51,'Prop TUOS'!L51,'Prop JUOS'!L51)</f>
        <v>0</v>
      </c>
      <c r="M51" s="473">
        <f>SUM('Prop DUOS'!N51,'Prop TUOS'!M51,'Prop JUOS'!M51)</f>
        <v>0</v>
      </c>
      <c r="N51" s="473">
        <f>SUM('Prop DUOS'!O51,'Prop TUOS'!N51,'Prop JUOS'!N51)</f>
        <v>0</v>
      </c>
      <c r="O51" s="473">
        <f>SUM('Prop DUOS'!P51,'Prop TUOS'!O51,'Prop JUOS'!O51)</f>
        <v>0</v>
      </c>
      <c r="P51" s="473">
        <f>SUM('Prop DUOS'!Q51,'Prop TUOS'!P51,'Prop JUOS'!P51)</f>
        <v>0</v>
      </c>
      <c r="Q51" s="473">
        <f>SUM('Prop DUOS'!R51,'Prop TUOS'!Q51,'Prop JUOS'!Q51)</f>
        <v>0</v>
      </c>
      <c r="R51" s="473">
        <f>SUM('Prop DUOS'!S51,'Prop TUOS'!R51,'Prop JUOS'!R51)</f>
        <v>0</v>
      </c>
      <c r="T51" s="544"/>
      <c r="U51" s="545"/>
      <c r="V51" s="545"/>
      <c r="W51" s="545"/>
      <c r="X51" s="545"/>
      <c r="Y51" s="545"/>
      <c r="Z51" s="545"/>
      <c r="AA51" s="545"/>
      <c r="AB51" s="545"/>
      <c r="AC51" s="545"/>
      <c r="AD51" s="545"/>
      <c r="AE51" s="545"/>
      <c r="AF51" s="545"/>
      <c r="AG51" s="545"/>
      <c r="AH51" s="545"/>
      <c r="AK51" s="727">
        <f t="shared" si="15"/>
        <v>0</v>
      </c>
      <c r="AL51" s="728">
        <f t="shared" si="16"/>
        <v>0</v>
      </c>
      <c r="AM51" s="728">
        <f t="shared" si="17"/>
        <v>0</v>
      </c>
      <c r="AN51" s="728">
        <f t="shared" si="18"/>
        <v>0</v>
      </c>
      <c r="AO51" s="728">
        <f t="shared" si="19"/>
        <v>0</v>
      </c>
      <c r="AP51" s="728">
        <f t="shared" si="20"/>
        <v>0</v>
      </c>
      <c r="AQ51" s="728">
        <f t="shared" si="21"/>
        <v>0</v>
      </c>
      <c r="AR51" s="728">
        <f t="shared" si="22"/>
        <v>0</v>
      </c>
      <c r="AS51" s="728">
        <f t="shared" si="22"/>
        <v>0</v>
      </c>
      <c r="AT51" s="728">
        <f t="shared" si="23"/>
        <v>0</v>
      </c>
      <c r="AU51" s="728">
        <f t="shared" si="24"/>
        <v>0</v>
      </c>
      <c r="AV51" s="728">
        <f t="shared" si="25"/>
        <v>0</v>
      </c>
      <c r="AW51" s="728">
        <f t="shared" si="26"/>
        <v>0</v>
      </c>
      <c r="AX51" s="728">
        <f t="shared" si="13"/>
        <v>0</v>
      </c>
      <c r="AY51" s="728">
        <f t="shared" si="14"/>
        <v>0</v>
      </c>
      <c r="AZ51" s="156" t="str">
        <f t="array" ref="AZ51">IF(MAX(ABS(AK51:AY51))&gt;$AZ$5,"EXPLAIN","")</f>
        <v/>
      </c>
    </row>
    <row r="52" spans="2:52">
      <c r="B52" s="258"/>
      <c r="C52" s="468" t="str">
        <f>IF('Prop DUOS'!B52="","",'Prop DUOS'!B52)</f>
        <v/>
      </c>
      <c r="D52" s="472">
        <f>SUM('Prop DUOS'!E52,'Prop TUOS'!D52,'Prop JUOS'!D52)</f>
        <v>0</v>
      </c>
      <c r="E52" s="473">
        <f>SUM('Prop DUOS'!F52,'Prop TUOS'!E52,'Prop JUOS'!E52)</f>
        <v>0</v>
      </c>
      <c r="F52" s="473">
        <f>SUM('Prop DUOS'!G52,'Prop TUOS'!F52,'Prop JUOS'!F52)</f>
        <v>0</v>
      </c>
      <c r="G52" s="473">
        <f>SUM('Prop DUOS'!H52,'Prop TUOS'!G52,'Prop JUOS'!G52)</f>
        <v>0</v>
      </c>
      <c r="H52" s="473">
        <f>SUM('Prop DUOS'!I52,'Prop TUOS'!H52,'Prop JUOS'!H52)</f>
        <v>0</v>
      </c>
      <c r="I52" s="473">
        <f>SUM('Prop DUOS'!J52,'Prop TUOS'!I52,'Prop JUOS'!I52)</f>
        <v>0</v>
      </c>
      <c r="J52" s="473">
        <f>SUM('Prop DUOS'!K52,'Prop TUOS'!J52,'Prop JUOS'!J52)</f>
        <v>0</v>
      </c>
      <c r="K52" s="473">
        <f>SUM('Prop DUOS'!L52,'Prop TUOS'!K52,'Prop JUOS'!K52)</f>
        <v>0</v>
      </c>
      <c r="L52" s="473">
        <f>SUM('Prop DUOS'!M52,'Prop TUOS'!L52,'Prop JUOS'!L52)</f>
        <v>0</v>
      </c>
      <c r="M52" s="473">
        <f>SUM('Prop DUOS'!N52,'Prop TUOS'!M52,'Prop JUOS'!M52)</f>
        <v>0</v>
      </c>
      <c r="N52" s="473">
        <f>SUM('Prop DUOS'!O52,'Prop TUOS'!N52,'Prop JUOS'!N52)</f>
        <v>0</v>
      </c>
      <c r="O52" s="473">
        <f>SUM('Prop DUOS'!P52,'Prop TUOS'!O52,'Prop JUOS'!O52)</f>
        <v>0</v>
      </c>
      <c r="P52" s="473">
        <f>SUM('Prop DUOS'!Q52,'Prop TUOS'!P52,'Prop JUOS'!P52)</f>
        <v>0</v>
      </c>
      <c r="Q52" s="473">
        <f>SUM('Prop DUOS'!R52,'Prop TUOS'!Q52,'Prop JUOS'!Q52)</f>
        <v>0</v>
      </c>
      <c r="R52" s="473">
        <f>SUM('Prop DUOS'!S52,'Prop TUOS'!R52,'Prop JUOS'!R52)</f>
        <v>0</v>
      </c>
      <c r="T52" s="544"/>
      <c r="U52" s="545"/>
      <c r="V52" s="545"/>
      <c r="W52" s="545"/>
      <c r="X52" s="545"/>
      <c r="Y52" s="545"/>
      <c r="Z52" s="545"/>
      <c r="AA52" s="545"/>
      <c r="AB52" s="545"/>
      <c r="AC52" s="545"/>
      <c r="AD52" s="545"/>
      <c r="AE52" s="545"/>
      <c r="AF52" s="545"/>
      <c r="AG52" s="545"/>
      <c r="AH52" s="545"/>
      <c r="AK52" s="727">
        <f t="shared" si="15"/>
        <v>0</v>
      </c>
      <c r="AL52" s="728">
        <f t="shared" si="16"/>
        <v>0</v>
      </c>
      <c r="AM52" s="728">
        <f t="shared" si="17"/>
        <v>0</v>
      </c>
      <c r="AN52" s="728">
        <f t="shared" si="18"/>
        <v>0</v>
      </c>
      <c r="AO52" s="728">
        <f t="shared" si="19"/>
        <v>0</v>
      </c>
      <c r="AP52" s="728">
        <f t="shared" si="20"/>
        <v>0</v>
      </c>
      <c r="AQ52" s="728">
        <f t="shared" si="21"/>
        <v>0</v>
      </c>
      <c r="AR52" s="728">
        <f t="shared" si="22"/>
        <v>0</v>
      </c>
      <c r="AS52" s="728">
        <f t="shared" si="22"/>
        <v>0</v>
      </c>
      <c r="AT52" s="728">
        <f t="shared" si="23"/>
        <v>0</v>
      </c>
      <c r="AU52" s="728">
        <f t="shared" si="24"/>
        <v>0</v>
      </c>
      <c r="AV52" s="728">
        <f t="shared" si="25"/>
        <v>0</v>
      </c>
      <c r="AW52" s="728">
        <f t="shared" si="26"/>
        <v>0</v>
      </c>
      <c r="AX52" s="728">
        <f t="shared" si="13"/>
        <v>0</v>
      </c>
      <c r="AY52" s="728">
        <f t="shared" si="14"/>
        <v>0</v>
      </c>
      <c r="AZ52" s="156" t="str">
        <f t="array" ref="AZ52">IF(MAX(ABS(AK52:AY52))&gt;$AZ$5,"EXPLAIN","")</f>
        <v/>
      </c>
    </row>
    <row r="53" spans="2:52">
      <c r="B53" s="258"/>
      <c r="C53" s="468" t="str">
        <f>IF('Prop DUOS'!B53="","",'Prop DUOS'!B53)</f>
        <v/>
      </c>
      <c r="D53" s="472">
        <f>SUM('Prop DUOS'!E53,'Prop TUOS'!D53,'Prop JUOS'!D53)</f>
        <v>0</v>
      </c>
      <c r="E53" s="473">
        <f>SUM('Prop DUOS'!F53,'Prop TUOS'!E53,'Prop JUOS'!E53)</f>
        <v>0</v>
      </c>
      <c r="F53" s="473">
        <f>SUM('Prop DUOS'!G53,'Prop TUOS'!F53,'Prop JUOS'!F53)</f>
        <v>0</v>
      </c>
      <c r="G53" s="473">
        <f>SUM('Prop DUOS'!H53,'Prop TUOS'!G53,'Prop JUOS'!G53)</f>
        <v>0</v>
      </c>
      <c r="H53" s="473">
        <f>SUM('Prop DUOS'!I53,'Prop TUOS'!H53,'Prop JUOS'!H53)</f>
        <v>0</v>
      </c>
      <c r="I53" s="473">
        <f>SUM('Prop DUOS'!J53,'Prop TUOS'!I53,'Prop JUOS'!I53)</f>
        <v>0</v>
      </c>
      <c r="J53" s="473">
        <f>SUM('Prop DUOS'!K53,'Prop TUOS'!J53,'Prop JUOS'!J53)</f>
        <v>0</v>
      </c>
      <c r="K53" s="473">
        <f>SUM('Prop DUOS'!L53,'Prop TUOS'!K53,'Prop JUOS'!K53)</f>
        <v>0</v>
      </c>
      <c r="L53" s="473">
        <f>SUM('Prop DUOS'!M53,'Prop TUOS'!L53,'Prop JUOS'!L53)</f>
        <v>0</v>
      </c>
      <c r="M53" s="473">
        <f>SUM('Prop DUOS'!N53,'Prop TUOS'!M53,'Prop JUOS'!M53)</f>
        <v>0</v>
      </c>
      <c r="N53" s="473">
        <f>SUM('Prop DUOS'!O53,'Prop TUOS'!N53,'Prop JUOS'!N53)</f>
        <v>0</v>
      </c>
      <c r="O53" s="473">
        <f>SUM('Prop DUOS'!P53,'Prop TUOS'!O53,'Prop JUOS'!O53)</f>
        <v>0</v>
      </c>
      <c r="P53" s="473">
        <f>SUM('Prop DUOS'!Q53,'Prop TUOS'!P53,'Prop JUOS'!P53)</f>
        <v>0</v>
      </c>
      <c r="Q53" s="473">
        <f>SUM('Prop DUOS'!R53,'Prop TUOS'!Q53,'Prop JUOS'!Q53)</f>
        <v>0</v>
      </c>
      <c r="R53" s="473">
        <f>SUM('Prop DUOS'!S53,'Prop TUOS'!R53,'Prop JUOS'!R53)</f>
        <v>0</v>
      </c>
      <c r="T53" s="544"/>
      <c r="U53" s="545"/>
      <c r="V53" s="545"/>
      <c r="W53" s="545"/>
      <c r="X53" s="545"/>
      <c r="Y53" s="545"/>
      <c r="Z53" s="545"/>
      <c r="AA53" s="545"/>
      <c r="AB53" s="545"/>
      <c r="AC53" s="545"/>
      <c r="AD53" s="545"/>
      <c r="AE53" s="545"/>
      <c r="AF53" s="545"/>
      <c r="AG53" s="545"/>
      <c r="AH53" s="545"/>
      <c r="AK53" s="727">
        <f t="shared" si="15"/>
        <v>0</v>
      </c>
      <c r="AL53" s="728">
        <f t="shared" si="16"/>
        <v>0</v>
      </c>
      <c r="AM53" s="728">
        <f t="shared" si="17"/>
        <v>0</v>
      </c>
      <c r="AN53" s="728">
        <f t="shared" si="18"/>
        <v>0</v>
      </c>
      <c r="AO53" s="728">
        <f t="shared" si="19"/>
        <v>0</v>
      </c>
      <c r="AP53" s="728">
        <f t="shared" si="20"/>
        <v>0</v>
      </c>
      <c r="AQ53" s="728">
        <f t="shared" si="21"/>
        <v>0</v>
      </c>
      <c r="AR53" s="728">
        <f t="shared" si="22"/>
        <v>0</v>
      </c>
      <c r="AS53" s="728">
        <f t="shared" si="22"/>
        <v>0</v>
      </c>
      <c r="AT53" s="728">
        <f t="shared" si="23"/>
        <v>0</v>
      </c>
      <c r="AU53" s="728">
        <f t="shared" si="24"/>
        <v>0</v>
      </c>
      <c r="AV53" s="728">
        <f t="shared" si="25"/>
        <v>0</v>
      </c>
      <c r="AW53" s="728">
        <f t="shared" si="26"/>
        <v>0</v>
      </c>
      <c r="AX53" s="728">
        <f t="shared" si="13"/>
        <v>0</v>
      </c>
      <c r="AY53" s="728">
        <f t="shared" si="14"/>
        <v>0</v>
      </c>
      <c r="AZ53" s="156" t="str">
        <f t="array" ref="AZ53">IF(MAX(ABS(AK53:AY53))&gt;$AZ$5,"EXPLAIN","")</f>
        <v/>
      </c>
    </row>
    <row r="54" spans="2:52">
      <c r="B54" s="258"/>
      <c r="C54" s="468" t="str">
        <f>IF('Prop DUOS'!B54="","",'Prop DUOS'!B54)</f>
        <v/>
      </c>
      <c r="D54" s="472">
        <f>SUM('Prop DUOS'!E54,'Prop TUOS'!D54,'Prop JUOS'!D54)</f>
        <v>0</v>
      </c>
      <c r="E54" s="473">
        <f>SUM('Prop DUOS'!F54,'Prop TUOS'!E54,'Prop JUOS'!E54)</f>
        <v>0</v>
      </c>
      <c r="F54" s="473">
        <f>SUM('Prop DUOS'!G54,'Prop TUOS'!F54,'Prop JUOS'!F54)</f>
        <v>0</v>
      </c>
      <c r="G54" s="473">
        <f>SUM('Prop DUOS'!H54,'Prop TUOS'!G54,'Prop JUOS'!G54)</f>
        <v>0</v>
      </c>
      <c r="H54" s="473">
        <f>SUM('Prop DUOS'!I54,'Prop TUOS'!H54,'Prop JUOS'!H54)</f>
        <v>0</v>
      </c>
      <c r="I54" s="473">
        <f>SUM('Prop DUOS'!J54,'Prop TUOS'!I54,'Prop JUOS'!I54)</f>
        <v>0</v>
      </c>
      <c r="J54" s="473">
        <f>SUM('Prop DUOS'!K54,'Prop TUOS'!J54,'Prop JUOS'!J54)</f>
        <v>0</v>
      </c>
      <c r="K54" s="473">
        <f>SUM('Prop DUOS'!L54,'Prop TUOS'!K54,'Prop JUOS'!K54)</f>
        <v>0</v>
      </c>
      <c r="L54" s="473">
        <f>SUM('Prop DUOS'!M54,'Prop TUOS'!L54,'Prop JUOS'!L54)</f>
        <v>0</v>
      </c>
      <c r="M54" s="473">
        <f>SUM('Prop DUOS'!N54,'Prop TUOS'!M54,'Prop JUOS'!M54)</f>
        <v>0</v>
      </c>
      <c r="N54" s="473">
        <f>SUM('Prop DUOS'!O54,'Prop TUOS'!N54,'Prop JUOS'!N54)</f>
        <v>0</v>
      </c>
      <c r="O54" s="473">
        <f>SUM('Prop DUOS'!P54,'Prop TUOS'!O54,'Prop JUOS'!O54)</f>
        <v>0</v>
      </c>
      <c r="P54" s="473">
        <f>SUM('Prop DUOS'!Q54,'Prop TUOS'!P54,'Prop JUOS'!P54)</f>
        <v>0</v>
      </c>
      <c r="Q54" s="473">
        <f>SUM('Prop DUOS'!R54,'Prop TUOS'!Q54,'Prop JUOS'!Q54)</f>
        <v>0</v>
      </c>
      <c r="R54" s="473">
        <f>SUM('Prop DUOS'!S54,'Prop TUOS'!R54,'Prop JUOS'!R54)</f>
        <v>0</v>
      </c>
      <c r="T54" s="544"/>
      <c r="U54" s="545"/>
      <c r="V54" s="545"/>
      <c r="W54" s="545"/>
      <c r="X54" s="545"/>
      <c r="Y54" s="545"/>
      <c r="Z54" s="545"/>
      <c r="AA54" s="545"/>
      <c r="AB54" s="545"/>
      <c r="AC54" s="545"/>
      <c r="AD54" s="545"/>
      <c r="AE54" s="545"/>
      <c r="AF54" s="545"/>
      <c r="AG54" s="545"/>
      <c r="AH54" s="545"/>
      <c r="AK54" s="727">
        <f t="shared" si="15"/>
        <v>0</v>
      </c>
      <c r="AL54" s="728">
        <f t="shared" si="16"/>
        <v>0</v>
      </c>
      <c r="AM54" s="728">
        <f t="shared" si="17"/>
        <v>0</v>
      </c>
      <c r="AN54" s="728">
        <f t="shared" si="18"/>
        <v>0</v>
      </c>
      <c r="AO54" s="728">
        <f t="shared" si="19"/>
        <v>0</v>
      </c>
      <c r="AP54" s="728">
        <f t="shared" si="20"/>
        <v>0</v>
      </c>
      <c r="AQ54" s="728">
        <f t="shared" si="21"/>
        <v>0</v>
      </c>
      <c r="AR54" s="728">
        <f t="shared" si="22"/>
        <v>0</v>
      </c>
      <c r="AS54" s="728">
        <f t="shared" si="22"/>
        <v>0</v>
      </c>
      <c r="AT54" s="728">
        <f t="shared" si="23"/>
        <v>0</v>
      </c>
      <c r="AU54" s="728">
        <f t="shared" si="24"/>
        <v>0</v>
      </c>
      <c r="AV54" s="728">
        <f t="shared" si="25"/>
        <v>0</v>
      </c>
      <c r="AW54" s="728">
        <f t="shared" si="26"/>
        <v>0</v>
      </c>
      <c r="AX54" s="728">
        <f t="shared" si="13"/>
        <v>0</v>
      </c>
      <c r="AY54" s="728">
        <f t="shared" si="14"/>
        <v>0</v>
      </c>
      <c r="AZ54" s="156" t="str">
        <f t="array" ref="AZ54">IF(MAX(ABS(AK54:AY54))&gt;$AZ$5,"EXPLAIN","")</f>
        <v/>
      </c>
    </row>
    <row r="55" spans="2:52">
      <c r="B55" s="258"/>
      <c r="C55" s="468" t="str">
        <f>IF('Prop DUOS'!B55="","",'Prop DUOS'!B55)</f>
        <v/>
      </c>
      <c r="D55" s="472">
        <f>SUM('Prop DUOS'!E55,'Prop TUOS'!D55,'Prop JUOS'!D55)</f>
        <v>0</v>
      </c>
      <c r="E55" s="473">
        <f>SUM('Prop DUOS'!F55,'Prop TUOS'!E55,'Prop JUOS'!E55)</f>
        <v>0</v>
      </c>
      <c r="F55" s="473">
        <f>SUM('Prop DUOS'!G55,'Prop TUOS'!F55,'Prop JUOS'!F55)</f>
        <v>0</v>
      </c>
      <c r="G55" s="473">
        <f>SUM('Prop DUOS'!H55,'Prop TUOS'!G55,'Prop JUOS'!G55)</f>
        <v>0</v>
      </c>
      <c r="H55" s="473">
        <f>SUM('Prop DUOS'!I55,'Prop TUOS'!H55,'Prop JUOS'!H55)</f>
        <v>0</v>
      </c>
      <c r="I55" s="473">
        <f>SUM('Prop DUOS'!J55,'Prop TUOS'!I55,'Prop JUOS'!I55)</f>
        <v>0</v>
      </c>
      <c r="J55" s="473">
        <f>SUM('Prop DUOS'!K55,'Prop TUOS'!J55,'Prop JUOS'!J55)</f>
        <v>0</v>
      </c>
      <c r="K55" s="473">
        <f>SUM('Prop DUOS'!L55,'Prop TUOS'!K55,'Prop JUOS'!K55)</f>
        <v>0</v>
      </c>
      <c r="L55" s="473">
        <f>SUM('Prop DUOS'!M55,'Prop TUOS'!L55,'Prop JUOS'!L55)</f>
        <v>0</v>
      </c>
      <c r="M55" s="473">
        <f>SUM('Prop DUOS'!N55,'Prop TUOS'!M55,'Prop JUOS'!M55)</f>
        <v>0</v>
      </c>
      <c r="N55" s="473">
        <f>SUM('Prop DUOS'!O55,'Prop TUOS'!N55,'Prop JUOS'!N55)</f>
        <v>0</v>
      </c>
      <c r="O55" s="473">
        <f>SUM('Prop DUOS'!P55,'Prop TUOS'!O55,'Prop JUOS'!O55)</f>
        <v>0</v>
      </c>
      <c r="P55" s="473">
        <f>SUM('Prop DUOS'!Q55,'Prop TUOS'!P55,'Prop JUOS'!P55)</f>
        <v>0</v>
      </c>
      <c r="Q55" s="473">
        <f>SUM('Prop DUOS'!R55,'Prop TUOS'!Q55,'Prop JUOS'!Q55)</f>
        <v>0</v>
      </c>
      <c r="R55" s="473">
        <f>SUM('Prop DUOS'!S55,'Prop TUOS'!R55,'Prop JUOS'!R55)</f>
        <v>0</v>
      </c>
      <c r="T55" s="544"/>
      <c r="U55" s="545"/>
      <c r="V55" s="545"/>
      <c r="W55" s="545"/>
      <c r="X55" s="545"/>
      <c r="Y55" s="545"/>
      <c r="Z55" s="545"/>
      <c r="AA55" s="545"/>
      <c r="AB55" s="545"/>
      <c r="AC55" s="545"/>
      <c r="AD55" s="545"/>
      <c r="AE55" s="545"/>
      <c r="AF55" s="545"/>
      <c r="AG55" s="545"/>
      <c r="AH55" s="545"/>
      <c r="AK55" s="727">
        <f t="shared" si="15"/>
        <v>0</v>
      </c>
      <c r="AL55" s="728">
        <f t="shared" si="16"/>
        <v>0</v>
      </c>
      <c r="AM55" s="728">
        <f t="shared" si="17"/>
        <v>0</v>
      </c>
      <c r="AN55" s="728">
        <f t="shared" si="18"/>
        <v>0</v>
      </c>
      <c r="AO55" s="728">
        <f t="shared" si="19"/>
        <v>0</v>
      </c>
      <c r="AP55" s="728">
        <f t="shared" si="20"/>
        <v>0</v>
      </c>
      <c r="AQ55" s="728">
        <f t="shared" si="21"/>
        <v>0</v>
      </c>
      <c r="AR55" s="728">
        <f t="shared" si="22"/>
        <v>0</v>
      </c>
      <c r="AS55" s="728">
        <f t="shared" si="22"/>
        <v>0</v>
      </c>
      <c r="AT55" s="728">
        <f t="shared" si="23"/>
        <v>0</v>
      </c>
      <c r="AU55" s="728">
        <f t="shared" si="24"/>
        <v>0</v>
      </c>
      <c r="AV55" s="728">
        <f t="shared" si="25"/>
        <v>0</v>
      </c>
      <c r="AW55" s="728">
        <f t="shared" si="26"/>
        <v>0</v>
      </c>
      <c r="AX55" s="728">
        <f t="shared" si="13"/>
        <v>0</v>
      </c>
      <c r="AY55" s="728">
        <f t="shared" si="14"/>
        <v>0</v>
      </c>
      <c r="AZ55" s="156" t="str">
        <f t="array" ref="AZ55">IF(MAX(ABS(AK55:AY55))&gt;$AZ$5,"EXPLAIN","")</f>
        <v/>
      </c>
    </row>
    <row r="56" spans="2:52">
      <c r="B56" s="258"/>
      <c r="C56" s="468" t="str">
        <f>IF('Prop DUOS'!B56="","",'Prop DUOS'!B56)</f>
        <v/>
      </c>
      <c r="D56" s="474">
        <f>SUM('Prop DUOS'!E56,'Prop TUOS'!D56,'Prop JUOS'!D56)</f>
        <v>0</v>
      </c>
      <c r="E56" s="473">
        <f>SUM('Prop DUOS'!F56,'Prop TUOS'!E56,'Prop JUOS'!E56)</f>
        <v>0</v>
      </c>
      <c r="F56" s="473">
        <f>SUM('Prop DUOS'!G56,'Prop TUOS'!F56,'Prop JUOS'!F56)</f>
        <v>0</v>
      </c>
      <c r="G56" s="473">
        <f>SUM('Prop DUOS'!H56,'Prop TUOS'!G56,'Prop JUOS'!G56)</f>
        <v>0</v>
      </c>
      <c r="H56" s="473">
        <f>SUM('Prop DUOS'!I56,'Prop TUOS'!H56,'Prop JUOS'!H56)</f>
        <v>0</v>
      </c>
      <c r="I56" s="473">
        <f>SUM('Prop DUOS'!J56,'Prop TUOS'!I56,'Prop JUOS'!I56)</f>
        <v>0</v>
      </c>
      <c r="J56" s="473">
        <f>SUM('Prop DUOS'!K56,'Prop TUOS'!J56,'Prop JUOS'!J56)</f>
        <v>0</v>
      </c>
      <c r="K56" s="473">
        <f>SUM('Prop DUOS'!L56,'Prop TUOS'!K56,'Prop JUOS'!K56)</f>
        <v>0</v>
      </c>
      <c r="L56" s="473">
        <f>SUM('Prop DUOS'!M56,'Prop TUOS'!L56,'Prop JUOS'!L56)</f>
        <v>0</v>
      </c>
      <c r="M56" s="473">
        <f>SUM('Prop DUOS'!N56,'Prop TUOS'!M56,'Prop JUOS'!M56)</f>
        <v>0</v>
      </c>
      <c r="N56" s="473">
        <f>SUM('Prop DUOS'!O56,'Prop TUOS'!N56,'Prop JUOS'!N56)</f>
        <v>0</v>
      </c>
      <c r="O56" s="473">
        <f>SUM('Prop DUOS'!P56,'Prop TUOS'!O56,'Prop JUOS'!O56)</f>
        <v>0</v>
      </c>
      <c r="P56" s="473">
        <f>SUM('Prop DUOS'!Q56,'Prop TUOS'!P56,'Prop JUOS'!P56)</f>
        <v>0</v>
      </c>
      <c r="Q56" s="473">
        <f>SUM('Prop DUOS'!R56,'Prop TUOS'!Q56,'Prop JUOS'!Q56)</f>
        <v>0</v>
      </c>
      <c r="R56" s="473">
        <f>SUM('Prop DUOS'!S56,'Prop TUOS'!R56,'Prop JUOS'!R56)</f>
        <v>0</v>
      </c>
      <c r="T56" s="544"/>
      <c r="U56" s="545"/>
      <c r="V56" s="545"/>
      <c r="W56" s="545"/>
      <c r="X56" s="545"/>
      <c r="Y56" s="545"/>
      <c r="Z56" s="545"/>
      <c r="AA56" s="545"/>
      <c r="AB56" s="545"/>
      <c r="AC56" s="545"/>
      <c r="AD56" s="545"/>
      <c r="AE56" s="545"/>
      <c r="AF56" s="545"/>
      <c r="AG56" s="545"/>
      <c r="AH56" s="545"/>
      <c r="AK56" s="727">
        <f t="shared" si="15"/>
        <v>0</v>
      </c>
      <c r="AL56" s="728">
        <f t="shared" si="16"/>
        <v>0</v>
      </c>
      <c r="AM56" s="728">
        <f t="shared" si="17"/>
        <v>0</v>
      </c>
      <c r="AN56" s="728">
        <f t="shared" si="18"/>
        <v>0</v>
      </c>
      <c r="AO56" s="728">
        <f t="shared" si="19"/>
        <v>0</v>
      </c>
      <c r="AP56" s="728">
        <f t="shared" si="20"/>
        <v>0</v>
      </c>
      <c r="AQ56" s="728">
        <f t="shared" si="21"/>
        <v>0</v>
      </c>
      <c r="AR56" s="728">
        <f t="shared" si="22"/>
        <v>0</v>
      </c>
      <c r="AS56" s="728">
        <f t="shared" si="22"/>
        <v>0</v>
      </c>
      <c r="AT56" s="728">
        <f t="shared" si="23"/>
        <v>0</v>
      </c>
      <c r="AU56" s="728">
        <f t="shared" si="24"/>
        <v>0</v>
      </c>
      <c r="AV56" s="728">
        <f t="shared" si="25"/>
        <v>0</v>
      </c>
      <c r="AW56" s="728">
        <f t="shared" si="26"/>
        <v>0</v>
      </c>
      <c r="AX56" s="728">
        <f t="shared" si="13"/>
        <v>0</v>
      </c>
      <c r="AY56" s="728">
        <f t="shared" si="14"/>
        <v>0</v>
      </c>
      <c r="AZ56" s="156" t="str">
        <f t="array" ref="AZ56">IF(MAX(ABS(AK56:AY56))&gt;$AZ$5,"EXPLAIN","")</f>
        <v/>
      </c>
    </row>
    <row r="57" spans="2:52">
      <c r="B57" s="258"/>
      <c r="C57" s="468" t="str">
        <f>IF('Prop DUOS'!B57="","",'Prop DUOS'!B57)</f>
        <v/>
      </c>
      <c r="D57" s="474">
        <f>SUM('Prop DUOS'!E57,'Prop TUOS'!D57,'Prop JUOS'!D57)</f>
        <v>0</v>
      </c>
      <c r="E57" s="473">
        <f>SUM('Prop DUOS'!F57,'Prop TUOS'!E57,'Prop JUOS'!E57)</f>
        <v>0</v>
      </c>
      <c r="F57" s="473">
        <f>SUM('Prop DUOS'!G57,'Prop TUOS'!F57,'Prop JUOS'!F57)</f>
        <v>0</v>
      </c>
      <c r="G57" s="473">
        <f>SUM('Prop DUOS'!H57,'Prop TUOS'!G57,'Prop JUOS'!G57)</f>
        <v>0</v>
      </c>
      <c r="H57" s="473">
        <f>SUM('Prop DUOS'!I57,'Prop TUOS'!H57,'Prop JUOS'!H57)</f>
        <v>0</v>
      </c>
      <c r="I57" s="473">
        <f>SUM('Prop DUOS'!J57,'Prop TUOS'!I57,'Prop JUOS'!I57)</f>
        <v>0</v>
      </c>
      <c r="J57" s="473">
        <f>SUM('Prop DUOS'!K57,'Prop TUOS'!J57,'Prop JUOS'!J57)</f>
        <v>0</v>
      </c>
      <c r="K57" s="473">
        <f>SUM('Prop DUOS'!L57,'Prop TUOS'!K57,'Prop JUOS'!K57)</f>
        <v>0</v>
      </c>
      <c r="L57" s="473">
        <f>SUM('Prop DUOS'!M57,'Prop TUOS'!L57,'Prop JUOS'!L57)</f>
        <v>0</v>
      </c>
      <c r="M57" s="473">
        <f>SUM('Prop DUOS'!N57,'Prop TUOS'!M57,'Prop JUOS'!M57)</f>
        <v>0</v>
      </c>
      <c r="N57" s="473">
        <f>SUM('Prop DUOS'!O57,'Prop TUOS'!N57,'Prop JUOS'!N57)</f>
        <v>0</v>
      </c>
      <c r="O57" s="473">
        <f>SUM('Prop DUOS'!P57,'Prop TUOS'!O57,'Prop JUOS'!O57)</f>
        <v>0</v>
      </c>
      <c r="P57" s="473">
        <f>SUM('Prop DUOS'!Q57,'Prop TUOS'!P57,'Prop JUOS'!P57)</f>
        <v>0</v>
      </c>
      <c r="Q57" s="473">
        <f>SUM('Prop DUOS'!R57,'Prop TUOS'!Q57,'Prop JUOS'!Q57)</f>
        <v>0</v>
      </c>
      <c r="R57" s="473">
        <f>SUM('Prop DUOS'!S57,'Prop TUOS'!R57,'Prop JUOS'!R57)</f>
        <v>0</v>
      </c>
      <c r="T57" s="544"/>
      <c r="U57" s="545"/>
      <c r="V57" s="545"/>
      <c r="W57" s="545"/>
      <c r="X57" s="545"/>
      <c r="Y57" s="545"/>
      <c r="Z57" s="545"/>
      <c r="AA57" s="545"/>
      <c r="AB57" s="545"/>
      <c r="AC57" s="545"/>
      <c r="AD57" s="545"/>
      <c r="AE57" s="545"/>
      <c r="AF57" s="545"/>
      <c r="AG57" s="545"/>
      <c r="AH57" s="545"/>
      <c r="AK57" s="727">
        <f t="shared" si="15"/>
        <v>0</v>
      </c>
      <c r="AL57" s="728">
        <f t="shared" si="16"/>
        <v>0</v>
      </c>
      <c r="AM57" s="728">
        <f t="shared" si="17"/>
        <v>0</v>
      </c>
      <c r="AN57" s="728">
        <f t="shared" si="18"/>
        <v>0</v>
      </c>
      <c r="AO57" s="728">
        <f t="shared" si="19"/>
        <v>0</v>
      </c>
      <c r="AP57" s="728">
        <f t="shared" si="20"/>
        <v>0</v>
      </c>
      <c r="AQ57" s="728">
        <f t="shared" si="21"/>
        <v>0</v>
      </c>
      <c r="AR57" s="728">
        <f t="shared" si="22"/>
        <v>0</v>
      </c>
      <c r="AS57" s="728">
        <f t="shared" si="22"/>
        <v>0</v>
      </c>
      <c r="AT57" s="728">
        <f t="shared" si="23"/>
        <v>0</v>
      </c>
      <c r="AU57" s="728">
        <f t="shared" si="24"/>
        <v>0</v>
      </c>
      <c r="AV57" s="728">
        <f t="shared" si="25"/>
        <v>0</v>
      </c>
      <c r="AW57" s="728">
        <f t="shared" si="26"/>
        <v>0</v>
      </c>
      <c r="AX57" s="728">
        <f t="shared" si="13"/>
        <v>0</v>
      </c>
      <c r="AY57" s="728">
        <f t="shared" si="14"/>
        <v>0</v>
      </c>
      <c r="AZ57" s="156" t="str">
        <f t="array" ref="AZ57">IF(MAX(ABS(AK57:AY57))&gt;$AZ$5,"EXPLAIN","")</f>
        <v/>
      </c>
    </row>
    <row r="58" spans="2:52">
      <c r="B58" s="258"/>
      <c r="C58" s="468" t="str">
        <f>IF('Prop DUOS'!B58="","",'Prop DUOS'!B58)</f>
        <v/>
      </c>
      <c r="D58" s="474">
        <f>SUM('Prop DUOS'!E58,'Prop TUOS'!D58,'Prop JUOS'!D58)</f>
        <v>0</v>
      </c>
      <c r="E58" s="473">
        <f>SUM('Prop DUOS'!F58,'Prop TUOS'!E58,'Prop JUOS'!E58)</f>
        <v>0</v>
      </c>
      <c r="F58" s="473">
        <f>SUM('Prop DUOS'!G58,'Prop TUOS'!F58,'Prop JUOS'!F58)</f>
        <v>0</v>
      </c>
      <c r="G58" s="473">
        <f>SUM('Prop DUOS'!H58,'Prop TUOS'!G58,'Prop JUOS'!G58)</f>
        <v>0</v>
      </c>
      <c r="H58" s="473">
        <f>SUM('Prop DUOS'!I58,'Prop TUOS'!H58,'Prop JUOS'!H58)</f>
        <v>0</v>
      </c>
      <c r="I58" s="473">
        <f>SUM('Prop DUOS'!J58,'Prop TUOS'!I58,'Prop JUOS'!I58)</f>
        <v>0</v>
      </c>
      <c r="J58" s="473">
        <f>SUM('Prop DUOS'!K58,'Prop TUOS'!J58,'Prop JUOS'!J58)</f>
        <v>0</v>
      </c>
      <c r="K58" s="473">
        <f>SUM('Prop DUOS'!L58,'Prop TUOS'!K58,'Prop JUOS'!K58)</f>
        <v>0</v>
      </c>
      <c r="L58" s="473">
        <f>SUM('Prop DUOS'!M58,'Prop TUOS'!L58,'Prop JUOS'!L58)</f>
        <v>0</v>
      </c>
      <c r="M58" s="473">
        <f>SUM('Prop DUOS'!N58,'Prop TUOS'!M58,'Prop JUOS'!M58)</f>
        <v>0</v>
      </c>
      <c r="N58" s="473">
        <f>SUM('Prop DUOS'!O58,'Prop TUOS'!N58,'Prop JUOS'!N58)</f>
        <v>0</v>
      </c>
      <c r="O58" s="473">
        <f>SUM('Prop DUOS'!P58,'Prop TUOS'!O58,'Prop JUOS'!O58)</f>
        <v>0</v>
      </c>
      <c r="P58" s="473">
        <f>SUM('Prop DUOS'!Q58,'Prop TUOS'!P58,'Prop JUOS'!P58)</f>
        <v>0</v>
      </c>
      <c r="Q58" s="473">
        <f>SUM('Prop DUOS'!R58,'Prop TUOS'!Q58,'Prop JUOS'!Q58)</f>
        <v>0</v>
      </c>
      <c r="R58" s="473">
        <f>SUM('Prop DUOS'!S58,'Prop TUOS'!R58,'Prop JUOS'!R58)</f>
        <v>0</v>
      </c>
      <c r="T58" s="544"/>
      <c r="U58" s="545"/>
      <c r="V58" s="545"/>
      <c r="W58" s="545"/>
      <c r="X58" s="545"/>
      <c r="Y58" s="545"/>
      <c r="Z58" s="545"/>
      <c r="AA58" s="545"/>
      <c r="AB58" s="545"/>
      <c r="AC58" s="545"/>
      <c r="AD58" s="545"/>
      <c r="AE58" s="545"/>
      <c r="AF58" s="545"/>
      <c r="AG58" s="545"/>
      <c r="AH58" s="545"/>
      <c r="AK58" s="727">
        <f t="shared" si="15"/>
        <v>0</v>
      </c>
      <c r="AL58" s="728">
        <f t="shared" si="16"/>
        <v>0</v>
      </c>
      <c r="AM58" s="728">
        <f t="shared" si="17"/>
        <v>0</v>
      </c>
      <c r="AN58" s="728">
        <f t="shared" si="18"/>
        <v>0</v>
      </c>
      <c r="AO58" s="728">
        <f t="shared" si="19"/>
        <v>0</v>
      </c>
      <c r="AP58" s="728">
        <f t="shared" si="20"/>
        <v>0</v>
      </c>
      <c r="AQ58" s="728">
        <f t="shared" si="21"/>
        <v>0</v>
      </c>
      <c r="AR58" s="728">
        <f t="shared" si="22"/>
        <v>0</v>
      </c>
      <c r="AS58" s="728">
        <f t="shared" si="22"/>
        <v>0</v>
      </c>
      <c r="AT58" s="728">
        <f t="shared" si="23"/>
        <v>0</v>
      </c>
      <c r="AU58" s="728">
        <f t="shared" si="24"/>
        <v>0</v>
      </c>
      <c r="AV58" s="728">
        <f t="shared" si="25"/>
        <v>0</v>
      </c>
      <c r="AW58" s="728">
        <f t="shared" si="26"/>
        <v>0</v>
      </c>
      <c r="AX58" s="728">
        <f t="shared" si="13"/>
        <v>0</v>
      </c>
      <c r="AY58" s="728">
        <f t="shared" si="14"/>
        <v>0</v>
      </c>
      <c r="AZ58" s="156" t="str">
        <f t="array" ref="AZ58">IF(MAX(ABS(AK58:AY58))&gt;$AZ$5,"EXPLAIN","")</f>
        <v/>
      </c>
    </row>
    <row r="59" spans="2:52">
      <c r="B59" s="258"/>
      <c r="C59" s="468" t="str">
        <f>IF('Prop DUOS'!B59="","",'Prop DUOS'!B59)</f>
        <v/>
      </c>
      <c r="D59" s="474">
        <f>SUM('Prop DUOS'!E59,'Prop TUOS'!D59,'Prop JUOS'!D59)</f>
        <v>0</v>
      </c>
      <c r="E59" s="473">
        <f>SUM('Prop DUOS'!F59,'Prop TUOS'!E59,'Prop JUOS'!E59)</f>
        <v>0</v>
      </c>
      <c r="F59" s="473">
        <f>SUM('Prop DUOS'!G59,'Prop TUOS'!F59,'Prop JUOS'!F59)</f>
        <v>0</v>
      </c>
      <c r="G59" s="473">
        <f>SUM('Prop DUOS'!H59,'Prop TUOS'!G59,'Prop JUOS'!G59)</f>
        <v>0</v>
      </c>
      <c r="H59" s="473">
        <f>SUM('Prop DUOS'!I59,'Prop TUOS'!H59,'Prop JUOS'!H59)</f>
        <v>0</v>
      </c>
      <c r="I59" s="473">
        <f>SUM('Prop DUOS'!J59,'Prop TUOS'!I59,'Prop JUOS'!I59)</f>
        <v>0</v>
      </c>
      <c r="J59" s="473">
        <f>SUM('Prop DUOS'!K59,'Prop TUOS'!J59,'Prop JUOS'!J59)</f>
        <v>0</v>
      </c>
      <c r="K59" s="473">
        <f>SUM('Prop DUOS'!L59,'Prop TUOS'!K59,'Prop JUOS'!K59)</f>
        <v>0</v>
      </c>
      <c r="L59" s="473">
        <f>SUM('Prop DUOS'!M59,'Prop TUOS'!L59,'Prop JUOS'!L59)</f>
        <v>0</v>
      </c>
      <c r="M59" s="473">
        <f>SUM('Prop DUOS'!N59,'Prop TUOS'!M59,'Prop JUOS'!M59)</f>
        <v>0</v>
      </c>
      <c r="N59" s="473">
        <f>SUM('Prop DUOS'!O59,'Prop TUOS'!N59,'Prop JUOS'!N59)</f>
        <v>0</v>
      </c>
      <c r="O59" s="473">
        <f>SUM('Prop DUOS'!P59,'Prop TUOS'!O59,'Prop JUOS'!O59)</f>
        <v>0</v>
      </c>
      <c r="P59" s="473">
        <f>SUM('Prop DUOS'!Q59,'Prop TUOS'!P59,'Prop JUOS'!P59)</f>
        <v>0</v>
      </c>
      <c r="Q59" s="473">
        <f>SUM('Prop DUOS'!R59,'Prop TUOS'!Q59,'Prop JUOS'!Q59)</f>
        <v>0</v>
      </c>
      <c r="R59" s="473">
        <f>SUM('Prop DUOS'!S59,'Prop TUOS'!R59,'Prop JUOS'!R59)</f>
        <v>0</v>
      </c>
      <c r="T59" s="544"/>
      <c r="U59" s="545"/>
      <c r="V59" s="545"/>
      <c r="W59" s="545"/>
      <c r="X59" s="545"/>
      <c r="Y59" s="545"/>
      <c r="Z59" s="545"/>
      <c r="AA59" s="545"/>
      <c r="AB59" s="545"/>
      <c r="AC59" s="545"/>
      <c r="AD59" s="545"/>
      <c r="AE59" s="545"/>
      <c r="AF59" s="545"/>
      <c r="AG59" s="545"/>
      <c r="AH59" s="545"/>
      <c r="AK59" s="727">
        <f t="shared" si="15"/>
        <v>0</v>
      </c>
      <c r="AL59" s="728">
        <f t="shared" si="16"/>
        <v>0</v>
      </c>
      <c r="AM59" s="728">
        <f t="shared" si="17"/>
        <v>0</v>
      </c>
      <c r="AN59" s="728">
        <f t="shared" si="18"/>
        <v>0</v>
      </c>
      <c r="AO59" s="728">
        <f t="shared" si="19"/>
        <v>0</v>
      </c>
      <c r="AP59" s="728">
        <f t="shared" si="20"/>
        <v>0</v>
      </c>
      <c r="AQ59" s="728">
        <f t="shared" si="21"/>
        <v>0</v>
      </c>
      <c r="AR59" s="728">
        <f t="shared" si="22"/>
        <v>0</v>
      </c>
      <c r="AS59" s="728">
        <f t="shared" si="22"/>
        <v>0</v>
      </c>
      <c r="AT59" s="728">
        <f t="shared" si="23"/>
        <v>0</v>
      </c>
      <c r="AU59" s="728">
        <f t="shared" si="24"/>
        <v>0</v>
      </c>
      <c r="AV59" s="728">
        <f t="shared" si="25"/>
        <v>0</v>
      </c>
      <c r="AW59" s="728">
        <f t="shared" si="26"/>
        <v>0</v>
      </c>
      <c r="AX59" s="728">
        <f t="shared" si="13"/>
        <v>0</v>
      </c>
      <c r="AY59" s="728">
        <f t="shared" si="14"/>
        <v>0</v>
      </c>
      <c r="AZ59" s="156" t="str">
        <f t="array" ref="AZ59">IF(MAX(ABS(AK59:AY59))&gt;$AZ$5,"EXPLAIN","")</f>
        <v/>
      </c>
    </row>
    <row r="60" spans="2:52">
      <c r="B60" s="258"/>
      <c r="C60" s="468" t="str">
        <f>IF('Prop DUOS'!B60="","",'Prop DUOS'!B60)</f>
        <v/>
      </c>
      <c r="D60" s="474">
        <f>SUM('Prop DUOS'!E60,'Prop TUOS'!D60,'Prop JUOS'!D60)</f>
        <v>0</v>
      </c>
      <c r="E60" s="473">
        <f>SUM('Prop DUOS'!F60,'Prop TUOS'!E60,'Prop JUOS'!E60)</f>
        <v>0</v>
      </c>
      <c r="F60" s="473">
        <f>SUM('Prop DUOS'!G60,'Prop TUOS'!F60,'Prop JUOS'!F60)</f>
        <v>0</v>
      </c>
      <c r="G60" s="473">
        <f>SUM('Prop DUOS'!H60,'Prop TUOS'!G60,'Prop JUOS'!G60)</f>
        <v>0</v>
      </c>
      <c r="H60" s="473">
        <f>SUM('Prop DUOS'!I60,'Prop TUOS'!H60,'Prop JUOS'!H60)</f>
        <v>0</v>
      </c>
      <c r="I60" s="473">
        <f>SUM('Prop DUOS'!J60,'Prop TUOS'!I60,'Prop JUOS'!I60)</f>
        <v>0</v>
      </c>
      <c r="J60" s="473">
        <f>SUM('Prop DUOS'!K60,'Prop TUOS'!J60,'Prop JUOS'!J60)</f>
        <v>0</v>
      </c>
      <c r="K60" s="473">
        <f>SUM('Prop DUOS'!L60,'Prop TUOS'!K60,'Prop JUOS'!K60)</f>
        <v>0</v>
      </c>
      <c r="L60" s="473">
        <f>SUM('Prop DUOS'!M60,'Prop TUOS'!L60,'Prop JUOS'!L60)</f>
        <v>0</v>
      </c>
      <c r="M60" s="473">
        <f>SUM('Prop DUOS'!N60,'Prop TUOS'!M60,'Prop JUOS'!M60)</f>
        <v>0</v>
      </c>
      <c r="N60" s="473">
        <f>SUM('Prop DUOS'!O60,'Prop TUOS'!N60,'Prop JUOS'!N60)</f>
        <v>0</v>
      </c>
      <c r="O60" s="473">
        <f>SUM('Prop DUOS'!P60,'Prop TUOS'!O60,'Prop JUOS'!O60)</f>
        <v>0</v>
      </c>
      <c r="P60" s="473">
        <f>SUM('Prop DUOS'!Q60,'Prop TUOS'!P60,'Prop JUOS'!P60)</f>
        <v>0</v>
      </c>
      <c r="Q60" s="473">
        <f>SUM('Prop DUOS'!R60,'Prop TUOS'!Q60,'Prop JUOS'!Q60)</f>
        <v>0</v>
      </c>
      <c r="R60" s="473">
        <f>SUM('Prop DUOS'!S60,'Prop TUOS'!R60,'Prop JUOS'!R60)</f>
        <v>0</v>
      </c>
      <c r="T60" s="544"/>
      <c r="U60" s="545"/>
      <c r="V60" s="545"/>
      <c r="W60" s="545"/>
      <c r="X60" s="545"/>
      <c r="Y60" s="545"/>
      <c r="Z60" s="545"/>
      <c r="AA60" s="545"/>
      <c r="AB60" s="545"/>
      <c r="AC60" s="545"/>
      <c r="AD60" s="545"/>
      <c r="AE60" s="545"/>
      <c r="AF60" s="545"/>
      <c r="AG60" s="545"/>
      <c r="AH60" s="545"/>
      <c r="AK60" s="727">
        <f t="shared" si="15"/>
        <v>0</v>
      </c>
      <c r="AL60" s="728">
        <f t="shared" si="16"/>
        <v>0</v>
      </c>
      <c r="AM60" s="728">
        <f t="shared" si="17"/>
        <v>0</v>
      </c>
      <c r="AN60" s="728">
        <f t="shared" si="18"/>
        <v>0</v>
      </c>
      <c r="AO60" s="728">
        <f t="shared" si="19"/>
        <v>0</v>
      </c>
      <c r="AP60" s="728">
        <f t="shared" si="20"/>
        <v>0</v>
      </c>
      <c r="AQ60" s="728">
        <f t="shared" si="21"/>
        <v>0</v>
      </c>
      <c r="AR60" s="728">
        <f t="shared" si="22"/>
        <v>0</v>
      </c>
      <c r="AS60" s="728">
        <f t="shared" si="22"/>
        <v>0</v>
      </c>
      <c r="AT60" s="728">
        <f t="shared" si="23"/>
        <v>0</v>
      </c>
      <c r="AU60" s="728">
        <f t="shared" si="24"/>
        <v>0</v>
      </c>
      <c r="AV60" s="728">
        <f t="shared" si="25"/>
        <v>0</v>
      </c>
      <c r="AW60" s="728">
        <f t="shared" si="26"/>
        <v>0</v>
      </c>
      <c r="AX60" s="728">
        <f t="shared" si="13"/>
        <v>0</v>
      </c>
      <c r="AY60" s="728">
        <f t="shared" si="14"/>
        <v>0</v>
      </c>
      <c r="AZ60" s="156" t="str">
        <f t="array" ref="AZ60">IF(MAX(ABS(AK60:AY60))&gt;$AZ$5,"EXPLAIN","")</f>
        <v/>
      </c>
    </row>
    <row r="61" spans="2:52">
      <c r="B61" s="258"/>
      <c r="C61" s="469" t="str">
        <f>IF('Prop DUOS'!B61="","",'Prop DUOS'!B61)</f>
        <v/>
      </c>
      <c r="D61" s="475">
        <f>SUM('Prop DUOS'!E61,'Prop TUOS'!D61,'Prop JUOS'!D61)</f>
        <v>0</v>
      </c>
      <c r="E61" s="476">
        <f>SUM('Prop DUOS'!F61,'Prop TUOS'!E61,'Prop JUOS'!E61)</f>
        <v>0</v>
      </c>
      <c r="F61" s="476">
        <f>SUM('Prop DUOS'!G61,'Prop TUOS'!F61,'Prop JUOS'!F61)</f>
        <v>0</v>
      </c>
      <c r="G61" s="476">
        <f>SUM('Prop DUOS'!H61,'Prop TUOS'!G61,'Prop JUOS'!G61)</f>
        <v>0</v>
      </c>
      <c r="H61" s="476">
        <f>SUM('Prop DUOS'!I61,'Prop TUOS'!H61,'Prop JUOS'!H61)</f>
        <v>0</v>
      </c>
      <c r="I61" s="476">
        <f>SUM('Prop DUOS'!J61,'Prop TUOS'!I61,'Prop JUOS'!I61)</f>
        <v>0</v>
      </c>
      <c r="J61" s="476">
        <f>SUM('Prop DUOS'!K61,'Prop TUOS'!J61,'Prop JUOS'!J61)</f>
        <v>0</v>
      </c>
      <c r="K61" s="476">
        <f>SUM('Prop DUOS'!L61,'Prop TUOS'!K61,'Prop JUOS'!K61)</f>
        <v>0</v>
      </c>
      <c r="L61" s="476">
        <f>SUM('Prop DUOS'!M61,'Prop TUOS'!L61,'Prop JUOS'!L61)</f>
        <v>0</v>
      </c>
      <c r="M61" s="476">
        <f>SUM('Prop DUOS'!N61,'Prop TUOS'!M61,'Prop JUOS'!M61)</f>
        <v>0</v>
      </c>
      <c r="N61" s="476">
        <f>SUM('Prop DUOS'!O61,'Prop TUOS'!N61,'Prop JUOS'!N61)</f>
        <v>0</v>
      </c>
      <c r="O61" s="476">
        <f>SUM('Prop DUOS'!P61,'Prop TUOS'!O61,'Prop JUOS'!O61)</f>
        <v>0</v>
      </c>
      <c r="P61" s="476">
        <f>SUM('Prop DUOS'!Q61,'Prop TUOS'!P61,'Prop JUOS'!P61)</f>
        <v>0</v>
      </c>
      <c r="Q61" s="476">
        <f>SUM('Prop DUOS'!R61,'Prop TUOS'!Q61,'Prop JUOS'!Q61)</f>
        <v>0</v>
      </c>
      <c r="R61" s="476">
        <f>SUM('Prop DUOS'!S61,'Prop TUOS'!R61,'Prop JUOS'!R61)</f>
        <v>0</v>
      </c>
      <c r="T61" s="567"/>
      <c r="U61" s="566"/>
      <c r="V61" s="566"/>
      <c r="W61" s="566"/>
      <c r="X61" s="566"/>
      <c r="Y61" s="566"/>
      <c r="Z61" s="566"/>
      <c r="AA61" s="566"/>
      <c r="AB61" s="566"/>
      <c r="AC61" s="566"/>
      <c r="AD61" s="568"/>
      <c r="AE61" s="568"/>
      <c r="AF61" s="568"/>
      <c r="AG61" s="568"/>
      <c r="AH61" s="568"/>
      <c r="AK61" s="727">
        <f t="shared" si="15"/>
        <v>0</v>
      </c>
      <c r="AL61" s="728">
        <f t="shared" si="16"/>
        <v>0</v>
      </c>
      <c r="AM61" s="728">
        <f t="shared" si="17"/>
        <v>0</v>
      </c>
      <c r="AN61" s="728">
        <f t="shared" si="18"/>
        <v>0</v>
      </c>
      <c r="AO61" s="728">
        <f t="shared" si="19"/>
        <v>0</v>
      </c>
      <c r="AP61" s="728">
        <f t="shared" si="20"/>
        <v>0</v>
      </c>
      <c r="AQ61" s="728">
        <f t="shared" si="21"/>
        <v>0</v>
      </c>
      <c r="AR61" s="728">
        <f t="shared" si="22"/>
        <v>0</v>
      </c>
      <c r="AS61" s="728">
        <f t="shared" si="22"/>
        <v>0</v>
      </c>
      <c r="AT61" s="728">
        <f t="shared" si="23"/>
        <v>0</v>
      </c>
      <c r="AU61" s="728">
        <f t="shared" si="24"/>
        <v>0</v>
      </c>
      <c r="AV61" s="728">
        <f t="shared" si="25"/>
        <v>0</v>
      </c>
      <c r="AW61" s="728">
        <f t="shared" si="26"/>
        <v>0</v>
      </c>
      <c r="AX61" s="728">
        <f t="shared" si="13"/>
        <v>0</v>
      </c>
      <c r="AY61" s="728">
        <f t="shared" si="14"/>
        <v>0</v>
      </c>
      <c r="AZ61" s="156" t="str">
        <f t="array" ref="AZ61">IF(MAX(ABS(AK61:AY61))&gt;$AZ$5,"EXPLAIN","")</f>
        <v/>
      </c>
    </row>
    <row r="62" spans="2:52">
      <c r="B62" s="258"/>
      <c r="C62" s="469" t="str">
        <f>IF('Prop DUOS'!B62="","",'Prop DUOS'!B62)</f>
        <v/>
      </c>
      <c r="D62" s="475">
        <f>SUM('Prop DUOS'!E62,'Prop TUOS'!D62,'Prop JUOS'!D62)</f>
        <v>0</v>
      </c>
      <c r="E62" s="476">
        <f>SUM('Prop DUOS'!F62,'Prop TUOS'!E62,'Prop JUOS'!E62)</f>
        <v>0</v>
      </c>
      <c r="F62" s="476">
        <f>SUM('Prop DUOS'!G62,'Prop TUOS'!F62,'Prop JUOS'!F62)</f>
        <v>0</v>
      </c>
      <c r="G62" s="476">
        <f>SUM('Prop DUOS'!H62,'Prop TUOS'!G62,'Prop JUOS'!G62)</f>
        <v>0</v>
      </c>
      <c r="H62" s="476">
        <f>SUM('Prop DUOS'!I62,'Prop TUOS'!H62,'Prop JUOS'!H62)</f>
        <v>0</v>
      </c>
      <c r="I62" s="476">
        <f>SUM('Prop DUOS'!J62,'Prop TUOS'!I62,'Prop JUOS'!I62)</f>
        <v>0</v>
      </c>
      <c r="J62" s="476">
        <f>SUM('Prop DUOS'!K62,'Prop TUOS'!J62,'Prop JUOS'!J62)</f>
        <v>0</v>
      </c>
      <c r="K62" s="476">
        <f>SUM('Prop DUOS'!L62,'Prop TUOS'!K62,'Prop JUOS'!K62)</f>
        <v>0</v>
      </c>
      <c r="L62" s="476">
        <f>SUM('Prop DUOS'!M62,'Prop TUOS'!L62,'Prop JUOS'!L62)</f>
        <v>0</v>
      </c>
      <c r="M62" s="476">
        <f>SUM('Prop DUOS'!N62,'Prop TUOS'!M62,'Prop JUOS'!M62)</f>
        <v>0</v>
      </c>
      <c r="N62" s="476">
        <f>SUM('Prop DUOS'!O62,'Prop TUOS'!N62,'Prop JUOS'!N62)</f>
        <v>0</v>
      </c>
      <c r="O62" s="476">
        <f>SUM('Prop DUOS'!P62,'Prop TUOS'!O62,'Prop JUOS'!O62)</f>
        <v>0</v>
      </c>
      <c r="P62" s="476">
        <f>SUM('Prop DUOS'!Q62,'Prop TUOS'!P62,'Prop JUOS'!P62)</f>
        <v>0</v>
      </c>
      <c r="Q62" s="476">
        <f>SUM('Prop DUOS'!R62,'Prop TUOS'!Q62,'Prop JUOS'!Q62)</f>
        <v>0</v>
      </c>
      <c r="R62" s="476">
        <f>SUM('Prop DUOS'!S62,'Prop TUOS'!R62,'Prop JUOS'!R62)</f>
        <v>0</v>
      </c>
      <c r="T62" s="567"/>
      <c r="U62" s="566"/>
      <c r="V62" s="566"/>
      <c r="W62" s="566"/>
      <c r="X62" s="566"/>
      <c r="Y62" s="566"/>
      <c r="Z62" s="566"/>
      <c r="AA62" s="566"/>
      <c r="AB62" s="566"/>
      <c r="AC62" s="566"/>
      <c r="AD62" s="568"/>
      <c r="AE62" s="568"/>
      <c r="AF62" s="568"/>
      <c r="AG62" s="568"/>
      <c r="AH62" s="568"/>
      <c r="AK62" s="727">
        <f t="shared" si="15"/>
        <v>0</v>
      </c>
      <c r="AL62" s="728">
        <f t="shared" si="16"/>
        <v>0</v>
      </c>
      <c r="AM62" s="728">
        <f t="shared" si="17"/>
        <v>0</v>
      </c>
      <c r="AN62" s="728">
        <f t="shared" si="18"/>
        <v>0</v>
      </c>
      <c r="AO62" s="728">
        <f t="shared" si="19"/>
        <v>0</v>
      </c>
      <c r="AP62" s="728">
        <f t="shared" si="20"/>
        <v>0</v>
      </c>
      <c r="AQ62" s="728">
        <f t="shared" si="21"/>
        <v>0</v>
      </c>
      <c r="AR62" s="728">
        <f t="shared" si="22"/>
        <v>0</v>
      </c>
      <c r="AS62" s="728">
        <f t="shared" si="22"/>
        <v>0</v>
      </c>
      <c r="AT62" s="728">
        <f t="shared" si="23"/>
        <v>0</v>
      </c>
      <c r="AU62" s="728">
        <f t="shared" si="24"/>
        <v>0</v>
      </c>
      <c r="AV62" s="728">
        <f t="shared" si="25"/>
        <v>0</v>
      </c>
      <c r="AW62" s="728">
        <f t="shared" si="26"/>
        <v>0</v>
      </c>
      <c r="AX62" s="728">
        <f t="shared" si="13"/>
        <v>0</v>
      </c>
      <c r="AY62" s="728">
        <f t="shared" si="14"/>
        <v>0</v>
      </c>
      <c r="AZ62" s="156" t="str">
        <f t="array" ref="AZ62">IF(MAX(ABS(AK62:AY62))&gt;$AZ$5,"EXPLAIN","")</f>
        <v/>
      </c>
    </row>
    <row r="63" spans="2:52">
      <c r="B63" s="258"/>
      <c r="C63" s="469" t="str">
        <f>IF('Prop DUOS'!B63="","",'Prop DUOS'!B63)</f>
        <v/>
      </c>
      <c r="D63" s="475">
        <f>SUM('Prop DUOS'!E63,'Prop TUOS'!D63,'Prop JUOS'!D63)</f>
        <v>0</v>
      </c>
      <c r="E63" s="476">
        <f>SUM('Prop DUOS'!F63,'Prop TUOS'!E63,'Prop JUOS'!E63)</f>
        <v>0</v>
      </c>
      <c r="F63" s="476">
        <f>SUM('Prop DUOS'!G63,'Prop TUOS'!F63,'Prop JUOS'!F63)</f>
        <v>0</v>
      </c>
      <c r="G63" s="476">
        <f>SUM('Prop DUOS'!H63,'Prop TUOS'!G63,'Prop JUOS'!G63)</f>
        <v>0</v>
      </c>
      <c r="H63" s="476">
        <f>SUM('Prop DUOS'!I63,'Prop TUOS'!H63,'Prop JUOS'!H63)</f>
        <v>0</v>
      </c>
      <c r="I63" s="476">
        <f>SUM('Prop DUOS'!J63,'Prop TUOS'!I63,'Prop JUOS'!I63)</f>
        <v>0</v>
      </c>
      <c r="J63" s="476">
        <f>SUM('Prop DUOS'!K63,'Prop TUOS'!J63,'Prop JUOS'!J63)</f>
        <v>0</v>
      </c>
      <c r="K63" s="476">
        <f>SUM('Prop DUOS'!L63,'Prop TUOS'!K63,'Prop JUOS'!K63)</f>
        <v>0</v>
      </c>
      <c r="L63" s="476">
        <f>SUM('Prop DUOS'!M63,'Prop TUOS'!L63,'Prop JUOS'!L63)</f>
        <v>0</v>
      </c>
      <c r="M63" s="476">
        <f>SUM('Prop DUOS'!N63,'Prop TUOS'!M63,'Prop JUOS'!M63)</f>
        <v>0</v>
      </c>
      <c r="N63" s="476">
        <f>SUM('Prop DUOS'!O63,'Prop TUOS'!N63,'Prop JUOS'!N63)</f>
        <v>0</v>
      </c>
      <c r="O63" s="476">
        <f>SUM('Prop DUOS'!P63,'Prop TUOS'!O63,'Prop JUOS'!O63)</f>
        <v>0</v>
      </c>
      <c r="P63" s="476">
        <f>SUM('Prop DUOS'!Q63,'Prop TUOS'!P63,'Prop JUOS'!P63)</f>
        <v>0</v>
      </c>
      <c r="Q63" s="476">
        <f>SUM('Prop DUOS'!R63,'Prop TUOS'!Q63,'Prop JUOS'!Q63)</f>
        <v>0</v>
      </c>
      <c r="R63" s="476">
        <f>SUM('Prop DUOS'!S63,'Prop TUOS'!R63,'Prop JUOS'!R63)</f>
        <v>0</v>
      </c>
      <c r="T63" s="567"/>
      <c r="U63" s="566"/>
      <c r="V63" s="566"/>
      <c r="W63" s="566"/>
      <c r="X63" s="566"/>
      <c r="Y63" s="566"/>
      <c r="Z63" s="566"/>
      <c r="AA63" s="566"/>
      <c r="AB63" s="566"/>
      <c r="AC63" s="566"/>
      <c r="AD63" s="568"/>
      <c r="AE63" s="568"/>
      <c r="AF63" s="568"/>
      <c r="AG63" s="568"/>
      <c r="AH63" s="568"/>
      <c r="AK63" s="727">
        <f t="shared" si="15"/>
        <v>0</v>
      </c>
      <c r="AL63" s="728">
        <f t="shared" si="16"/>
        <v>0</v>
      </c>
      <c r="AM63" s="728">
        <f t="shared" si="17"/>
        <v>0</v>
      </c>
      <c r="AN63" s="728">
        <f t="shared" si="18"/>
        <v>0</v>
      </c>
      <c r="AO63" s="728">
        <f t="shared" si="19"/>
        <v>0</v>
      </c>
      <c r="AP63" s="728">
        <f t="shared" si="20"/>
        <v>0</v>
      </c>
      <c r="AQ63" s="728">
        <f t="shared" si="21"/>
        <v>0</v>
      </c>
      <c r="AR63" s="728">
        <f t="shared" si="22"/>
        <v>0</v>
      </c>
      <c r="AS63" s="728">
        <f t="shared" si="22"/>
        <v>0</v>
      </c>
      <c r="AT63" s="728">
        <f t="shared" si="23"/>
        <v>0</v>
      </c>
      <c r="AU63" s="728">
        <f t="shared" si="24"/>
        <v>0</v>
      </c>
      <c r="AV63" s="728">
        <f t="shared" si="25"/>
        <v>0</v>
      </c>
      <c r="AW63" s="728">
        <f t="shared" si="26"/>
        <v>0</v>
      </c>
      <c r="AX63" s="728">
        <f t="shared" si="13"/>
        <v>0</v>
      </c>
      <c r="AY63" s="728">
        <f t="shared" si="14"/>
        <v>0</v>
      </c>
      <c r="AZ63" s="156" t="str">
        <f t="array" ref="AZ63">IF(MAX(ABS(AK63:AY63))&gt;$AZ$5,"EXPLAIN","")</f>
        <v/>
      </c>
    </row>
    <row r="64" spans="2:52">
      <c r="B64" s="258"/>
      <c r="C64" s="469" t="str">
        <f>IF('Prop DUOS'!B64="","",'Prop DUOS'!B64)</f>
        <v/>
      </c>
      <c r="D64" s="475">
        <f>SUM('Prop DUOS'!E64,'Prop TUOS'!D64,'Prop JUOS'!D64)</f>
        <v>0</v>
      </c>
      <c r="E64" s="476">
        <f>SUM('Prop DUOS'!F64,'Prop TUOS'!E64,'Prop JUOS'!E64)</f>
        <v>0</v>
      </c>
      <c r="F64" s="476">
        <f>SUM('Prop DUOS'!G64,'Prop TUOS'!F64,'Prop JUOS'!F64)</f>
        <v>0</v>
      </c>
      <c r="G64" s="476">
        <f>SUM('Prop DUOS'!H64,'Prop TUOS'!G64,'Prop JUOS'!G64)</f>
        <v>0</v>
      </c>
      <c r="H64" s="476">
        <f>SUM('Prop DUOS'!I64,'Prop TUOS'!H64,'Prop JUOS'!H64)</f>
        <v>0</v>
      </c>
      <c r="I64" s="476">
        <f>SUM('Prop DUOS'!J64,'Prop TUOS'!I64,'Prop JUOS'!I64)</f>
        <v>0</v>
      </c>
      <c r="J64" s="476">
        <f>SUM('Prop DUOS'!K64,'Prop TUOS'!J64,'Prop JUOS'!J64)</f>
        <v>0</v>
      </c>
      <c r="K64" s="476">
        <f>SUM('Prop DUOS'!L64,'Prop TUOS'!K64,'Prop JUOS'!K64)</f>
        <v>0</v>
      </c>
      <c r="L64" s="476">
        <f>SUM('Prop DUOS'!M64,'Prop TUOS'!L64,'Prop JUOS'!L64)</f>
        <v>0</v>
      </c>
      <c r="M64" s="476">
        <f>SUM('Prop DUOS'!N64,'Prop TUOS'!M64,'Prop JUOS'!M64)</f>
        <v>0</v>
      </c>
      <c r="N64" s="476">
        <f>SUM('Prop DUOS'!O64,'Prop TUOS'!N64,'Prop JUOS'!N64)</f>
        <v>0</v>
      </c>
      <c r="O64" s="476">
        <f>SUM('Prop DUOS'!P64,'Prop TUOS'!O64,'Prop JUOS'!O64)</f>
        <v>0</v>
      </c>
      <c r="P64" s="476">
        <f>SUM('Prop DUOS'!Q64,'Prop TUOS'!P64,'Prop JUOS'!P64)</f>
        <v>0</v>
      </c>
      <c r="Q64" s="476">
        <f>SUM('Prop DUOS'!R64,'Prop TUOS'!Q64,'Prop JUOS'!Q64)</f>
        <v>0</v>
      </c>
      <c r="R64" s="476">
        <f>SUM('Prop DUOS'!S64,'Prop TUOS'!R64,'Prop JUOS'!R64)</f>
        <v>0</v>
      </c>
      <c r="T64" s="567"/>
      <c r="U64" s="566"/>
      <c r="V64" s="566"/>
      <c r="W64" s="566"/>
      <c r="X64" s="566"/>
      <c r="Y64" s="566"/>
      <c r="Z64" s="566"/>
      <c r="AA64" s="566"/>
      <c r="AB64" s="566"/>
      <c r="AC64" s="566"/>
      <c r="AD64" s="568"/>
      <c r="AE64" s="568"/>
      <c r="AF64" s="568"/>
      <c r="AG64" s="568"/>
      <c r="AH64" s="568"/>
      <c r="AK64" s="727">
        <f t="shared" si="15"/>
        <v>0</v>
      </c>
      <c r="AL64" s="728">
        <f t="shared" si="16"/>
        <v>0</v>
      </c>
      <c r="AM64" s="728">
        <f t="shared" si="17"/>
        <v>0</v>
      </c>
      <c r="AN64" s="728">
        <f t="shared" si="18"/>
        <v>0</v>
      </c>
      <c r="AO64" s="728">
        <f t="shared" si="19"/>
        <v>0</v>
      </c>
      <c r="AP64" s="728">
        <f t="shared" si="20"/>
        <v>0</v>
      </c>
      <c r="AQ64" s="728">
        <f t="shared" si="21"/>
        <v>0</v>
      </c>
      <c r="AR64" s="728">
        <f t="shared" si="22"/>
        <v>0</v>
      </c>
      <c r="AS64" s="728">
        <f t="shared" si="22"/>
        <v>0</v>
      </c>
      <c r="AT64" s="728">
        <f t="shared" si="23"/>
        <v>0</v>
      </c>
      <c r="AU64" s="728">
        <f t="shared" si="24"/>
        <v>0</v>
      </c>
      <c r="AV64" s="728">
        <f t="shared" si="25"/>
        <v>0</v>
      </c>
      <c r="AW64" s="728">
        <f t="shared" si="26"/>
        <v>0</v>
      </c>
      <c r="AX64" s="728">
        <f t="shared" si="13"/>
        <v>0</v>
      </c>
      <c r="AY64" s="728">
        <f t="shared" si="14"/>
        <v>0</v>
      </c>
      <c r="AZ64" s="156" t="str">
        <f t="array" ref="AZ64">IF(MAX(ABS(AK64:AY64))&gt;$AZ$5,"EXPLAIN","")</f>
        <v/>
      </c>
    </row>
    <row r="65" spans="2:52">
      <c r="B65" s="258"/>
      <c r="C65" s="469" t="str">
        <f>IF('Prop DUOS'!B65="","",'Prop DUOS'!B65)</f>
        <v/>
      </c>
      <c r="D65" s="475">
        <f>SUM('Prop DUOS'!E65,'Prop TUOS'!D65,'Prop JUOS'!D65)</f>
        <v>0</v>
      </c>
      <c r="E65" s="476">
        <f>SUM('Prop DUOS'!F65,'Prop TUOS'!E65,'Prop JUOS'!E65)</f>
        <v>0</v>
      </c>
      <c r="F65" s="476">
        <f>SUM('Prop DUOS'!G65,'Prop TUOS'!F65,'Prop JUOS'!F65)</f>
        <v>0</v>
      </c>
      <c r="G65" s="476">
        <f>SUM('Prop DUOS'!H65,'Prop TUOS'!G65,'Prop JUOS'!G65)</f>
        <v>0</v>
      </c>
      <c r="H65" s="476">
        <f>SUM('Prop DUOS'!I65,'Prop TUOS'!H65,'Prop JUOS'!H65)</f>
        <v>0</v>
      </c>
      <c r="I65" s="476">
        <f>SUM('Prop DUOS'!J65,'Prop TUOS'!I65,'Prop JUOS'!I65)</f>
        <v>0</v>
      </c>
      <c r="J65" s="476">
        <f>SUM('Prop DUOS'!K65,'Prop TUOS'!J65,'Prop JUOS'!J65)</f>
        <v>0</v>
      </c>
      <c r="K65" s="476">
        <f>SUM('Prop DUOS'!L65,'Prop TUOS'!K65,'Prop JUOS'!K65)</f>
        <v>0</v>
      </c>
      <c r="L65" s="476">
        <f>SUM('Prop DUOS'!M65,'Prop TUOS'!L65,'Prop JUOS'!L65)</f>
        <v>0</v>
      </c>
      <c r="M65" s="476">
        <f>SUM('Prop DUOS'!N65,'Prop TUOS'!M65,'Prop JUOS'!M65)</f>
        <v>0</v>
      </c>
      <c r="N65" s="476">
        <f>SUM('Prop DUOS'!O65,'Prop TUOS'!N65,'Prop JUOS'!N65)</f>
        <v>0</v>
      </c>
      <c r="O65" s="476">
        <f>SUM('Prop DUOS'!P65,'Prop TUOS'!O65,'Prop JUOS'!O65)</f>
        <v>0</v>
      </c>
      <c r="P65" s="476">
        <f>SUM('Prop DUOS'!Q65,'Prop TUOS'!P65,'Prop JUOS'!P65)</f>
        <v>0</v>
      </c>
      <c r="Q65" s="476">
        <f>SUM('Prop DUOS'!R65,'Prop TUOS'!Q65,'Prop JUOS'!Q65)</f>
        <v>0</v>
      </c>
      <c r="R65" s="476">
        <f>SUM('Prop DUOS'!S65,'Prop TUOS'!R65,'Prop JUOS'!R65)</f>
        <v>0</v>
      </c>
      <c r="T65" s="567"/>
      <c r="U65" s="566"/>
      <c r="V65" s="566"/>
      <c r="W65" s="566"/>
      <c r="X65" s="566"/>
      <c r="Y65" s="566"/>
      <c r="Z65" s="566"/>
      <c r="AA65" s="566"/>
      <c r="AB65" s="566"/>
      <c r="AC65" s="566"/>
      <c r="AD65" s="568"/>
      <c r="AE65" s="568"/>
      <c r="AF65" s="568"/>
      <c r="AG65" s="568"/>
      <c r="AH65" s="568"/>
      <c r="AK65" s="727">
        <f t="shared" si="15"/>
        <v>0</v>
      </c>
      <c r="AL65" s="728">
        <f t="shared" si="16"/>
        <v>0</v>
      </c>
      <c r="AM65" s="728">
        <f t="shared" si="17"/>
        <v>0</v>
      </c>
      <c r="AN65" s="728">
        <f t="shared" si="18"/>
        <v>0</v>
      </c>
      <c r="AO65" s="728">
        <f t="shared" si="19"/>
        <v>0</v>
      </c>
      <c r="AP65" s="728">
        <f t="shared" si="20"/>
        <v>0</v>
      </c>
      <c r="AQ65" s="728">
        <f t="shared" si="21"/>
        <v>0</v>
      </c>
      <c r="AR65" s="728">
        <f t="shared" si="22"/>
        <v>0</v>
      </c>
      <c r="AS65" s="728">
        <f t="shared" si="22"/>
        <v>0</v>
      </c>
      <c r="AT65" s="728">
        <f t="shared" si="23"/>
        <v>0</v>
      </c>
      <c r="AU65" s="728">
        <f t="shared" si="24"/>
        <v>0</v>
      </c>
      <c r="AV65" s="728">
        <f t="shared" si="25"/>
        <v>0</v>
      </c>
      <c r="AW65" s="728">
        <f t="shared" si="26"/>
        <v>0</v>
      </c>
      <c r="AX65" s="728">
        <f t="shared" si="13"/>
        <v>0</v>
      </c>
      <c r="AY65" s="728">
        <f t="shared" si="14"/>
        <v>0</v>
      </c>
      <c r="AZ65" s="156" t="str">
        <f t="array" ref="AZ65">IF(MAX(ABS(AK65:AY65))&gt;$AZ$5,"EXPLAIN","")</f>
        <v/>
      </c>
    </row>
    <row r="66" spans="2:52" ht="13.5" thickBot="1">
      <c r="B66" s="264"/>
      <c r="C66" s="470" t="str">
        <f>IF('Prop DUOS'!B66="","",'Prop DUOS'!B66)</f>
        <v/>
      </c>
      <c r="D66" s="477">
        <f>SUM('Prop DUOS'!E66,'Prop TUOS'!D66,'Prop JUOS'!D66)</f>
        <v>0</v>
      </c>
      <c r="E66" s="478">
        <f>SUM('Prop DUOS'!F66,'Prop TUOS'!E66,'Prop JUOS'!E66)</f>
        <v>0</v>
      </c>
      <c r="F66" s="478">
        <f>SUM('Prop DUOS'!G66,'Prop TUOS'!F66,'Prop JUOS'!F66)</f>
        <v>0</v>
      </c>
      <c r="G66" s="478">
        <f>SUM('Prop DUOS'!H66,'Prop TUOS'!G66,'Prop JUOS'!G66)</f>
        <v>0</v>
      </c>
      <c r="H66" s="478">
        <f>SUM('Prop DUOS'!I66,'Prop TUOS'!H66,'Prop JUOS'!H66)</f>
        <v>0</v>
      </c>
      <c r="I66" s="478">
        <f>SUM('Prop DUOS'!J66,'Prop TUOS'!I66,'Prop JUOS'!I66)</f>
        <v>0</v>
      </c>
      <c r="J66" s="478">
        <f>SUM('Prop DUOS'!K66,'Prop TUOS'!J66,'Prop JUOS'!J66)</f>
        <v>0</v>
      </c>
      <c r="K66" s="478">
        <f>SUM('Prop DUOS'!L66,'Prop TUOS'!K66,'Prop JUOS'!K66)</f>
        <v>0</v>
      </c>
      <c r="L66" s="478">
        <f>SUM('Prop DUOS'!M66,'Prop TUOS'!L66,'Prop JUOS'!L66)</f>
        <v>0</v>
      </c>
      <c r="M66" s="478">
        <f>SUM('Prop DUOS'!N66,'Prop TUOS'!M66,'Prop JUOS'!M66)</f>
        <v>0</v>
      </c>
      <c r="N66" s="478">
        <f>SUM('Prop DUOS'!O66,'Prop TUOS'!N66,'Prop JUOS'!N66)</f>
        <v>0</v>
      </c>
      <c r="O66" s="478">
        <f>SUM('Prop DUOS'!P66,'Prop TUOS'!O66,'Prop JUOS'!O66)</f>
        <v>0</v>
      </c>
      <c r="P66" s="478">
        <f>SUM('Prop DUOS'!Q66,'Prop TUOS'!P66,'Prop JUOS'!P66)</f>
        <v>0</v>
      </c>
      <c r="Q66" s="478">
        <f>SUM('Prop DUOS'!R66,'Prop TUOS'!Q66,'Prop JUOS'!Q66)</f>
        <v>0</v>
      </c>
      <c r="R66" s="478">
        <f>SUM('Prop DUOS'!S66,'Prop TUOS'!R66,'Prop JUOS'!R66)</f>
        <v>0</v>
      </c>
      <c r="T66" s="569"/>
      <c r="U66" s="570"/>
      <c r="V66" s="570"/>
      <c r="W66" s="570"/>
      <c r="X66" s="570"/>
      <c r="Y66" s="570"/>
      <c r="Z66" s="570"/>
      <c r="AA66" s="570"/>
      <c r="AB66" s="570"/>
      <c r="AC66" s="570"/>
      <c r="AD66" s="571"/>
      <c r="AE66" s="571"/>
      <c r="AF66" s="571"/>
      <c r="AG66" s="571"/>
      <c r="AH66" s="571"/>
      <c r="AK66" s="731">
        <f t="shared" si="15"/>
        <v>0</v>
      </c>
      <c r="AL66" s="732">
        <f t="shared" si="16"/>
        <v>0</v>
      </c>
      <c r="AM66" s="732">
        <f t="shared" si="17"/>
        <v>0</v>
      </c>
      <c r="AN66" s="732">
        <f t="shared" si="18"/>
        <v>0</v>
      </c>
      <c r="AO66" s="732">
        <f t="shared" si="19"/>
        <v>0</v>
      </c>
      <c r="AP66" s="732">
        <f t="shared" si="20"/>
        <v>0</v>
      </c>
      <c r="AQ66" s="732">
        <f t="shared" si="21"/>
        <v>0</v>
      </c>
      <c r="AR66" s="732">
        <f t="shared" si="22"/>
        <v>0</v>
      </c>
      <c r="AS66" s="732">
        <f t="shared" si="22"/>
        <v>0</v>
      </c>
      <c r="AT66" s="732">
        <f t="shared" si="23"/>
        <v>0</v>
      </c>
      <c r="AU66" s="732">
        <f t="shared" si="24"/>
        <v>0</v>
      </c>
      <c r="AV66" s="732">
        <f t="shared" si="25"/>
        <v>0</v>
      </c>
      <c r="AW66" s="732">
        <f t="shared" si="26"/>
        <v>0</v>
      </c>
      <c r="AX66" s="732">
        <f t="shared" si="13"/>
        <v>0</v>
      </c>
      <c r="AY66" s="732">
        <f t="shared" si="14"/>
        <v>0</v>
      </c>
      <c r="AZ66" s="267" t="str">
        <f t="array" ref="AZ66">IF(MAX(ABS(AK66:AY66))&gt;$AZ$5,"EXPLAIN","")</f>
        <v/>
      </c>
    </row>
    <row r="67" spans="2:52" s="70" customFormat="1"/>
    <row r="68" spans="2:52" s="70" customFormat="1"/>
    <row r="69" spans="2:52" s="70" customFormat="1">
      <c r="T69" s="723"/>
    </row>
    <row r="70" spans="2:52" s="70" customFormat="1"/>
    <row r="71" spans="2:52" s="70" customFormat="1"/>
    <row r="72" spans="2:52" s="70" customFormat="1"/>
    <row r="73" spans="2:52" s="70" customFormat="1"/>
    <row r="74" spans="2:52" s="70" customFormat="1"/>
    <row r="75" spans="2:52" s="70" customFormat="1"/>
    <row r="76" spans="2:52" s="70" customFormat="1"/>
    <row r="77" spans="2:52" s="70" customFormat="1"/>
    <row r="78" spans="2:52" s="70" customFormat="1"/>
    <row r="79" spans="2:52" s="70" customFormat="1"/>
    <row r="80" spans="2:52" s="70" customFormat="1"/>
    <row r="81" s="70" customFormat="1"/>
    <row r="82" s="70" customFormat="1"/>
    <row r="83" s="70" customFormat="1"/>
    <row r="84" s="70" customFormat="1"/>
    <row r="85" s="70" customFormat="1"/>
    <row r="86" s="70" customFormat="1"/>
    <row r="87" s="70" customFormat="1"/>
    <row r="88" s="70" customFormat="1"/>
    <row r="89" s="70" customFormat="1"/>
    <row r="90" s="70" customFormat="1"/>
    <row r="91" s="70" customFormat="1"/>
    <row r="92" s="70" customFormat="1"/>
    <row r="93" s="70" customFormat="1"/>
    <row r="94" s="70" customFormat="1"/>
    <row r="95" s="70" customFormat="1"/>
    <row r="96" s="70" customFormat="1"/>
    <row r="97" s="70" customFormat="1"/>
    <row r="98" s="70" customFormat="1"/>
    <row r="99" s="70" customFormat="1"/>
    <row r="100" s="70" customFormat="1"/>
    <row r="101" s="70" customFormat="1"/>
    <row r="102" s="70" customFormat="1"/>
    <row r="103" s="70" customFormat="1"/>
    <row r="104" s="70" customFormat="1"/>
    <row r="105" s="70" customFormat="1"/>
  </sheetData>
  <conditionalFormatting sqref="AZ7:AZ66">
    <cfRule type="cellIs" dxfId="10" priority="8" operator="equal">
      <formula>"EXPLAIN"</formula>
    </cfRule>
  </conditionalFormatting>
  <conditionalFormatting sqref="AK7:AY16">
    <cfRule type="cellIs" dxfId="9" priority="6" operator="lessThan">
      <formula>$AZ$5*-1</formula>
    </cfRule>
    <cfRule type="cellIs" dxfId="8" priority="7" operator="greaterThan">
      <formula>$AZ$5</formula>
    </cfRule>
  </conditionalFormatting>
  <conditionalFormatting sqref="AK17:AY17">
    <cfRule type="cellIs" dxfId="7" priority="3" operator="lessThan">
      <formula>$AZ$5*-1</formula>
    </cfRule>
    <cfRule type="cellIs" dxfId="6" priority="4" operator="greaterThan">
      <formula>$AZ$5</formula>
    </cfRule>
  </conditionalFormatting>
  <conditionalFormatting sqref="AK18:AY66">
    <cfRule type="cellIs" dxfId="5" priority="1" operator="lessThan">
      <formula>$AZ$5*-1</formula>
    </cfRule>
    <cfRule type="cellIs" dxfId="4" priority="2" operator="greaterThan">
      <formula>$AZ$5</formula>
    </cfRule>
  </conditionalFormatting>
  <printOptions horizontalCentered="1" gridLines="1"/>
  <pageMargins left="0.15748031496062992" right="0.15748031496062992" top="0.39370078740157483" bottom="0.39370078740157483" header="0.11811023622047245" footer="0.11811023622047245"/>
  <pageSetup paperSize="9" scale="61" orientation="landscape" horizontalDpi="4294967293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2" manualBreakCount="2">
    <brk id="19" max="65" man="1"/>
    <brk id="3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39997558519241921"/>
    <pageSetUpPr autoPageBreaks="0"/>
  </sheetPr>
  <dimension ref="B1:BN105"/>
  <sheetViews>
    <sheetView zoomScale="80" zoomScaleNormal="80" zoomScaleSheetLayoutView="85" workbookViewId="0">
      <pane xSplit="3" ySplit="6" topLeftCell="D7" activePane="bottomRight" state="frozen"/>
      <selection pane="topRight"/>
      <selection pane="bottomLeft"/>
      <selection pane="bottomRight" activeCell="BA16" sqref="BA16"/>
    </sheetView>
  </sheetViews>
  <sheetFormatPr defaultRowHeight="12.75"/>
  <cols>
    <col min="1" max="1" width="1.85546875" style="87" customWidth="1"/>
    <col min="2" max="2" width="23.7109375" style="87" customWidth="1"/>
    <col min="3" max="3" width="51.7109375" style="87" customWidth="1"/>
    <col min="4" max="18" width="11.28515625" style="87" customWidth="1"/>
    <col min="19" max="19" width="9.140625" style="87"/>
    <col min="20" max="34" width="11.28515625" style="87" customWidth="1"/>
    <col min="35" max="35" width="9.140625" style="87"/>
    <col min="36" max="50" width="11.28515625" style="87" customWidth="1"/>
    <col min="51" max="51" width="9.140625" style="87"/>
    <col min="52" max="66" width="11.28515625" style="87" customWidth="1"/>
    <col min="67" max="16384" width="9.140625" style="87"/>
  </cols>
  <sheetData>
    <row r="1" spans="2:66" ht="15">
      <c r="B1" s="69" t="str">
        <f>"Tariff Approval - "&amp;Input!$E$3</f>
        <v>Tariff Approval - United Energy</v>
      </c>
      <c r="C1" s="276" t="s">
        <v>194</v>
      </c>
      <c r="D1" s="177"/>
      <c r="F1" s="177"/>
    </row>
    <row r="2" spans="2:66">
      <c r="D2" s="733"/>
    </row>
    <row r="3" spans="2:66">
      <c r="B3" s="99" t="str">
        <f>"TSS - updated indicative prices for "&amp;Input!$E$5&amp;"/"&amp;Input!$E$5+1</f>
        <v>TSS - updated indicative prices for 2022/2023</v>
      </c>
      <c r="C3" s="99"/>
    </row>
    <row r="4" spans="2:66">
      <c r="B4" s="99"/>
      <c r="C4" s="99"/>
    </row>
    <row r="5" spans="2:66" ht="13.5" thickBot="1">
      <c r="D5" s="391" t="str">
        <f>"TSS indicative tariffs for "&amp;Input!$E$5&amp;"/"&amp;Input!$E$5+1</f>
        <v>TSS indicative tariffs for 2022/2023</v>
      </c>
      <c r="E5" s="392"/>
      <c r="F5" s="392"/>
      <c r="G5" s="392"/>
      <c r="H5" s="84"/>
      <c r="N5" s="254"/>
      <c r="T5" s="391" t="str">
        <f>"TSS indicative tariffs for "&amp;Input!$E$5+1&amp;"/"&amp;Input!$E$5+2</f>
        <v>TSS indicative tariffs for 2023/2024</v>
      </c>
      <c r="U5" s="392"/>
      <c r="V5" s="392"/>
      <c r="W5" s="392"/>
      <c r="X5" s="84"/>
      <c r="AD5" s="254"/>
      <c r="AJ5" s="391" t="str">
        <f>"TSS indicative tariffs for "&amp;Input!$E$5+2&amp;"/"&amp;Input!$E$5+3</f>
        <v>TSS indicative tariffs for 2024/2025</v>
      </c>
      <c r="AK5" s="392"/>
      <c r="AL5" s="392"/>
      <c r="AM5" s="392"/>
      <c r="AN5" s="84"/>
      <c r="AT5" s="254"/>
      <c r="AZ5" s="391" t="str">
        <f>"TSS indicative tariffs for "&amp;Input!$E$5+3&amp;"/"&amp;Input!$E$5+4</f>
        <v>TSS indicative tariffs for 2025/2026</v>
      </c>
      <c r="BA5" s="392"/>
      <c r="BB5" s="392"/>
      <c r="BC5" s="392"/>
      <c r="BD5" s="84"/>
      <c r="BJ5" s="254"/>
    </row>
    <row r="6" spans="2:66">
      <c r="B6" s="100" t="s">
        <v>87</v>
      </c>
      <c r="C6" s="255" t="s">
        <v>88</v>
      </c>
      <c r="D6" s="101" t="str">
        <f>'Prop DUOS'!E6</f>
        <v>Fixed</v>
      </c>
      <c r="E6" s="102" t="str">
        <f>'Prop DUOS'!F6</f>
        <v>PkBlk1</v>
      </c>
      <c r="F6" s="102" t="str">
        <f>'Prop DUOS'!G6</f>
        <v>PkBlk2</v>
      </c>
      <c r="G6" s="102" t="str">
        <f>'Prop DUOS'!H6</f>
        <v>PkBlk3</v>
      </c>
      <c r="H6" s="102" t="str">
        <f>'Prop DUOS'!I6</f>
        <v>PkBlk4</v>
      </c>
      <c r="I6" s="102" t="str">
        <f>'Prop DUOS'!J6</f>
        <v>OPkBlk1</v>
      </c>
      <c r="J6" s="102" t="str">
        <f>'Prop DUOS'!K6</f>
        <v>OPkBlk2</v>
      </c>
      <c r="K6" s="102" t="str">
        <f>'Prop DUOS'!L6</f>
        <v>OPkBlk3</v>
      </c>
      <c r="L6" s="102" t="str">
        <f>'Prop DUOS'!M6</f>
        <v>OPkBlk4</v>
      </c>
      <c r="M6" s="102" t="str">
        <f>'Prop DUOS'!N6</f>
        <v>OPkBlk5</v>
      </c>
      <c r="N6" s="102" t="str">
        <f>'Prop DUOS'!O6</f>
        <v>DemBlk1</v>
      </c>
      <c r="O6" s="102" t="str">
        <f>'Prop DUOS'!P6</f>
        <v>DemBlk2</v>
      </c>
      <c r="P6" s="102" t="str">
        <f>'Prop DUOS'!Q6</f>
        <v>DemBlk3</v>
      </c>
      <c r="Q6" s="102" t="str">
        <f>'Prop DUOS'!R6</f>
        <v>DemBlk4</v>
      </c>
      <c r="R6" s="102" t="str">
        <f>'Prop DUOS'!S6</f>
        <v>DemBlk5</v>
      </c>
      <c r="T6" s="101" t="str">
        <f>'Prop DUOS'!U6</f>
        <v>Fixed</v>
      </c>
      <c r="U6" s="102" t="str">
        <f>'Prop DUOS'!V6</f>
        <v>PkBlk1</v>
      </c>
      <c r="V6" s="102" t="str">
        <f>'Prop DUOS'!W6</f>
        <v>PkBlk2</v>
      </c>
      <c r="W6" s="102" t="str">
        <f>'Prop DUOS'!X6</f>
        <v>PkBlk3</v>
      </c>
      <c r="X6" s="102" t="str">
        <f>'Prop DUOS'!Y6</f>
        <v>PkBlk4</v>
      </c>
      <c r="Y6" s="102" t="str">
        <f>'Prop DUOS'!Z6</f>
        <v>OPkBlk1</v>
      </c>
      <c r="Z6" s="102" t="str">
        <f>'Prop DUOS'!AA6</f>
        <v>OPkBlk2</v>
      </c>
      <c r="AA6" s="102" t="str">
        <f>'Prop DUOS'!AB6</f>
        <v>OPkBlk3</v>
      </c>
      <c r="AB6" s="102" t="str">
        <f>'Prop DUOS'!AC6</f>
        <v>OPkBlk4</v>
      </c>
      <c r="AC6" s="102" t="str">
        <f>'Prop DUOS'!AD6</f>
        <v>OPkBlk5</v>
      </c>
      <c r="AD6" s="102" t="str">
        <f>'Prop DUOS'!AE6</f>
        <v>DemBlk1</v>
      </c>
      <c r="AE6" s="102" t="str">
        <f>'Prop DUOS'!AF6</f>
        <v>DemBlk2</v>
      </c>
      <c r="AF6" s="102" t="str">
        <f>'Prop DUOS'!AG6</f>
        <v>DemBlk3</v>
      </c>
      <c r="AG6" s="102" t="str">
        <f>'Prop DUOS'!AH6</f>
        <v>DemBlk4</v>
      </c>
      <c r="AH6" s="102" t="str">
        <f>'Prop DUOS'!AI6</f>
        <v>DemBlk5</v>
      </c>
      <c r="AJ6" s="101" t="str">
        <f>'Prop DUOS'!AK6</f>
        <v>Fixed</v>
      </c>
      <c r="AK6" s="102" t="str">
        <f>'Prop DUOS'!AL6</f>
        <v>PkBlk1</v>
      </c>
      <c r="AL6" s="102" t="str">
        <f>'Prop DUOS'!AM6</f>
        <v>PkBlk2</v>
      </c>
      <c r="AM6" s="102" t="str">
        <f>'Prop DUOS'!AN6</f>
        <v>PkBlk3</v>
      </c>
      <c r="AN6" s="102" t="str">
        <f>'Prop DUOS'!AO6</f>
        <v>PkBlk4</v>
      </c>
      <c r="AO6" s="102" t="str">
        <f>'Prop DUOS'!AP6</f>
        <v>OPkBlk1</v>
      </c>
      <c r="AP6" s="102" t="str">
        <f>'Prop DUOS'!AQ6</f>
        <v>OPkBlk2</v>
      </c>
      <c r="AQ6" s="102" t="str">
        <f>'Prop DUOS'!AR6</f>
        <v>OPkBlk3</v>
      </c>
      <c r="AR6" s="102" t="str">
        <f>'Prop DUOS'!AS6</f>
        <v>OPkBlk4</v>
      </c>
      <c r="AS6" s="102" t="str">
        <f>'Prop DUOS'!AT6</f>
        <v>OPkBlk5</v>
      </c>
      <c r="AT6" s="102" t="str">
        <f>'Prop DUOS'!AU6</f>
        <v>DemBlk1</v>
      </c>
      <c r="AU6" s="102" t="str">
        <f>'Prop DUOS'!AV6</f>
        <v>DemBlk2</v>
      </c>
      <c r="AV6" s="102" t="str">
        <f>'Prop DUOS'!AW6</f>
        <v>DemBlk3</v>
      </c>
      <c r="AW6" s="102" t="str">
        <f>'Prop DUOS'!AX6</f>
        <v>DemBlk4</v>
      </c>
      <c r="AX6" s="102" t="str">
        <f>'Prop DUOS'!AY6</f>
        <v>DemBlk5</v>
      </c>
      <c r="AZ6" s="101" t="str">
        <f>'Prop DUOS'!BA6</f>
        <v>Fixed</v>
      </c>
      <c r="BA6" s="102" t="str">
        <f>'Prop DUOS'!BB6</f>
        <v>PkBlk1</v>
      </c>
      <c r="BB6" s="102" t="str">
        <f>'Prop DUOS'!BC6</f>
        <v>PkBlk2</v>
      </c>
      <c r="BC6" s="102" t="str">
        <f>'Prop DUOS'!BD6</f>
        <v>PkBlk3</v>
      </c>
      <c r="BD6" s="102" t="str">
        <f>'Prop DUOS'!BE6</f>
        <v>PkBlk4</v>
      </c>
      <c r="BE6" s="102" t="str">
        <f>'Prop DUOS'!BF6</f>
        <v>OPkBlk1</v>
      </c>
      <c r="BF6" s="102" t="str">
        <f>'Prop DUOS'!BG6</f>
        <v>OPkBlk2</v>
      </c>
      <c r="BG6" s="102" t="str">
        <f>'Prop DUOS'!BH6</f>
        <v>OPkBlk3</v>
      </c>
      <c r="BH6" s="102" t="str">
        <f>'Prop DUOS'!BI6</f>
        <v>OPkBlk4</v>
      </c>
      <c r="BI6" s="102" t="str">
        <f>'Prop DUOS'!BJ6</f>
        <v>OPkBlk5</v>
      </c>
      <c r="BJ6" s="102" t="str">
        <f>'Prop DUOS'!BK6</f>
        <v>DemBlk1</v>
      </c>
      <c r="BK6" s="102" t="str">
        <f>'Prop DUOS'!BL6</f>
        <v>DemBlk2</v>
      </c>
      <c r="BL6" s="102" t="str">
        <f>'Prop DUOS'!BM6</f>
        <v>DemBlk3</v>
      </c>
      <c r="BM6" s="102"/>
      <c r="BN6" s="102" t="str">
        <f>'Prop DUOS'!BO6</f>
        <v>DemBlk5</v>
      </c>
    </row>
    <row r="7" spans="2:66">
      <c r="B7" s="479" t="str">
        <f>IF('Indicative t'!B7="","",'Indicative t'!B7)</f>
        <v/>
      </c>
      <c r="C7" s="468" t="str">
        <f>IF('Prop DUOS'!B7="","",'Prop DUOS'!B7)</f>
        <v>Residential Single Rate</v>
      </c>
      <c r="D7" s="734">
        <v>21.92</v>
      </c>
      <c r="E7" s="735">
        <v>7.86</v>
      </c>
      <c r="F7" s="735">
        <v>0</v>
      </c>
      <c r="G7" s="735">
        <v>0</v>
      </c>
      <c r="H7" s="735">
        <v>0</v>
      </c>
      <c r="I7" s="735">
        <v>0</v>
      </c>
      <c r="J7" s="735">
        <v>0</v>
      </c>
      <c r="K7" s="735">
        <v>0</v>
      </c>
      <c r="L7" s="736">
        <v>0</v>
      </c>
      <c r="M7" s="735">
        <v>0</v>
      </c>
      <c r="N7" s="735">
        <v>0</v>
      </c>
      <c r="O7" s="735">
        <v>0</v>
      </c>
      <c r="P7" s="735">
        <v>0</v>
      </c>
      <c r="Q7" s="735">
        <v>0</v>
      </c>
      <c r="R7" s="735">
        <v>0</v>
      </c>
      <c r="S7" s="737"/>
      <c r="T7" s="734">
        <v>21.92</v>
      </c>
      <c r="U7" s="735">
        <v>8.01</v>
      </c>
      <c r="V7" s="735">
        <v>0</v>
      </c>
      <c r="W7" s="735">
        <v>0</v>
      </c>
      <c r="X7" s="735">
        <v>0</v>
      </c>
      <c r="Y7" s="735">
        <v>0</v>
      </c>
      <c r="Z7" s="735">
        <v>0</v>
      </c>
      <c r="AA7" s="735">
        <v>0</v>
      </c>
      <c r="AB7" s="736">
        <v>0</v>
      </c>
      <c r="AC7" s="735">
        <v>0</v>
      </c>
      <c r="AD7" s="735">
        <v>0</v>
      </c>
      <c r="AE7" s="735">
        <v>0</v>
      </c>
      <c r="AF7" s="735">
        <v>0</v>
      </c>
      <c r="AG7" s="735">
        <v>0</v>
      </c>
      <c r="AH7" s="735">
        <v>0</v>
      </c>
      <c r="AI7" s="737"/>
      <c r="AJ7" s="734">
        <v>21.92</v>
      </c>
      <c r="AK7" s="735">
        <v>7.57</v>
      </c>
      <c r="AL7" s="735">
        <v>0</v>
      </c>
      <c r="AM7" s="735">
        <v>0</v>
      </c>
      <c r="AN7" s="735">
        <v>0</v>
      </c>
      <c r="AO7" s="735">
        <v>0</v>
      </c>
      <c r="AP7" s="735">
        <v>0</v>
      </c>
      <c r="AQ7" s="735">
        <v>0</v>
      </c>
      <c r="AR7" s="736">
        <v>0</v>
      </c>
      <c r="AS7" s="735">
        <v>0</v>
      </c>
      <c r="AT7" s="735">
        <v>0</v>
      </c>
      <c r="AU7" s="735">
        <v>0</v>
      </c>
      <c r="AV7" s="735">
        <v>0</v>
      </c>
      <c r="AW7" s="735">
        <v>0</v>
      </c>
      <c r="AX7" s="735">
        <v>0</v>
      </c>
      <c r="AY7" s="737"/>
      <c r="AZ7" s="734">
        <v>21.92</v>
      </c>
      <c r="BA7" s="735">
        <v>7.52</v>
      </c>
      <c r="BB7" s="735">
        <v>0</v>
      </c>
      <c r="BC7" s="735">
        <v>0</v>
      </c>
      <c r="BD7" s="735">
        <v>0</v>
      </c>
      <c r="BE7" s="735">
        <v>0</v>
      </c>
      <c r="BF7" s="735">
        <v>0</v>
      </c>
      <c r="BG7" s="735">
        <v>0</v>
      </c>
      <c r="BH7" s="736">
        <v>0</v>
      </c>
      <c r="BI7" s="735">
        <v>0</v>
      </c>
      <c r="BJ7" s="735">
        <v>0</v>
      </c>
      <c r="BK7" s="735">
        <v>0</v>
      </c>
      <c r="BL7" s="735">
        <v>0</v>
      </c>
      <c r="BM7" s="735">
        <v>0</v>
      </c>
      <c r="BN7" s="735">
        <v>0</v>
      </c>
    </row>
    <row r="8" spans="2:66">
      <c r="B8" s="479" t="str">
        <f>IF('Indicative t'!B8="","",'Indicative t'!B8)</f>
        <v/>
      </c>
      <c r="C8" s="468" t="str">
        <f>IF('Prop DUOS'!B8="","",'Prop DUOS'!B8)</f>
        <v>Residential ToU</v>
      </c>
      <c r="D8" s="738">
        <v>21.92</v>
      </c>
      <c r="E8" s="739">
        <v>0</v>
      </c>
      <c r="F8" s="739">
        <v>15.54</v>
      </c>
      <c r="G8" s="739">
        <v>3.89</v>
      </c>
      <c r="H8" s="739">
        <v>0</v>
      </c>
      <c r="I8" s="739">
        <v>0</v>
      </c>
      <c r="J8" s="739">
        <v>0</v>
      </c>
      <c r="K8" s="739">
        <v>0</v>
      </c>
      <c r="L8" s="739">
        <v>0</v>
      </c>
      <c r="M8" s="739">
        <v>0</v>
      </c>
      <c r="N8" s="739">
        <v>0</v>
      </c>
      <c r="O8" s="739">
        <v>0</v>
      </c>
      <c r="P8" s="739">
        <v>0</v>
      </c>
      <c r="Q8" s="739">
        <v>0</v>
      </c>
      <c r="R8" s="739">
        <v>0</v>
      </c>
      <c r="S8" s="737"/>
      <c r="T8" s="738">
        <v>21.92</v>
      </c>
      <c r="U8" s="739">
        <v>0</v>
      </c>
      <c r="V8" s="739">
        <v>15.84</v>
      </c>
      <c r="W8" s="739">
        <v>3.96</v>
      </c>
      <c r="X8" s="739">
        <v>0</v>
      </c>
      <c r="Y8" s="739">
        <v>0</v>
      </c>
      <c r="Z8" s="739">
        <v>0</v>
      </c>
      <c r="AA8" s="739">
        <v>0</v>
      </c>
      <c r="AB8" s="739">
        <v>0</v>
      </c>
      <c r="AC8" s="739">
        <v>0</v>
      </c>
      <c r="AD8" s="739">
        <v>0</v>
      </c>
      <c r="AE8" s="739">
        <v>0</v>
      </c>
      <c r="AF8" s="739">
        <v>0</v>
      </c>
      <c r="AG8" s="739">
        <v>0</v>
      </c>
      <c r="AH8" s="739">
        <v>0</v>
      </c>
      <c r="AI8" s="737"/>
      <c r="AJ8" s="738">
        <v>21.92</v>
      </c>
      <c r="AK8" s="739">
        <v>0</v>
      </c>
      <c r="AL8" s="739">
        <v>14.98</v>
      </c>
      <c r="AM8" s="739">
        <v>3.74</v>
      </c>
      <c r="AN8" s="739">
        <v>0</v>
      </c>
      <c r="AO8" s="739">
        <v>0</v>
      </c>
      <c r="AP8" s="739">
        <v>0</v>
      </c>
      <c r="AQ8" s="739">
        <v>0</v>
      </c>
      <c r="AR8" s="739">
        <v>0</v>
      </c>
      <c r="AS8" s="739">
        <v>0</v>
      </c>
      <c r="AT8" s="739">
        <v>0</v>
      </c>
      <c r="AU8" s="739">
        <v>0</v>
      </c>
      <c r="AV8" s="739">
        <v>0</v>
      </c>
      <c r="AW8" s="739">
        <v>0</v>
      </c>
      <c r="AX8" s="739">
        <v>0</v>
      </c>
      <c r="AY8" s="737"/>
      <c r="AZ8" s="738">
        <v>21.92</v>
      </c>
      <c r="BA8" s="739">
        <v>0</v>
      </c>
      <c r="BB8" s="739">
        <v>14.87</v>
      </c>
      <c r="BC8" s="739">
        <v>3.71</v>
      </c>
      <c r="BD8" s="739">
        <v>0</v>
      </c>
      <c r="BE8" s="739">
        <v>0</v>
      </c>
      <c r="BF8" s="739">
        <v>0</v>
      </c>
      <c r="BG8" s="739">
        <v>0</v>
      </c>
      <c r="BH8" s="739">
        <v>0</v>
      </c>
      <c r="BI8" s="739">
        <v>0</v>
      </c>
      <c r="BJ8" s="739">
        <v>0</v>
      </c>
      <c r="BK8" s="739">
        <v>0</v>
      </c>
      <c r="BL8" s="739">
        <v>0</v>
      </c>
      <c r="BM8" s="739">
        <v>0</v>
      </c>
      <c r="BN8" s="739">
        <v>0</v>
      </c>
    </row>
    <row r="9" spans="2:66">
      <c r="B9" s="479" t="str">
        <f>IF('Indicative t'!B9="","",'Indicative t'!B9)</f>
        <v/>
      </c>
      <c r="C9" s="468" t="str">
        <f>IF('Prop DUOS'!B9="","",'Prop DUOS'!B9)</f>
        <v>Residential Demand</v>
      </c>
      <c r="D9" s="738">
        <v>21.92</v>
      </c>
      <c r="E9" s="739">
        <v>4</v>
      </c>
      <c r="F9" s="739">
        <v>0</v>
      </c>
      <c r="G9" s="739">
        <v>0</v>
      </c>
      <c r="H9" s="739">
        <v>0</v>
      </c>
      <c r="I9" s="739">
        <v>0</v>
      </c>
      <c r="J9" s="739">
        <v>0</v>
      </c>
      <c r="K9" s="739">
        <v>0</v>
      </c>
      <c r="L9" s="739">
        <v>0</v>
      </c>
      <c r="M9" s="739">
        <v>0</v>
      </c>
      <c r="N9" s="739">
        <v>0</v>
      </c>
      <c r="O9" s="739">
        <v>0</v>
      </c>
      <c r="P9" s="739">
        <v>31.09</v>
      </c>
      <c r="Q9" s="739">
        <v>10.61</v>
      </c>
      <c r="R9" s="739">
        <v>0</v>
      </c>
      <c r="S9" s="737"/>
      <c r="T9" s="738">
        <v>21.92</v>
      </c>
      <c r="U9" s="739">
        <v>4.08</v>
      </c>
      <c r="V9" s="739">
        <v>0</v>
      </c>
      <c r="W9" s="739">
        <v>0</v>
      </c>
      <c r="X9" s="739">
        <v>0</v>
      </c>
      <c r="Y9" s="739">
        <v>0</v>
      </c>
      <c r="Z9" s="739">
        <v>0</v>
      </c>
      <c r="AA9" s="739">
        <v>0</v>
      </c>
      <c r="AB9" s="739">
        <v>0</v>
      </c>
      <c r="AC9" s="739">
        <v>0</v>
      </c>
      <c r="AD9" s="739">
        <v>0</v>
      </c>
      <c r="AE9" s="739">
        <v>0</v>
      </c>
      <c r="AF9" s="739">
        <v>31.68</v>
      </c>
      <c r="AG9" s="739">
        <v>10.81</v>
      </c>
      <c r="AH9" s="739">
        <v>0</v>
      </c>
      <c r="AI9" s="737"/>
      <c r="AJ9" s="738">
        <v>21.92</v>
      </c>
      <c r="AK9" s="739">
        <v>3.86</v>
      </c>
      <c r="AL9" s="739">
        <v>0</v>
      </c>
      <c r="AM9" s="739">
        <v>0</v>
      </c>
      <c r="AN9" s="739">
        <v>0</v>
      </c>
      <c r="AO9" s="739">
        <v>0</v>
      </c>
      <c r="AP9" s="739">
        <v>0</v>
      </c>
      <c r="AQ9" s="739">
        <v>0</v>
      </c>
      <c r="AR9" s="739">
        <v>0</v>
      </c>
      <c r="AS9" s="739">
        <v>0</v>
      </c>
      <c r="AT9" s="739">
        <v>0</v>
      </c>
      <c r="AU9" s="739">
        <v>0</v>
      </c>
      <c r="AV9" s="739">
        <v>29.95</v>
      </c>
      <c r="AW9" s="739">
        <v>10.220000000000001</v>
      </c>
      <c r="AX9" s="739">
        <v>0</v>
      </c>
      <c r="AY9" s="737"/>
      <c r="AZ9" s="738">
        <v>21.92</v>
      </c>
      <c r="BA9" s="739">
        <v>3.83</v>
      </c>
      <c r="BB9" s="739">
        <v>0</v>
      </c>
      <c r="BC9" s="739">
        <v>0</v>
      </c>
      <c r="BD9" s="739">
        <v>0</v>
      </c>
      <c r="BE9" s="739">
        <v>0</v>
      </c>
      <c r="BF9" s="739">
        <v>0</v>
      </c>
      <c r="BG9" s="739">
        <v>0</v>
      </c>
      <c r="BH9" s="739">
        <v>0</v>
      </c>
      <c r="BI9" s="739">
        <v>0</v>
      </c>
      <c r="BJ9" s="739">
        <v>0</v>
      </c>
      <c r="BK9" s="739">
        <v>0</v>
      </c>
      <c r="BL9" s="739">
        <v>29.73</v>
      </c>
      <c r="BM9" s="739">
        <v>10.15</v>
      </c>
      <c r="BN9" s="739">
        <v>0</v>
      </c>
    </row>
    <row r="10" spans="2:66">
      <c r="B10" s="479" t="str">
        <f>IF('Indicative t'!B10="","",'Indicative t'!B10)</f>
        <v/>
      </c>
      <c r="C10" s="468" t="str">
        <f>IF('Prop DUOS'!B10="","",'Prop DUOS'!B10)</f>
        <v>Dedicated circuit</v>
      </c>
      <c r="D10" s="738">
        <v>0</v>
      </c>
      <c r="E10" s="739">
        <v>0</v>
      </c>
      <c r="F10" s="739">
        <v>0</v>
      </c>
      <c r="G10" s="739">
        <v>2.14</v>
      </c>
      <c r="H10" s="739">
        <v>0</v>
      </c>
      <c r="I10" s="739">
        <v>0</v>
      </c>
      <c r="J10" s="739">
        <v>0</v>
      </c>
      <c r="K10" s="739">
        <v>0</v>
      </c>
      <c r="L10" s="739">
        <v>0</v>
      </c>
      <c r="M10" s="739">
        <v>0</v>
      </c>
      <c r="N10" s="739">
        <v>0</v>
      </c>
      <c r="O10" s="739">
        <v>0</v>
      </c>
      <c r="P10" s="739">
        <v>0</v>
      </c>
      <c r="Q10" s="739">
        <v>0</v>
      </c>
      <c r="R10" s="739">
        <v>0</v>
      </c>
      <c r="S10" s="737"/>
      <c r="T10" s="738">
        <v>0</v>
      </c>
      <c r="U10" s="739">
        <v>0</v>
      </c>
      <c r="V10" s="739">
        <v>0</v>
      </c>
      <c r="W10" s="739">
        <v>2.1800000000000002</v>
      </c>
      <c r="X10" s="739">
        <v>0</v>
      </c>
      <c r="Y10" s="739">
        <v>0</v>
      </c>
      <c r="Z10" s="739">
        <v>0</v>
      </c>
      <c r="AA10" s="739">
        <v>0</v>
      </c>
      <c r="AB10" s="739">
        <v>0</v>
      </c>
      <c r="AC10" s="739">
        <v>0</v>
      </c>
      <c r="AD10" s="739">
        <v>0</v>
      </c>
      <c r="AE10" s="739">
        <v>0</v>
      </c>
      <c r="AF10" s="739">
        <v>0</v>
      </c>
      <c r="AG10" s="739">
        <v>0</v>
      </c>
      <c r="AH10" s="739">
        <v>0</v>
      </c>
      <c r="AI10" s="737"/>
      <c r="AJ10" s="738">
        <v>0</v>
      </c>
      <c r="AK10" s="739">
        <v>0</v>
      </c>
      <c r="AL10" s="739">
        <v>0</v>
      </c>
      <c r="AM10" s="739">
        <v>2.06</v>
      </c>
      <c r="AN10" s="739">
        <v>0</v>
      </c>
      <c r="AO10" s="739">
        <v>0</v>
      </c>
      <c r="AP10" s="739">
        <v>0</v>
      </c>
      <c r="AQ10" s="739">
        <v>0</v>
      </c>
      <c r="AR10" s="739">
        <v>0</v>
      </c>
      <c r="AS10" s="739">
        <v>0</v>
      </c>
      <c r="AT10" s="739">
        <v>0</v>
      </c>
      <c r="AU10" s="739">
        <v>0</v>
      </c>
      <c r="AV10" s="739">
        <v>0</v>
      </c>
      <c r="AW10" s="739">
        <v>0</v>
      </c>
      <c r="AX10" s="739">
        <v>0</v>
      </c>
      <c r="AY10" s="737"/>
      <c r="AZ10" s="738">
        <v>0</v>
      </c>
      <c r="BA10" s="739">
        <v>0</v>
      </c>
      <c r="BB10" s="739">
        <v>0</v>
      </c>
      <c r="BC10" s="739">
        <v>2.0499999999999998</v>
      </c>
      <c r="BD10" s="739">
        <v>0</v>
      </c>
      <c r="BE10" s="739">
        <v>0</v>
      </c>
      <c r="BF10" s="739">
        <v>0</v>
      </c>
      <c r="BG10" s="739">
        <v>0</v>
      </c>
      <c r="BH10" s="739">
        <v>0</v>
      </c>
      <c r="BI10" s="739">
        <v>0</v>
      </c>
      <c r="BJ10" s="739">
        <v>0</v>
      </c>
      <c r="BK10" s="739">
        <v>0</v>
      </c>
      <c r="BL10" s="739">
        <v>0</v>
      </c>
      <c r="BM10" s="739">
        <v>0</v>
      </c>
      <c r="BN10" s="739">
        <v>0</v>
      </c>
    </row>
    <row r="11" spans="2:66">
      <c r="B11" s="479" t="str">
        <f>IF('Indicative t'!B11="","",'Indicative t'!B11)</f>
        <v/>
      </c>
      <c r="C11" s="468" t="str">
        <f>IF('Prop DUOS'!B11="","",'Prop DUOS'!B11)</f>
        <v>Small Business Single Rate</v>
      </c>
      <c r="D11" s="738">
        <v>32.880000000000003</v>
      </c>
      <c r="E11" s="739">
        <v>8.65</v>
      </c>
      <c r="F11" s="739">
        <v>0</v>
      </c>
      <c r="G11" s="739">
        <v>0</v>
      </c>
      <c r="H11" s="739">
        <v>0</v>
      </c>
      <c r="I11" s="739">
        <v>0</v>
      </c>
      <c r="J11" s="739">
        <v>0</v>
      </c>
      <c r="K11" s="739">
        <v>0</v>
      </c>
      <c r="L11" s="739">
        <v>0</v>
      </c>
      <c r="M11" s="739">
        <v>0</v>
      </c>
      <c r="N11" s="739">
        <v>0</v>
      </c>
      <c r="O11" s="739">
        <v>0</v>
      </c>
      <c r="P11" s="739">
        <v>0</v>
      </c>
      <c r="Q11" s="739">
        <v>0</v>
      </c>
      <c r="R11" s="739">
        <v>0</v>
      </c>
      <c r="S11" s="737"/>
      <c r="T11" s="738">
        <v>32.880000000000003</v>
      </c>
      <c r="U11" s="739">
        <v>8.82</v>
      </c>
      <c r="V11" s="739">
        <v>0</v>
      </c>
      <c r="W11" s="739">
        <v>0</v>
      </c>
      <c r="X11" s="739">
        <v>0</v>
      </c>
      <c r="Y11" s="739">
        <v>0</v>
      </c>
      <c r="Z11" s="739">
        <v>0</v>
      </c>
      <c r="AA11" s="739">
        <v>0</v>
      </c>
      <c r="AB11" s="739">
        <v>0</v>
      </c>
      <c r="AC11" s="739">
        <v>0</v>
      </c>
      <c r="AD11" s="739">
        <v>0</v>
      </c>
      <c r="AE11" s="739">
        <v>0</v>
      </c>
      <c r="AF11" s="739">
        <v>0</v>
      </c>
      <c r="AG11" s="739">
        <v>0</v>
      </c>
      <c r="AH11" s="739">
        <v>0</v>
      </c>
      <c r="AI11" s="737"/>
      <c r="AJ11" s="738">
        <v>32.880000000000003</v>
      </c>
      <c r="AK11" s="739">
        <v>8.34</v>
      </c>
      <c r="AL11" s="739">
        <v>0</v>
      </c>
      <c r="AM11" s="739">
        <v>0</v>
      </c>
      <c r="AN11" s="739">
        <v>0</v>
      </c>
      <c r="AO11" s="739">
        <v>0</v>
      </c>
      <c r="AP11" s="739">
        <v>0</v>
      </c>
      <c r="AQ11" s="739">
        <v>0</v>
      </c>
      <c r="AR11" s="739">
        <v>0</v>
      </c>
      <c r="AS11" s="739">
        <v>0</v>
      </c>
      <c r="AT11" s="739">
        <v>0</v>
      </c>
      <c r="AU11" s="739">
        <v>0</v>
      </c>
      <c r="AV11" s="739">
        <v>0</v>
      </c>
      <c r="AW11" s="739">
        <v>0</v>
      </c>
      <c r="AX11" s="739">
        <v>0</v>
      </c>
      <c r="AY11" s="737"/>
      <c r="AZ11" s="738">
        <v>32.880000000000003</v>
      </c>
      <c r="BA11" s="739">
        <v>8.2799999999999994</v>
      </c>
      <c r="BB11" s="739">
        <v>0</v>
      </c>
      <c r="BC11" s="739">
        <v>0</v>
      </c>
      <c r="BD11" s="739">
        <v>0</v>
      </c>
      <c r="BE11" s="739">
        <v>0</v>
      </c>
      <c r="BF11" s="739">
        <v>0</v>
      </c>
      <c r="BG11" s="739">
        <v>0</v>
      </c>
      <c r="BH11" s="739">
        <v>0</v>
      </c>
      <c r="BI11" s="739">
        <v>0</v>
      </c>
      <c r="BJ11" s="739">
        <v>0</v>
      </c>
      <c r="BK11" s="739">
        <v>0</v>
      </c>
      <c r="BL11" s="739">
        <v>0</v>
      </c>
      <c r="BM11" s="739">
        <v>0</v>
      </c>
      <c r="BN11" s="739">
        <v>0</v>
      </c>
    </row>
    <row r="12" spans="2:66">
      <c r="B12" s="479" t="str">
        <f>IF('Indicative t'!B12="","",'Indicative t'!B12)</f>
        <v/>
      </c>
      <c r="C12" s="468" t="str">
        <f>IF('Prop DUOS'!B12="","",'Prop DUOS'!B12)</f>
        <v>Small Business ToU</v>
      </c>
      <c r="D12" s="738">
        <v>32.880000000000003</v>
      </c>
      <c r="E12" s="739">
        <v>0</v>
      </c>
      <c r="F12" s="739">
        <v>13.77</v>
      </c>
      <c r="G12" s="739">
        <v>3.06</v>
      </c>
      <c r="H12" s="739">
        <v>0</v>
      </c>
      <c r="I12" s="739">
        <v>0</v>
      </c>
      <c r="J12" s="739">
        <v>0</v>
      </c>
      <c r="K12" s="739">
        <v>0</v>
      </c>
      <c r="L12" s="739">
        <v>0</v>
      </c>
      <c r="M12" s="739">
        <v>0</v>
      </c>
      <c r="N12" s="739">
        <v>0</v>
      </c>
      <c r="O12" s="739">
        <v>0</v>
      </c>
      <c r="P12" s="739">
        <v>0</v>
      </c>
      <c r="Q12" s="739">
        <v>0</v>
      </c>
      <c r="R12" s="739">
        <v>0</v>
      </c>
      <c r="S12" s="737"/>
      <c r="T12" s="738">
        <v>32.880000000000003</v>
      </c>
      <c r="U12" s="739">
        <v>0</v>
      </c>
      <c r="V12" s="739">
        <v>14.03</v>
      </c>
      <c r="W12" s="739">
        <v>3.12</v>
      </c>
      <c r="X12" s="739">
        <v>0</v>
      </c>
      <c r="Y12" s="739">
        <v>0</v>
      </c>
      <c r="Z12" s="739">
        <v>0</v>
      </c>
      <c r="AA12" s="739">
        <v>0</v>
      </c>
      <c r="AB12" s="739">
        <v>0</v>
      </c>
      <c r="AC12" s="739">
        <v>0</v>
      </c>
      <c r="AD12" s="739">
        <v>0</v>
      </c>
      <c r="AE12" s="739">
        <v>0</v>
      </c>
      <c r="AF12" s="739">
        <v>0</v>
      </c>
      <c r="AG12" s="739">
        <v>0</v>
      </c>
      <c r="AH12" s="739">
        <v>0</v>
      </c>
      <c r="AI12" s="737"/>
      <c r="AJ12" s="738">
        <v>32.880000000000003</v>
      </c>
      <c r="AK12" s="739">
        <v>0</v>
      </c>
      <c r="AL12" s="739">
        <v>13.26</v>
      </c>
      <c r="AM12" s="739">
        <v>2.95</v>
      </c>
      <c r="AN12" s="739">
        <v>0</v>
      </c>
      <c r="AO12" s="739">
        <v>0</v>
      </c>
      <c r="AP12" s="739">
        <v>0</v>
      </c>
      <c r="AQ12" s="739">
        <v>0</v>
      </c>
      <c r="AR12" s="739">
        <v>0</v>
      </c>
      <c r="AS12" s="739">
        <v>0</v>
      </c>
      <c r="AT12" s="739">
        <v>0</v>
      </c>
      <c r="AU12" s="739">
        <v>0</v>
      </c>
      <c r="AV12" s="739">
        <v>0</v>
      </c>
      <c r="AW12" s="739">
        <v>0</v>
      </c>
      <c r="AX12" s="739">
        <v>0</v>
      </c>
      <c r="AY12" s="737"/>
      <c r="AZ12" s="738">
        <v>32.880000000000003</v>
      </c>
      <c r="BA12" s="739">
        <v>0</v>
      </c>
      <c r="BB12" s="739">
        <v>13.16</v>
      </c>
      <c r="BC12" s="739">
        <v>2.93</v>
      </c>
      <c r="BD12" s="739">
        <v>0</v>
      </c>
      <c r="BE12" s="739">
        <v>0</v>
      </c>
      <c r="BF12" s="739">
        <v>0</v>
      </c>
      <c r="BG12" s="739">
        <v>0</v>
      </c>
      <c r="BH12" s="739">
        <v>0</v>
      </c>
      <c r="BI12" s="739">
        <v>0</v>
      </c>
      <c r="BJ12" s="739">
        <v>0</v>
      </c>
      <c r="BK12" s="739">
        <v>0</v>
      </c>
      <c r="BL12" s="739">
        <v>0</v>
      </c>
      <c r="BM12" s="739">
        <v>0</v>
      </c>
      <c r="BN12" s="739">
        <v>0</v>
      </c>
    </row>
    <row r="13" spans="2:66">
      <c r="B13" s="479" t="str">
        <f>IF('Indicative t'!B13="","",'Indicative t'!B13)</f>
        <v/>
      </c>
      <c r="C13" s="468" t="str">
        <f>IF('Prop DUOS'!B13="","",'Prop DUOS'!B13)</f>
        <v>Small Business Demand</v>
      </c>
      <c r="D13" s="738">
        <v>32.880000000000003</v>
      </c>
      <c r="E13" s="739">
        <v>5.03</v>
      </c>
      <c r="F13" s="739">
        <v>0</v>
      </c>
      <c r="G13" s="739">
        <v>0</v>
      </c>
      <c r="H13" s="739">
        <v>0</v>
      </c>
      <c r="I13" s="739">
        <v>0</v>
      </c>
      <c r="J13" s="739">
        <v>0</v>
      </c>
      <c r="K13" s="739">
        <v>0</v>
      </c>
      <c r="L13" s="739">
        <v>0</v>
      </c>
      <c r="M13" s="739">
        <v>0</v>
      </c>
      <c r="N13" s="739">
        <v>0</v>
      </c>
      <c r="O13" s="739">
        <v>0</v>
      </c>
      <c r="P13" s="739">
        <v>55.42</v>
      </c>
      <c r="Q13" s="739">
        <v>21.79</v>
      </c>
      <c r="R13" s="739">
        <v>0</v>
      </c>
      <c r="S13" s="737"/>
      <c r="T13" s="738">
        <v>32.880000000000003</v>
      </c>
      <c r="U13" s="739">
        <v>5.13</v>
      </c>
      <c r="V13" s="739">
        <v>0</v>
      </c>
      <c r="W13" s="739">
        <v>0</v>
      </c>
      <c r="X13" s="739">
        <v>0</v>
      </c>
      <c r="Y13" s="739">
        <v>0</v>
      </c>
      <c r="Z13" s="739">
        <v>0</v>
      </c>
      <c r="AA13" s="739">
        <v>0</v>
      </c>
      <c r="AB13" s="739">
        <v>0</v>
      </c>
      <c r="AC13" s="739">
        <v>0</v>
      </c>
      <c r="AD13" s="739">
        <v>0</v>
      </c>
      <c r="AE13" s="739">
        <v>0</v>
      </c>
      <c r="AF13" s="739">
        <v>56.48</v>
      </c>
      <c r="AG13" s="739">
        <v>22.21</v>
      </c>
      <c r="AH13" s="739">
        <v>0</v>
      </c>
      <c r="AI13" s="737"/>
      <c r="AJ13" s="738">
        <v>32.880000000000003</v>
      </c>
      <c r="AK13" s="739">
        <v>4.8499999999999996</v>
      </c>
      <c r="AL13" s="739">
        <v>0</v>
      </c>
      <c r="AM13" s="739">
        <v>0</v>
      </c>
      <c r="AN13" s="739">
        <v>0</v>
      </c>
      <c r="AO13" s="739">
        <v>0</v>
      </c>
      <c r="AP13" s="739">
        <v>0</v>
      </c>
      <c r="AQ13" s="739">
        <v>0</v>
      </c>
      <c r="AR13" s="739">
        <v>0</v>
      </c>
      <c r="AS13" s="739">
        <v>0</v>
      </c>
      <c r="AT13" s="739">
        <v>0</v>
      </c>
      <c r="AU13" s="739">
        <v>0</v>
      </c>
      <c r="AV13" s="739">
        <v>53.4</v>
      </c>
      <c r="AW13" s="739">
        <v>21</v>
      </c>
      <c r="AX13" s="739">
        <v>0</v>
      </c>
      <c r="AY13" s="737"/>
      <c r="AZ13" s="738">
        <v>32.880000000000003</v>
      </c>
      <c r="BA13" s="739">
        <v>4.8099999999999996</v>
      </c>
      <c r="BB13" s="739">
        <v>0</v>
      </c>
      <c r="BC13" s="739">
        <v>0</v>
      </c>
      <c r="BD13" s="739">
        <v>0</v>
      </c>
      <c r="BE13" s="739">
        <v>0</v>
      </c>
      <c r="BF13" s="739">
        <v>0</v>
      </c>
      <c r="BG13" s="739">
        <v>0</v>
      </c>
      <c r="BH13" s="739">
        <v>0</v>
      </c>
      <c r="BI13" s="739">
        <v>0</v>
      </c>
      <c r="BJ13" s="739">
        <v>0</v>
      </c>
      <c r="BK13" s="739">
        <v>0</v>
      </c>
      <c r="BL13" s="739">
        <v>53.01</v>
      </c>
      <c r="BM13" s="739">
        <v>20.85</v>
      </c>
      <c r="BN13" s="739">
        <v>0</v>
      </c>
    </row>
    <row r="14" spans="2:66">
      <c r="B14" s="479" t="str">
        <f>IF('Indicative t'!B14="","",'Indicative t'!B14)</f>
        <v/>
      </c>
      <c r="C14" s="468" t="str">
        <f>IF('Prop DUOS'!B14="","",'Prop DUOS'!B14)</f>
        <v>Unmetered supplies</v>
      </c>
      <c r="D14" s="738">
        <v>0</v>
      </c>
      <c r="E14" s="739">
        <v>0</v>
      </c>
      <c r="F14" s="739">
        <v>13.24</v>
      </c>
      <c r="G14" s="739">
        <v>4.0599999999999996</v>
      </c>
      <c r="H14" s="739">
        <v>0</v>
      </c>
      <c r="I14" s="739">
        <v>0</v>
      </c>
      <c r="J14" s="739">
        <v>0</v>
      </c>
      <c r="K14" s="739">
        <v>0</v>
      </c>
      <c r="L14" s="739">
        <v>0</v>
      </c>
      <c r="M14" s="739">
        <v>0</v>
      </c>
      <c r="N14" s="739">
        <v>0</v>
      </c>
      <c r="O14" s="739">
        <v>0</v>
      </c>
      <c r="P14" s="739">
        <v>0</v>
      </c>
      <c r="Q14" s="739">
        <v>0</v>
      </c>
      <c r="R14" s="739">
        <v>0</v>
      </c>
      <c r="S14" s="737"/>
      <c r="T14" s="738">
        <v>0</v>
      </c>
      <c r="U14" s="739">
        <v>0</v>
      </c>
      <c r="V14" s="739">
        <v>13.49</v>
      </c>
      <c r="W14" s="739">
        <v>4.1399999999999997</v>
      </c>
      <c r="X14" s="739">
        <v>0</v>
      </c>
      <c r="Y14" s="739">
        <v>0</v>
      </c>
      <c r="Z14" s="739">
        <v>0</v>
      </c>
      <c r="AA14" s="739">
        <v>0</v>
      </c>
      <c r="AB14" s="739">
        <v>0</v>
      </c>
      <c r="AC14" s="739">
        <v>0</v>
      </c>
      <c r="AD14" s="739">
        <v>0</v>
      </c>
      <c r="AE14" s="739">
        <v>0</v>
      </c>
      <c r="AF14" s="739">
        <v>0</v>
      </c>
      <c r="AG14" s="739">
        <v>0</v>
      </c>
      <c r="AH14" s="739">
        <v>0</v>
      </c>
      <c r="AI14" s="737"/>
      <c r="AJ14" s="738">
        <v>0</v>
      </c>
      <c r="AK14" s="739">
        <v>0</v>
      </c>
      <c r="AL14" s="739">
        <v>12.75</v>
      </c>
      <c r="AM14" s="739">
        <v>3.91</v>
      </c>
      <c r="AN14" s="739">
        <v>0</v>
      </c>
      <c r="AO14" s="739">
        <v>0</v>
      </c>
      <c r="AP14" s="739">
        <v>0</v>
      </c>
      <c r="AQ14" s="739">
        <v>0</v>
      </c>
      <c r="AR14" s="739">
        <v>0</v>
      </c>
      <c r="AS14" s="739">
        <v>0</v>
      </c>
      <c r="AT14" s="739">
        <v>0</v>
      </c>
      <c r="AU14" s="739">
        <v>0</v>
      </c>
      <c r="AV14" s="739">
        <v>0</v>
      </c>
      <c r="AW14" s="739">
        <v>0</v>
      </c>
      <c r="AX14" s="739">
        <v>0</v>
      </c>
      <c r="AY14" s="737"/>
      <c r="AZ14" s="738">
        <v>0</v>
      </c>
      <c r="BA14" s="739">
        <v>0</v>
      </c>
      <c r="BB14" s="739">
        <v>12.66</v>
      </c>
      <c r="BC14" s="739">
        <v>3.88</v>
      </c>
      <c r="BD14" s="739">
        <v>0</v>
      </c>
      <c r="BE14" s="739">
        <v>0</v>
      </c>
      <c r="BF14" s="739">
        <v>0</v>
      </c>
      <c r="BG14" s="739">
        <v>0</v>
      </c>
      <c r="BH14" s="739">
        <v>0</v>
      </c>
      <c r="BI14" s="739">
        <v>0</v>
      </c>
      <c r="BJ14" s="739">
        <v>0</v>
      </c>
      <c r="BK14" s="739">
        <v>0</v>
      </c>
      <c r="BL14" s="739">
        <v>0</v>
      </c>
      <c r="BM14" s="739">
        <v>0</v>
      </c>
      <c r="BN14" s="739">
        <v>0</v>
      </c>
    </row>
    <row r="15" spans="2:66">
      <c r="B15" s="479" t="str">
        <f>IF('Indicative t'!B15="","",'Indicative t'!B15)</f>
        <v/>
      </c>
      <c r="C15" s="468" t="str">
        <f>IF('Prop DUOS'!B15="","",'Prop DUOS'!B15)</f>
        <v>Large low Voltage</v>
      </c>
      <c r="D15" s="738">
        <v>0</v>
      </c>
      <c r="E15" s="739">
        <v>0</v>
      </c>
      <c r="F15" s="739">
        <v>2.85</v>
      </c>
      <c r="G15" s="739">
        <v>1.38</v>
      </c>
      <c r="H15" s="739">
        <v>0</v>
      </c>
      <c r="I15" s="739">
        <v>0</v>
      </c>
      <c r="J15" s="739">
        <v>0</v>
      </c>
      <c r="K15" s="739">
        <v>0</v>
      </c>
      <c r="L15" s="739">
        <v>0</v>
      </c>
      <c r="M15" s="739">
        <v>0</v>
      </c>
      <c r="N15" s="739">
        <v>24.05</v>
      </c>
      <c r="O15" s="739">
        <v>27.88</v>
      </c>
      <c r="P15" s="739">
        <v>0</v>
      </c>
      <c r="Q15" s="739">
        <v>0</v>
      </c>
      <c r="R15" s="739">
        <v>0</v>
      </c>
      <c r="S15" s="737"/>
      <c r="T15" s="738">
        <v>0</v>
      </c>
      <c r="U15" s="739">
        <v>0</v>
      </c>
      <c r="V15" s="739">
        <v>2.9</v>
      </c>
      <c r="W15" s="739">
        <v>1.41</v>
      </c>
      <c r="X15" s="739">
        <v>0</v>
      </c>
      <c r="Y15" s="739">
        <v>0</v>
      </c>
      <c r="Z15" s="739">
        <v>0</v>
      </c>
      <c r="AA15" s="739">
        <v>0</v>
      </c>
      <c r="AB15" s="739">
        <v>0</v>
      </c>
      <c r="AC15" s="739">
        <v>0</v>
      </c>
      <c r="AD15" s="739">
        <v>24.51</v>
      </c>
      <c r="AE15" s="739">
        <v>28.41</v>
      </c>
      <c r="AF15" s="739">
        <v>0</v>
      </c>
      <c r="AG15" s="739">
        <v>0</v>
      </c>
      <c r="AH15" s="739">
        <v>0</v>
      </c>
      <c r="AI15" s="737"/>
      <c r="AJ15" s="738">
        <v>0</v>
      </c>
      <c r="AK15" s="739">
        <v>0</v>
      </c>
      <c r="AL15" s="739">
        <v>2.74</v>
      </c>
      <c r="AM15" s="739">
        <v>1.33</v>
      </c>
      <c r="AN15" s="739">
        <v>0</v>
      </c>
      <c r="AO15" s="739">
        <v>0</v>
      </c>
      <c r="AP15" s="739">
        <v>0</v>
      </c>
      <c r="AQ15" s="739">
        <v>0</v>
      </c>
      <c r="AR15" s="739">
        <v>0</v>
      </c>
      <c r="AS15" s="739">
        <v>0</v>
      </c>
      <c r="AT15" s="739">
        <v>23.17</v>
      </c>
      <c r="AU15" s="739">
        <v>26.86</v>
      </c>
      <c r="AV15" s="739">
        <v>0</v>
      </c>
      <c r="AW15" s="739">
        <v>0</v>
      </c>
      <c r="AX15" s="739">
        <v>0</v>
      </c>
      <c r="AY15" s="737"/>
      <c r="AZ15" s="738">
        <v>0</v>
      </c>
      <c r="BA15" s="739">
        <v>0</v>
      </c>
      <c r="BB15" s="739">
        <v>2.72</v>
      </c>
      <c r="BC15" s="739">
        <v>1.32</v>
      </c>
      <c r="BD15" s="739">
        <v>0</v>
      </c>
      <c r="BE15" s="739">
        <v>0</v>
      </c>
      <c r="BF15" s="739">
        <v>0</v>
      </c>
      <c r="BG15" s="739">
        <v>0</v>
      </c>
      <c r="BH15" s="739">
        <v>0</v>
      </c>
      <c r="BI15" s="739">
        <v>0</v>
      </c>
      <c r="BJ15" s="739">
        <v>23</v>
      </c>
      <c r="BK15" s="739">
        <v>26.66</v>
      </c>
      <c r="BL15" s="739">
        <v>0</v>
      </c>
      <c r="BM15" s="739">
        <v>0</v>
      </c>
      <c r="BN15" s="739">
        <v>0</v>
      </c>
    </row>
    <row r="16" spans="2:66">
      <c r="B16" s="479" t="str">
        <f>IF('Indicative t'!B16="","",'Indicative t'!B16)</f>
        <v/>
      </c>
      <c r="C16" s="468" t="str">
        <f>IF('Prop DUOS'!B16="","",'Prop DUOS'!B16)</f>
        <v>High voltage</v>
      </c>
      <c r="D16" s="738">
        <v>0</v>
      </c>
      <c r="E16" s="739">
        <v>0</v>
      </c>
      <c r="F16" s="739">
        <v>2.2200000000000002</v>
      </c>
      <c r="G16" s="739">
        <v>1.0900000000000001</v>
      </c>
      <c r="H16" s="739">
        <v>0</v>
      </c>
      <c r="I16" s="739">
        <v>0</v>
      </c>
      <c r="J16" s="739">
        <v>0</v>
      </c>
      <c r="K16" s="739">
        <v>0</v>
      </c>
      <c r="L16" s="739">
        <v>0</v>
      </c>
      <c r="M16" s="739">
        <v>0</v>
      </c>
      <c r="N16" s="739">
        <v>14.07</v>
      </c>
      <c r="O16" s="739">
        <v>17.61</v>
      </c>
      <c r="P16" s="739">
        <v>0</v>
      </c>
      <c r="Q16" s="739">
        <v>0</v>
      </c>
      <c r="R16" s="739">
        <v>0</v>
      </c>
      <c r="S16" s="737"/>
      <c r="T16" s="738">
        <v>0</v>
      </c>
      <c r="U16" s="739">
        <v>0</v>
      </c>
      <c r="V16" s="739">
        <v>2.2599999999999998</v>
      </c>
      <c r="W16" s="739">
        <v>1.1100000000000001</v>
      </c>
      <c r="X16" s="739">
        <v>0</v>
      </c>
      <c r="Y16" s="739">
        <v>0</v>
      </c>
      <c r="Z16" s="739">
        <v>0</v>
      </c>
      <c r="AA16" s="739">
        <v>0</v>
      </c>
      <c r="AB16" s="739">
        <v>0</v>
      </c>
      <c r="AC16" s="739">
        <v>0</v>
      </c>
      <c r="AD16" s="739">
        <v>14.34</v>
      </c>
      <c r="AE16" s="739">
        <v>17.95</v>
      </c>
      <c r="AF16" s="739">
        <v>0</v>
      </c>
      <c r="AG16" s="739">
        <v>0</v>
      </c>
      <c r="AH16" s="739">
        <v>0</v>
      </c>
      <c r="AI16" s="737"/>
      <c r="AJ16" s="738">
        <v>0</v>
      </c>
      <c r="AK16" s="739">
        <v>0</v>
      </c>
      <c r="AL16" s="739">
        <v>2.14</v>
      </c>
      <c r="AM16" s="739">
        <v>1.05</v>
      </c>
      <c r="AN16" s="739">
        <v>0</v>
      </c>
      <c r="AO16" s="739">
        <v>0</v>
      </c>
      <c r="AP16" s="739">
        <v>0</v>
      </c>
      <c r="AQ16" s="739">
        <v>0</v>
      </c>
      <c r="AR16" s="739">
        <v>0</v>
      </c>
      <c r="AS16" s="739">
        <v>0</v>
      </c>
      <c r="AT16" s="739">
        <v>13.56</v>
      </c>
      <c r="AU16" s="739">
        <v>16.97</v>
      </c>
      <c r="AV16" s="739">
        <v>0</v>
      </c>
      <c r="AW16" s="739">
        <v>0</v>
      </c>
      <c r="AX16" s="739">
        <v>0</v>
      </c>
      <c r="AY16" s="737"/>
      <c r="AZ16" s="738">
        <v>0</v>
      </c>
      <c r="BA16" s="739">
        <v>0</v>
      </c>
      <c r="BB16" s="739">
        <v>2.12</v>
      </c>
      <c r="BC16" s="739">
        <v>1.04</v>
      </c>
      <c r="BD16" s="739">
        <v>0</v>
      </c>
      <c r="BE16" s="739">
        <v>0</v>
      </c>
      <c r="BF16" s="739">
        <v>0</v>
      </c>
      <c r="BG16" s="739">
        <v>0</v>
      </c>
      <c r="BH16" s="739">
        <v>0</v>
      </c>
      <c r="BI16" s="739">
        <v>0</v>
      </c>
      <c r="BJ16" s="739">
        <v>13.46</v>
      </c>
      <c r="BK16" s="739">
        <v>16.850000000000001</v>
      </c>
      <c r="BL16" s="739">
        <v>0</v>
      </c>
      <c r="BM16" s="739">
        <v>0</v>
      </c>
      <c r="BN16" s="739">
        <v>0</v>
      </c>
    </row>
    <row r="17" spans="2:66">
      <c r="B17" s="479" t="str">
        <f>IF('Indicative t'!B17="","",'Indicative t'!B17)</f>
        <v/>
      </c>
      <c r="C17" s="468" t="str">
        <f>IF('Prop DUOS'!B17="","",'Prop DUOS'!B17)</f>
        <v>Subtransmission</v>
      </c>
      <c r="D17" s="738">
        <v>0</v>
      </c>
      <c r="E17" s="739">
        <v>0</v>
      </c>
      <c r="F17" s="739">
        <v>1.46</v>
      </c>
      <c r="G17" s="739">
        <v>0.74</v>
      </c>
      <c r="H17" s="739">
        <v>0</v>
      </c>
      <c r="I17" s="739">
        <v>0</v>
      </c>
      <c r="J17" s="739">
        <v>0</v>
      </c>
      <c r="K17" s="739">
        <v>0</v>
      </c>
      <c r="L17" s="739">
        <v>0</v>
      </c>
      <c r="M17" s="739">
        <v>0</v>
      </c>
      <c r="N17" s="739">
        <v>3.88</v>
      </c>
      <c r="O17" s="739">
        <v>10.62</v>
      </c>
      <c r="P17" s="739">
        <v>0</v>
      </c>
      <c r="Q17" s="739">
        <v>0</v>
      </c>
      <c r="R17" s="739">
        <v>0</v>
      </c>
      <c r="S17" s="737"/>
      <c r="T17" s="738">
        <v>0</v>
      </c>
      <c r="U17" s="739">
        <v>0</v>
      </c>
      <c r="V17" s="739">
        <v>1.49</v>
      </c>
      <c r="W17" s="739">
        <v>0.75</v>
      </c>
      <c r="X17" s="739">
        <v>0</v>
      </c>
      <c r="Y17" s="739">
        <v>0</v>
      </c>
      <c r="Z17" s="739">
        <v>0</v>
      </c>
      <c r="AA17" s="739">
        <v>0</v>
      </c>
      <c r="AB17" s="739">
        <v>0</v>
      </c>
      <c r="AC17" s="739">
        <v>0</v>
      </c>
      <c r="AD17" s="739">
        <v>3.95</v>
      </c>
      <c r="AE17" s="739">
        <v>10.82</v>
      </c>
      <c r="AF17" s="739">
        <v>0</v>
      </c>
      <c r="AG17" s="739">
        <v>0</v>
      </c>
      <c r="AH17" s="739">
        <v>0</v>
      </c>
      <c r="AI17" s="737"/>
      <c r="AJ17" s="738">
        <v>0</v>
      </c>
      <c r="AK17" s="739">
        <v>0</v>
      </c>
      <c r="AL17" s="739">
        <v>1.41</v>
      </c>
      <c r="AM17" s="739">
        <v>0.71</v>
      </c>
      <c r="AN17" s="739">
        <v>0</v>
      </c>
      <c r="AO17" s="739">
        <v>0</v>
      </c>
      <c r="AP17" s="739">
        <v>0</v>
      </c>
      <c r="AQ17" s="739">
        <v>0</v>
      </c>
      <c r="AR17" s="739">
        <v>0</v>
      </c>
      <c r="AS17" s="739">
        <v>0</v>
      </c>
      <c r="AT17" s="739">
        <v>3.73</v>
      </c>
      <c r="AU17" s="739">
        <v>10.23</v>
      </c>
      <c r="AV17" s="739">
        <v>0</v>
      </c>
      <c r="AW17" s="739">
        <v>0</v>
      </c>
      <c r="AX17" s="739">
        <v>0</v>
      </c>
      <c r="AY17" s="737"/>
      <c r="AZ17" s="738">
        <v>0</v>
      </c>
      <c r="BA17" s="739">
        <v>0</v>
      </c>
      <c r="BB17" s="739">
        <v>1.4</v>
      </c>
      <c r="BC17" s="739">
        <v>0.7</v>
      </c>
      <c r="BD17" s="739">
        <v>0</v>
      </c>
      <c r="BE17" s="739">
        <v>0</v>
      </c>
      <c r="BF17" s="739">
        <v>0</v>
      </c>
      <c r="BG17" s="739">
        <v>0</v>
      </c>
      <c r="BH17" s="739">
        <v>0</v>
      </c>
      <c r="BI17" s="739">
        <v>0</v>
      </c>
      <c r="BJ17" s="739">
        <v>3.7</v>
      </c>
      <c r="BK17" s="739">
        <v>10.16</v>
      </c>
      <c r="BL17" s="739">
        <v>0</v>
      </c>
      <c r="BM17" s="739">
        <v>0</v>
      </c>
      <c r="BN17" s="739">
        <v>0</v>
      </c>
    </row>
    <row r="18" spans="2:66">
      <c r="B18" s="479" t="str">
        <f>IF('Indicative t'!B18="","",'Indicative t'!B18)</f>
        <v/>
      </c>
      <c r="C18" s="468" t="str">
        <f>IF('Prop DUOS'!B18="","",'Prop DUOS'!B18)</f>
        <v/>
      </c>
      <c r="D18" s="260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T18" s="260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J18" s="260"/>
      <c r="AK18" s="243"/>
      <c r="AL18" s="243"/>
      <c r="AM18" s="243"/>
      <c r="AN18" s="243"/>
      <c r="AO18" s="243"/>
      <c r="AP18" s="243"/>
      <c r="AQ18" s="243"/>
      <c r="AR18" s="243"/>
      <c r="AS18" s="243"/>
      <c r="AT18" s="243"/>
      <c r="AU18" s="243"/>
      <c r="AV18" s="243"/>
      <c r="AW18" s="243"/>
      <c r="AX18" s="243"/>
      <c r="AZ18" s="260"/>
      <c r="BA18" s="243"/>
      <c r="BB18" s="243"/>
      <c r="BC18" s="243"/>
      <c r="BD18" s="243"/>
      <c r="BE18" s="243"/>
      <c r="BF18" s="243"/>
      <c r="BG18" s="243"/>
      <c r="BH18" s="243"/>
      <c r="BI18" s="243"/>
      <c r="BJ18" s="243"/>
      <c r="BK18" s="243"/>
      <c r="BL18" s="243"/>
      <c r="BM18" s="243"/>
      <c r="BN18" s="243"/>
    </row>
    <row r="19" spans="2:66">
      <c r="B19" s="479" t="str">
        <f>IF('Indicative t'!B19="","",'Indicative t'!B19)</f>
        <v/>
      </c>
      <c r="C19" s="468" t="str">
        <f>IF('Prop DUOS'!B19="","",'Prop DUOS'!B19)</f>
        <v/>
      </c>
      <c r="D19" s="260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T19" s="260"/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J19" s="260"/>
      <c r="AK19" s="243"/>
      <c r="AL19" s="243"/>
      <c r="AM19" s="243"/>
      <c r="AN19" s="243"/>
      <c r="AO19" s="243"/>
      <c r="AP19" s="243"/>
      <c r="AQ19" s="243"/>
      <c r="AR19" s="243"/>
      <c r="AS19" s="243"/>
      <c r="AT19" s="243"/>
      <c r="AU19" s="243"/>
      <c r="AV19" s="243"/>
      <c r="AW19" s="243"/>
      <c r="AX19" s="243"/>
      <c r="AZ19" s="260"/>
      <c r="BA19" s="243"/>
      <c r="BB19" s="243"/>
      <c r="BC19" s="243"/>
      <c r="BD19" s="243"/>
      <c r="BE19" s="243"/>
      <c r="BF19" s="243"/>
      <c r="BG19" s="243"/>
      <c r="BH19" s="243"/>
      <c r="BI19" s="243"/>
      <c r="BJ19" s="243"/>
      <c r="BK19" s="243"/>
      <c r="BL19" s="243"/>
      <c r="BM19" s="243"/>
      <c r="BN19" s="243"/>
    </row>
    <row r="20" spans="2:66">
      <c r="B20" s="479" t="str">
        <f>IF('Indicative t'!B20="","",'Indicative t'!B20)</f>
        <v/>
      </c>
      <c r="C20" s="468" t="str">
        <f>IF('Prop DUOS'!B20="","",'Prop DUOS'!B20)</f>
        <v/>
      </c>
      <c r="D20" s="260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T20" s="260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J20" s="260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Z20" s="260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</row>
    <row r="21" spans="2:66">
      <c r="B21" s="479" t="str">
        <f>IF('Indicative t'!B21="","",'Indicative t'!B21)</f>
        <v/>
      </c>
      <c r="C21" s="468" t="str">
        <f>IF('Prop DUOS'!B21="","",'Prop DUOS'!B21)</f>
        <v/>
      </c>
      <c r="D21" s="260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T21" s="260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J21" s="260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Z21" s="260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</row>
    <row r="22" spans="2:66">
      <c r="B22" s="479" t="str">
        <f>IF('Indicative t'!B22="","",'Indicative t'!B22)</f>
        <v/>
      </c>
      <c r="C22" s="468" t="str">
        <f>IF('Prop DUOS'!B22="","",'Prop DUOS'!B22)</f>
        <v/>
      </c>
      <c r="D22" s="260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T22" s="260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J22" s="260"/>
      <c r="AK22" s="243"/>
      <c r="AL22" s="243"/>
      <c r="AM22" s="243"/>
      <c r="AN22" s="243"/>
      <c r="AO22" s="243"/>
      <c r="AP22" s="243"/>
      <c r="AQ22" s="243"/>
      <c r="AR22" s="243"/>
      <c r="AS22" s="243"/>
      <c r="AT22" s="243"/>
      <c r="AU22" s="243"/>
      <c r="AV22" s="243"/>
      <c r="AW22" s="243"/>
      <c r="AX22" s="243"/>
      <c r="AZ22" s="260"/>
      <c r="BA22" s="243"/>
      <c r="BB22" s="243"/>
      <c r="BC22" s="243"/>
      <c r="BD22" s="243"/>
      <c r="BE22" s="243"/>
      <c r="BF22" s="243"/>
      <c r="BG22" s="243"/>
      <c r="BH22" s="243"/>
      <c r="BI22" s="243"/>
      <c r="BJ22" s="243"/>
      <c r="BK22" s="243"/>
      <c r="BL22" s="243"/>
      <c r="BM22" s="243"/>
      <c r="BN22" s="243"/>
    </row>
    <row r="23" spans="2:66">
      <c r="B23" s="479" t="str">
        <f>IF('Indicative t'!B23="","",'Indicative t'!B23)</f>
        <v/>
      </c>
      <c r="C23" s="468" t="str">
        <f>IF('Prop DUOS'!B23="","",'Prop DUOS'!B23)</f>
        <v/>
      </c>
      <c r="D23" s="260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T23" s="260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J23" s="260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Z23" s="260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43"/>
      <c r="BM23" s="243"/>
      <c r="BN23" s="243"/>
    </row>
    <row r="24" spans="2:66">
      <c r="B24" s="479" t="str">
        <f>IF('Indicative t'!B24="","",'Indicative t'!B24)</f>
        <v/>
      </c>
      <c r="C24" s="468" t="str">
        <f>IF('Prop DUOS'!B24="","",'Prop DUOS'!B24)</f>
        <v/>
      </c>
      <c r="D24" s="260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T24" s="260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J24" s="260"/>
      <c r="AK24" s="243"/>
      <c r="AL24" s="243"/>
      <c r="AM24" s="243"/>
      <c r="AN24" s="243"/>
      <c r="AO24" s="243"/>
      <c r="AP24" s="243"/>
      <c r="AQ24" s="243"/>
      <c r="AR24" s="243"/>
      <c r="AS24" s="243"/>
      <c r="AT24" s="243"/>
      <c r="AU24" s="243"/>
      <c r="AV24" s="243"/>
      <c r="AW24" s="243"/>
      <c r="AX24" s="243"/>
      <c r="AZ24" s="260"/>
      <c r="BA24" s="243"/>
      <c r="BB24" s="243"/>
      <c r="BC24" s="243"/>
      <c r="BD24" s="243"/>
      <c r="BE24" s="243"/>
      <c r="BF24" s="243"/>
      <c r="BG24" s="243"/>
      <c r="BH24" s="243"/>
      <c r="BI24" s="243"/>
      <c r="BJ24" s="243"/>
      <c r="BK24" s="243"/>
      <c r="BL24" s="243"/>
      <c r="BM24" s="243"/>
      <c r="BN24" s="243"/>
    </row>
    <row r="25" spans="2:66">
      <c r="B25" s="479" t="str">
        <f>IF('Indicative t'!B25="","",'Indicative t'!B25)</f>
        <v/>
      </c>
      <c r="C25" s="468" t="str">
        <f>IF('Prop DUOS'!B25="","",'Prop DUOS'!B25)</f>
        <v/>
      </c>
      <c r="D25" s="260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T25" s="260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J25" s="260"/>
      <c r="AK25" s="243"/>
      <c r="AL25" s="243"/>
      <c r="AM25" s="243"/>
      <c r="AN25" s="243"/>
      <c r="AO25" s="243"/>
      <c r="AP25" s="243"/>
      <c r="AQ25" s="243"/>
      <c r="AR25" s="243"/>
      <c r="AS25" s="243"/>
      <c r="AT25" s="243"/>
      <c r="AU25" s="243"/>
      <c r="AV25" s="243"/>
      <c r="AW25" s="243"/>
      <c r="AX25" s="243"/>
      <c r="AZ25" s="260"/>
      <c r="BA25" s="243"/>
      <c r="BB25" s="243"/>
      <c r="BC25" s="243"/>
      <c r="BD25" s="243"/>
      <c r="BE25" s="243"/>
      <c r="BF25" s="243"/>
      <c r="BG25" s="243"/>
      <c r="BH25" s="243"/>
      <c r="BI25" s="243"/>
      <c r="BJ25" s="243"/>
      <c r="BK25" s="243"/>
      <c r="BL25" s="243"/>
      <c r="BM25" s="243"/>
      <c r="BN25" s="243"/>
    </row>
    <row r="26" spans="2:66">
      <c r="B26" s="479" t="str">
        <f>IF('Indicative t'!B26="","",'Indicative t'!B26)</f>
        <v/>
      </c>
      <c r="C26" s="468" t="str">
        <f>IF('Prop DUOS'!B26="","",'Prop DUOS'!B26)</f>
        <v/>
      </c>
      <c r="D26" s="260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T26" s="260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J26" s="260"/>
      <c r="AK26" s="243"/>
      <c r="AL26" s="243"/>
      <c r="AM26" s="243"/>
      <c r="AN26" s="243"/>
      <c r="AO26" s="243"/>
      <c r="AP26" s="243"/>
      <c r="AQ26" s="243"/>
      <c r="AR26" s="243"/>
      <c r="AS26" s="243"/>
      <c r="AT26" s="243"/>
      <c r="AU26" s="243"/>
      <c r="AV26" s="243"/>
      <c r="AW26" s="243"/>
      <c r="AX26" s="243"/>
      <c r="AZ26" s="260"/>
      <c r="BA26" s="243"/>
      <c r="BB26" s="243"/>
      <c r="BC26" s="243"/>
      <c r="BD26" s="243"/>
      <c r="BE26" s="243"/>
      <c r="BF26" s="243"/>
      <c r="BG26" s="243"/>
      <c r="BH26" s="243"/>
      <c r="BI26" s="243"/>
      <c r="BJ26" s="243"/>
      <c r="BK26" s="243"/>
      <c r="BL26" s="243"/>
      <c r="BM26" s="243"/>
      <c r="BN26" s="243"/>
    </row>
    <row r="27" spans="2:66">
      <c r="B27" s="479" t="str">
        <f>IF('Indicative t'!B27="","",'Indicative t'!B27)</f>
        <v/>
      </c>
      <c r="C27" s="468" t="str">
        <f>IF('Prop DUOS'!B27="","",'Prop DUOS'!B27)</f>
        <v/>
      </c>
      <c r="D27" s="260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T27" s="26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J27" s="260"/>
      <c r="AK27" s="243"/>
      <c r="AL27" s="243"/>
      <c r="AM27" s="243"/>
      <c r="AN27" s="243"/>
      <c r="AO27" s="243"/>
      <c r="AP27" s="243"/>
      <c r="AQ27" s="243"/>
      <c r="AR27" s="243"/>
      <c r="AS27" s="243"/>
      <c r="AT27" s="243"/>
      <c r="AU27" s="243"/>
      <c r="AV27" s="243"/>
      <c r="AW27" s="243"/>
      <c r="AX27" s="243"/>
      <c r="AZ27" s="260"/>
      <c r="BA27" s="243"/>
      <c r="BB27" s="243"/>
      <c r="BC27" s="243"/>
      <c r="BD27" s="243"/>
      <c r="BE27" s="243"/>
      <c r="BF27" s="243"/>
      <c r="BG27" s="243"/>
      <c r="BH27" s="243"/>
      <c r="BI27" s="243"/>
      <c r="BJ27" s="243"/>
      <c r="BK27" s="243"/>
      <c r="BL27" s="243"/>
      <c r="BM27" s="243"/>
      <c r="BN27" s="243"/>
    </row>
    <row r="28" spans="2:66">
      <c r="B28" s="479" t="str">
        <f>IF('Indicative t'!B28="","",'Indicative t'!B28)</f>
        <v/>
      </c>
      <c r="C28" s="468" t="str">
        <f>IF('Prop DUOS'!B28="","",'Prop DUOS'!B28)</f>
        <v/>
      </c>
      <c r="D28" s="260"/>
      <c r="E28" s="243"/>
      <c r="F28" s="243"/>
      <c r="G28" s="243"/>
      <c r="H28" s="243"/>
      <c r="I28" s="243"/>
      <c r="J28" s="243"/>
      <c r="K28" s="243"/>
      <c r="L28" s="243"/>
      <c r="M28" s="243"/>
      <c r="N28" s="243"/>
      <c r="O28" s="243"/>
      <c r="P28" s="243"/>
      <c r="Q28" s="243"/>
      <c r="R28" s="243"/>
      <c r="T28" s="26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J28" s="260"/>
      <c r="AK28" s="243"/>
      <c r="AL28" s="243"/>
      <c r="AM28" s="243"/>
      <c r="AN28" s="243"/>
      <c r="AO28" s="243"/>
      <c r="AP28" s="243"/>
      <c r="AQ28" s="243"/>
      <c r="AR28" s="243"/>
      <c r="AS28" s="243"/>
      <c r="AT28" s="243"/>
      <c r="AU28" s="243"/>
      <c r="AV28" s="243"/>
      <c r="AW28" s="243"/>
      <c r="AX28" s="243"/>
      <c r="AZ28" s="260"/>
      <c r="BA28" s="243"/>
      <c r="BB28" s="243"/>
      <c r="BC28" s="243"/>
      <c r="BD28" s="243"/>
      <c r="BE28" s="243"/>
      <c r="BF28" s="243"/>
      <c r="BG28" s="243"/>
      <c r="BH28" s="243"/>
      <c r="BI28" s="243"/>
      <c r="BJ28" s="243"/>
      <c r="BK28" s="243"/>
      <c r="BL28" s="243"/>
      <c r="BM28" s="243"/>
      <c r="BN28" s="243"/>
    </row>
    <row r="29" spans="2:66">
      <c r="B29" s="479" t="str">
        <f>IF('Indicative t'!B29="","",'Indicative t'!B29)</f>
        <v/>
      </c>
      <c r="C29" s="468" t="str">
        <f>IF('Prop DUOS'!B29="","",'Prop DUOS'!B29)</f>
        <v/>
      </c>
      <c r="D29" s="260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T29" s="26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J29" s="260"/>
      <c r="AK29" s="243"/>
      <c r="AL29" s="243"/>
      <c r="AM29" s="243"/>
      <c r="AN29" s="243"/>
      <c r="AO29" s="243"/>
      <c r="AP29" s="243"/>
      <c r="AQ29" s="243"/>
      <c r="AR29" s="243"/>
      <c r="AS29" s="243"/>
      <c r="AT29" s="243"/>
      <c r="AU29" s="243"/>
      <c r="AV29" s="243"/>
      <c r="AW29" s="243"/>
      <c r="AX29" s="243"/>
      <c r="AZ29" s="260"/>
      <c r="BA29" s="243"/>
      <c r="BB29" s="243"/>
      <c r="BC29" s="243"/>
      <c r="BD29" s="243"/>
      <c r="BE29" s="243"/>
      <c r="BF29" s="243"/>
      <c r="BG29" s="243"/>
      <c r="BH29" s="243"/>
      <c r="BI29" s="243"/>
      <c r="BJ29" s="243"/>
      <c r="BK29" s="243"/>
      <c r="BL29" s="243"/>
      <c r="BM29" s="243"/>
      <c r="BN29" s="243"/>
    </row>
    <row r="30" spans="2:66">
      <c r="B30" s="479" t="str">
        <f>IF('Indicative t'!B30="","",'Indicative t'!B30)</f>
        <v/>
      </c>
      <c r="C30" s="468" t="str">
        <f>IF('Prop DUOS'!B30="","",'Prop DUOS'!B30)</f>
        <v/>
      </c>
      <c r="D30" s="260"/>
      <c r="E30" s="243"/>
      <c r="F30" s="243"/>
      <c r="G30" s="243"/>
      <c r="H30" s="243"/>
      <c r="I30" s="243"/>
      <c r="J30" s="243"/>
      <c r="K30" s="243"/>
      <c r="L30" s="243"/>
      <c r="M30" s="243"/>
      <c r="N30" s="243"/>
      <c r="O30" s="243"/>
      <c r="P30" s="243"/>
      <c r="Q30" s="243"/>
      <c r="R30" s="243"/>
      <c r="T30" s="26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J30" s="260"/>
      <c r="AK30" s="243"/>
      <c r="AL30" s="243"/>
      <c r="AM30" s="243"/>
      <c r="AN30" s="243"/>
      <c r="AO30" s="243"/>
      <c r="AP30" s="243"/>
      <c r="AQ30" s="243"/>
      <c r="AR30" s="243"/>
      <c r="AS30" s="243"/>
      <c r="AT30" s="243"/>
      <c r="AU30" s="243"/>
      <c r="AV30" s="243"/>
      <c r="AW30" s="243"/>
      <c r="AX30" s="243"/>
      <c r="AZ30" s="260"/>
      <c r="BA30" s="243"/>
      <c r="BB30" s="243"/>
      <c r="BC30" s="243"/>
      <c r="BD30" s="243"/>
      <c r="BE30" s="243"/>
      <c r="BF30" s="243"/>
      <c r="BG30" s="243"/>
      <c r="BH30" s="243"/>
      <c r="BI30" s="243"/>
      <c r="BJ30" s="243"/>
      <c r="BK30" s="243"/>
      <c r="BL30" s="243"/>
      <c r="BM30" s="243"/>
      <c r="BN30" s="243"/>
    </row>
    <row r="31" spans="2:66">
      <c r="B31" s="479" t="str">
        <f>IF('Indicative t'!B31="","",'Indicative t'!B31)</f>
        <v/>
      </c>
      <c r="C31" s="468" t="str">
        <f>IF('Prop DUOS'!B31="","",'Prop DUOS'!B31)</f>
        <v/>
      </c>
      <c r="D31" s="260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T31" s="26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J31" s="260"/>
      <c r="AK31" s="243"/>
      <c r="AL31" s="243"/>
      <c r="AM31" s="243"/>
      <c r="AN31" s="243"/>
      <c r="AO31" s="243"/>
      <c r="AP31" s="243"/>
      <c r="AQ31" s="243"/>
      <c r="AR31" s="243"/>
      <c r="AS31" s="243"/>
      <c r="AT31" s="243"/>
      <c r="AU31" s="243"/>
      <c r="AV31" s="243"/>
      <c r="AW31" s="243"/>
      <c r="AX31" s="243"/>
      <c r="AZ31" s="260"/>
      <c r="BA31" s="243"/>
      <c r="BB31" s="243"/>
      <c r="BC31" s="243"/>
      <c r="BD31" s="243"/>
      <c r="BE31" s="243"/>
      <c r="BF31" s="243"/>
      <c r="BG31" s="243"/>
      <c r="BH31" s="243"/>
      <c r="BI31" s="243"/>
      <c r="BJ31" s="243"/>
      <c r="BK31" s="243"/>
      <c r="BL31" s="243"/>
      <c r="BM31" s="243"/>
      <c r="BN31" s="243"/>
    </row>
    <row r="32" spans="2:66">
      <c r="B32" s="479" t="str">
        <f>IF('Indicative t'!B32="","",'Indicative t'!B32)</f>
        <v/>
      </c>
      <c r="C32" s="468" t="str">
        <f>IF('Prop DUOS'!B32="","",'Prop DUOS'!B32)</f>
        <v/>
      </c>
      <c r="D32" s="260"/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T32" s="26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J32" s="260"/>
      <c r="AK32" s="243"/>
      <c r="AL32" s="243"/>
      <c r="AM32" s="243"/>
      <c r="AN32" s="243"/>
      <c r="AO32" s="243"/>
      <c r="AP32" s="243"/>
      <c r="AQ32" s="243"/>
      <c r="AR32" s="243"/>
      <c r="AS32" s="243"/>
      <c r="AT32" s="243"/>
      <c r="AU32" s="243"/>
      <c r="AV32" s="243"/>
      <c r="AW32" s="243"/>
      <c r="AX32" s="243"/>
      <c r="AZ32" s="260"/>
      <c r="BA32" s="243"/>
      <c r="BB32" s="243"/>
      <c r="BC32" s="243"/>
      <c r="BD32" s="243"/>
      <c r="BE32" s="243"/>
      <c r="BF32" s="243"/>
      <c r="BG32" s="243"/>
      <c r="BH32" s="243"/>
      <c r="BI32" s="243"/>
      <c r="BJ32" s="243"/>
      <c r="BK32" s="243"/>
      <c r="BL32" s="243"/>
      <c r="BM32" s="243"/>
      <c r="BN32" s="243"/>
    </row>
    <row r="33" spans="2:66">
      <c r="B33" s="479" t="str">
        <f>IF('Indicative t'!B33="","",'Indicative t'!B33)</f>
        <v/>
      </c>
      <c r="C33" s="468" t="str">
        <f>IF('Prop DUOS'!B33="","",'Prop DUOS'!B33)</f>
        <v/>
      </c>
      <c r="D33" s="260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T33" s="26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J33" s="260"/>
      <c r="AK33" s="243"/>
      <c r="AL33" s="243"/>
      <c r="AM33" s="243"/>
      <c r="AN33" s="243"/>
      <c r="AO33" s="243"/>
      <c r="AP33" s="243"/>
      <c r="AQ33" s="243"/>
      <c r="AR33" s="243"/>
      <c r="AS33" s="243"/>
      <c r="AT33" s="243"/>
      <c r="AU33" s="243"/>
      <c r="AV33" s="243"/>
      <c r="AW33" s="243"/>
      <c r="AX33" s="243"/>
      <c r="AZ33" s="260"/>
      <c r="BA33" s="243"/>
      <c r="BB33" s="243"/>
      <c r="BC33" s="243"/>
      <c r="BD33" s="243"/>
      <c r="BE33" s="243"/>
      <c r="BF33" s="243"/>
      <c r="BG33" s="243"/>
      <c r="BH33" s="243"/>
      <c r="BI33" s="243"/>
      <c r="BJ33" s="243"/>
      <c r="BK33" s="243"/>
      <c r="BL33" s="243"/>
      <c r="BM33" s="243"/>
      <c r="BN33" s="243"/>
    </row>
    <row r="34" spans="2:66">
      <c r="B34" s="479" t="str">
        <f>IF('Indicative t'!B34="","",'Indicative t'!B34)</f>
        <v/>
      </c>
      <c r="C34" s="468" t="str">
        <f>IF('Prop DUOS'!B34="","",'Prop DUOS'!B34)</f>
        <v/>
      </c>
      <c r="D34" s="260"/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T34" s="26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J34" s="260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Z34" s="260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</row>
    <row r="35" spans="2:66">
      <c r="B35" s="479" t="str">
        <f>IF('Indicative t'!B35="","",'Indicative t'!B35)</f>
        <v/>
      </c>
      <c r="C35" s="468" t="str">
        <f>IF('Prop DUOS'!B35="","",'Prop DUOS'!B35)</f>
        <v/>
      </c>
      <c r="D35" s="260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T35" s="26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J35" s="260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  <c r="AV35" s="243"/>
      <c r="AW35" s="243"/>
      <c r="AX35" s="243"/>
      <c r="AZ35" s="260"/>
      <c r="BA35" s="243"/>
      <c r="BB35" s="243"/>
      <c r="BC35" s="243"/>
      <c r="BD35" s="243"/>
      <c r="BE35" s="243"/>
      <c r="BF35" s="243"/>
      <c r="BG35" s="243"/>
      <c r="BH35" s="243"/>
      <c r="BI35" s="243"/>
      <c r="BJ35" s="243"/>
      <c r="BK35" s="243"/>
      <c r="BL35" s="243"/>
      <c r="BM35" s="243"/>
      <c r="BN35" s="243"/>
    </row>
    <row r="36" spans="2:66">
      <c r="B36" s="479" t="str">
        <f>IF('Indicative t'!B36="","",'Indicative t'!B36)</f>
        <v/>
      </c>
      <c r="C36" s="468" t="str">
        <f>IF('Prop DUOS'!B36="","",'Prop DUOS'!B36)</f>
        <v/>
      </c>
      <c r="D36" s="260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T36" s="26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J36" s="260"/>
      <c r="AK36" s="243"/>
      <c r="AL36" s="243"/>
      <c r="AM36" s="243"/>
      <c r="AN36" s="243"/>
      <c r="AO36" s="243"/>
      <c r="AP36" s="243"/>
      <c r="AQ36" s="243"/>
      <c r="AR36" s="243"/>
      <c r="AS36" s="243"/>
      <c r="AT36" s="243"/>
      <c r="AU36" s="243"/>
      <c r="AV36" s="243"/>
      <c r="AW36" s="243"/>
      <c r="AX36" s="243"/>
      <c r="AZ36" s="260"/>
      <c r="BA36" s="243"/>
      <c r="BB36" s="243"/>
      <c r="BC36" s="243"/>
      <c r="BD36" s="243"/>
      <c r="BE36" s="243"/>
      <c r="BF36" s="243"/>
      <c r="BG36" s="243"/>
      <c r="BH36" s="243"/>
      <c r="BI36" s="243"/>
      <c r="BJ36" s="243"/>
      <c r="BK36" s="243"/>
      <c r="BL36" s="243"/>
      <c r="BM36" s="243"/>
      <c r="BN36" s="243"/>
    </row>
    <row r="37" spans="2:66">
      <c r="B37" s="479" t="str">
        <f>IF('Indicative t'!B37="","",'Indicative t'!B37)</f>
        <v/>
      </c>
      <c r="C37" s="468" t="str">
        <f>IF('Prop DUOS'!B37="","",'Prop DUOS'!B37)</f>
        <v/>
      </c>
      <c r="D37" s="260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T37" s="26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J37" s="260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Z37" s="260"/>
      <c r="BA37" s="243"/>
      <c r="BB37" s="243"/>
      <c r="BC37" s="243"/>
      <c r="BD37" s="243"/>
      <c r="BE37" s="243"/>
      <c r="BF37" s="243"/>
      <c r="BG37" s="243"/>
      <c r="BH37" s="243"/>
      <c r="BI37" s="243"/>
      <c r="BJ37" s="243"/>
      <c r="BK37" s="243"/>
      <c r="BL37" s="243"/>
      <c r="BM37" s="243"/>
      <c r="BN37" s="243"/>
    </row>
    <row r="38" spans="2:66">
      <c r="B38" s="479" t="str">
        <f>IF('Indicative t'!B38="","",'Indicative t'!B38)</f>
        <v/>
      </c>
      <c r="C38" s="468" t="str">
        <f>IF('Prop DUOS'!B38="","",'Prop DUOS'!B38)</f>
        <v/>
      </c>
      <c r="D38" s="260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T38" s="260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J38" s="260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Z38" s="260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</row>
    <row r="39" spans="2:66">
      <c r="B39" s="479" t="str">
        <f>IF('Indicative t'!B39="","",'Indicative t'!B39)</f>
        <v/>
      </c>
      <c r="C39" s="468" t="str">
        <f>IF('Prop DUOS'!B39="","",'Prop DUOS'!B39)</f>
        <v/>
      </c>
      <c r="D39" s="260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T39" s="260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J39" s="260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Z39" s="260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</row>
    <row r="40" spans="2:66">
      <c r="B40" s="479" t="str">
        <f>IF('Indicative t'!B40="","",'Indicative t'!B40)</f>
        <v/>
      </c>
      <c r="C40" s="468" t="str">
        <f>IF('Prop DUOS'!B40="","",'Prop DUOS'!B40)</f>
        <v/>
      </c>
      <c r="D40" s="260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T40" s="260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J40" s="260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Z40" s="260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</row>
    <row r="41" spans="2:66">
      <c r="B41" s="479" t="str">
        <f>IF('Indicative t'!B41="","",'Indicative t'!B41)</f>
        <v/>
      </c>
      <c r="C41" s="468" t="str">
        <f>IF('Prop DUOS'!B41="","",'Prop DUOS'!B41)</f>
        <v/>
      </c>
      <c r="D41" s="260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T41" s="260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J41" s="260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Z41" s="260"/>
      <c r="BA41" s="243"/>
      <c r="BB41" s="243"/>
      <c r="BC41" s="243"/>
      <c r="BD41" s="243"/>
      <c r="BE41" s="243"/>
      <c r="BF41" s="243"/>
      <c r="BG41" s="243"/>
      <c r="BH41" s="243"/>
      <c r="BI41" s="243"/>
      <c r="BJ41" s="243"/>
      <c r="BK41" s="243"/>
      <c r="BL41" s="243"/>
      <c r="BM41" s="243"/>
      <c r="BN41" s="243"/>
    </row>
    <row r="42" spans="2:66">
      <c r="B42" s="479" t="str">
        <f>IF('Indicative t'!B42="","",'Indicative t'!B42)</f>
        <v/>
      </c>
      <c r="C42" s="468" t="str">
        <f>IF('Prop DUOS'!B42="","",'Prop DUOS'!B42)</f>
        <v/>
      </c>
      <c r="D42" s="260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T42" s="260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J42" s="260"/>
      <c r="AK42" s="243"/>
      <c r="AL42" s="243"/>
      <c r="AM42" s="243"/>
      <c r="AN42" s="243"/>
      <c r="AO42" s="243"/>
      <c r="AP42" s="243"/>
      <c r="AQ42" s="243"/>
      <c r="AR42" s="243"/>
      <c r="AS42" s="243"/>
      <c r="AT42" s="243"/>
      <c r="AU42" s="243"/>
      <c r="AV42" s="243"/>
      <c r="AW42" s="243"/>
      <c r="AX42" s="243"/>
      <c r="AZ42" s="260"/>
      <c r="BA42" s="243"/>
      <c r="BB42" s="243"/>
      <c r="BC42" s="243"/>
      <c r="BD42" s="243"/>
      <c r="BE42" s="243"/>
      <c r="BF42" s="243"/>
      <c r="BG42" s="243"/>
      <c r="BH42" s="243"/>
      <c r="BI42" s="243"/>
      <c r="BJ42" s="243"/>
      <c r="BK42" s="243"/>
      <c r="BL42" s="243"/>
      <c r="BM42" s="243"/>
      <c r="BN42" s="243"/>
    </row>
    <row r="43" spans="2:66">
      <c r="B43" s="479" t="str">
        <f>IF('Indicative t'!B43="","",'Indicative t'!B43)</f>
        <v/>
      </c>
      <c r="C43" s="468" t="str">
        <f>IF('Prop DUOS'!B43="","",'Prop DUOS'!B43)</f>
        <v/>
      </c>
      <c r="D43" s="260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T43" s="260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J43" s="260"/>
      <c r="AK43" s="243"/>
      <c r="AL43" s="243"/>
      <c r="AM43" s="243"/>
      <c r="AN43" s="243"/>
      <c r="AO43" s="243"/>
      <c r="AP43" s="243"/>
      <c r="AQ43" s="243"/>
      <c r="AR43" s="243"/>
      <c r="AS43" s="243"/>
      <c r="AT43" s="243"/>
      <c r="AU43" s="243"/>
      <c r="AV43" s="243"/>
      <c r="AW43" s="243"/>
      <c r="AX43" s="243"/>
      <c r="AZ43" s="260"/>
      <c r="BA43" s="243"/>
      <c r="BB43" s="243"/>
      <c r="BC43" s="243"/>
      <c r="BD43" s="243"/>
      <c r="BE43" s="243"/>
      <c r="BF43" s="243"/>
      <c r="BG43" s="243"/>
      <c r="BH43" s="243"/>
      <c r="BI43" s="243"/>
      <c r="BJ43" s="243"/>
      <c r="BK43" s="243"/>
      <c r="BL43" s="243"/>
      <c r="BM43" s="243"/>
      <c r="BN43" s="243"/>
    </row>
    <row r="44" spans="2:66">
      <c r="B44" s="479" t="str">
        <f>IF('Indicative t'!B44="","",'Indicative t'!B44)</f>
        <v/>
      </c>
      <c r="C44" s="468" t="str">
        <f>IF('Prop DUOS'!B44="","",'Prop DUOS'!B44)</f>
        <v/>
      </c>
      <c r="D44" s="260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T44" s="260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J44" s="260"/>
      <c r="AK44" s="243"/>
      <c r="AL44" s="243"/>
      <c r="AM44" s="243"/>
      <c r="AN44" s="243"/>
      <c r="AO44" s="243"/>
      <c r="AP44" s="243"/>
      <c r="AQ44" s="243"/>
      <c r="AR44" s="243"/>
      <c r="AS44" s="243"/>
      <c r="AT44" s="243"/>
      <c r="AU44" s="243"/>
      <c r="AV44" s="243"/>
      <c r="AW44" s="243"/>
      <c r="AX44" s="243"/>
      <c r="AZ44" s="260"/>
      <c r="BA44" s="243"/>
      <c r="BB44" s="243"/>
      <c r="BC44" s="243"/>
      <c r="BD44" s="243"/>
      <c r="BE44" s="243"/>
      <c r="BF44" s="243"/>
      <c r="BG44" s="243"/>
      <c r="BH44" s="243"/>
      <c r="BI44" s="243"/>
      <c r="BJ44" s="243"/>
      <c r="BK44" s="243"/>
      <c r="BL44" s="243"/>
      <c r="BM44" s="243"/>
      <c r="BN44" s="243"/>
    </row>
    <row r="45" spans="2:66">
      <c r="B45" s="479" t="str">
        <f>IF('Indicative t'!B45="","",'Indicative t'!B45)</f>
        <v/>
      </c>
      <c r="C45" s="468" t="str">
        <f>IF('Prop DUOS'!B45="","",'Prop DUOS'!B45)</f>
        <v/>
      </c>
      <c r="D45" s="260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T45" s="260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J45" s="260"/>
      <c r="AK45" s="243"/>
      <c r="AL45" s="243"/>
      <c r="AM45" s="243"/>
      <c r="AN45" s="243"/>
      <c r="AO45" s="243"/>
      <c r="AP45" s="243"/>
      <c r="AQ45" s="243"/>
      <c r="AR45" s="243"/>
      <c r="AS45" s="243"/>
      <c r="AT45" s="243"/>
      <c r="AU45" s="243"/>
      <c r="AV45" s="243"/>
      <c r="AW45" s="243"/>
      <c r="AX45" s="243"/>
      <c r="AZ45" s="260"/>
      <c r="BA45" s="243"/>
      <c r="BB45" s="243"/>
      <c r="BC45" s="243"/>
      <c r="BD45" s="243"/>
      <c r="BE45" s="243"/>
      <c r="BF45" s="243"/>
      <c r="BG45" s="243"/>
      <c r="BH45" s="243"/>
      <c r="BI45" s="243"/>
      <c r="BJ45" s="243"/>
      <c r="BK45" s="243"/>
      <c r="BL45" s="243"/>
      <c r="BM45" s="243"/>
      <c r="BN45" s="243"/>
    </row>
    <row r="46" spans="2:66">
      <c r="B46" s="479" t="str">
        <f>IF('Indicative t'!B46="","",'Indicative t'!B46)</f>
        <v/>
      </c>
      <c r="C46" s="468" t="str">
        <f>IF('Prop DUOS'!B46="","",'Prop DUOS'!B46)</f>
        <v/>
      </c>
      <c r="D46" s="260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T46" s="260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J46" s="260"/>
      <c r="AK46" s="243"/>
      <c r="AL46" s="243"/>
      <c r="AM46" s="243"/>
      <c r="AN46" s="243"/>
      <c r="AO46" s="243"/>
      <c r="AP46" s="243"/>
      <c r="AQ46" s="243"/>
      <c r="AR46" s="243"/>
      <c r="AS46" s="243"/>
      <c r="AT46" s="243"/>
      <c r="AU46" s="243"/>
      <c r="AV46" s="243"/>
      <c r="AW46" s="243"/>
      <c r="AX46" s="243"/>
      <c r="AZ46" s="260"/>
      <c r="BA46" s="243"/>
      <c r="BB46" s="243"/>
      <c r="BC46" s="243"/>
      <c r="BD46" s="243"/>
      <c r="BE46" s="243"/>
      <c r="BF46" s="243"/>
      <c r="BG46" s="243"/>
      <c r="BH46" s="243"/>
      <c r="BI46" s="243"/>
      <c r="BJ46" s="243"/>
      <c r="BK46" s="243"/>
      <c r="BL46" s="243"/>
      <c r="BM46" s="243"/>
      <c r="BN46" s="243"/>
    </row>
    <row r="47" spans="2:66">
      <c r="B47" s="479" t="str">
        <f>IF('Indicative t'!B47="","",'Indicative t'!B47)</f>
        <v/>
      </c>
      <c r="C47" s="468" t="str">
        <f>IF('Prop DUOS'!B47="","",'Prop DUOS'!B47)</f>
        <v/>
      </c>
      <c r="D47" s="260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T47" s="260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J47" s="260"/>
      <c r="AK47" s="243"/>
      <c r="AL47" s="243"/>
      <c r="AM47" s="243"/>
      <c r="AN47" s="243"/>
      <c r="AO47" s="243"/>
      <c r="AP47" s="243"/>
      <c r="AQ47" s="243"/>
      <c r="AR47" s="243"/>
      <c r="AS47" s="243"/>
      <c r="AT47" s="243"/>
      <c r="AU47" s="243"/>
      <c r="AV47" s="243"/>
      <c r="AW47" s="243"/>
      <c r="AX47" s="243"/>
      <c r="AZ47" s="260"/>
      <c r="BA47" s="243"/>
      <c r="BB47" s="243"/>
      <c r="BC47" s="243"/>
      <c r="BD47" s="243"/>
      <c r="BE47" s="243"/>
      <c r="BF47" s="243"/>
      <c r="BG47" s="243"/>
      <c r="BH47" s="243"/>
      <c r="BI47" s="243"/>
      <c r="BJ47" s="243"/>
      <c r="BK47" s="243"/>
      <c r="BL47" s="243"/>
      <c r="BM47" s="243"/>
      <c r="BN47" s="243"/>
    </row>
    <row r="48" spans="2:66">
      <c r="B48" s="479" t="str">
        <f>IF('Indicative t'!B48="","",'Indicative t'!B48)</f>
        <v/>
      </c>
      <c r="C48" s="468" t="str">
        <f>IF('Prop DUOS'!B48="","",'Prop DUOS'!B48)</f>
        <v/>
      </c>
      <c r="D48" s="260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T48" s="260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J48" s="260"/>
      <c r="AK48" s="243"/>
      <c r="AL48" s="243"/>
      <c r="AM48" s="243"/>
      <c r="AN48" s="243"/>
      <c r="AO48" s="243"/>
      <c r="AP48" s="243"/>
      <c r="AQ48" s="243"/>
      <c r="AR48" s="243"/>
      <c r="AS48" s="243"/>
      <c r="AT48" s="243"/>
      <c r="AU48" s="243"/>
      <c r="AV48" s="243"/>
      <c r="AW48" s="243"/>
      <c r="AX48" s="243"/>
      <c r="AZ48" s="260"/>
      <c r="BA48" s="243"/>
      <c r="BB48" s="243"/>
      <c r="BC48" s="243"/>
      <c r="BD48" s="243"/>
      <c r="BE48" s="243"/>
      <c r="BF48" s="243"/>
      <c r="BG48" s="243"/>
      <c r="BH48" s="243"/>
      <c r="BI48" s="243"/>
      <c r="BJ48" s="243"/>
      <c r="BK48" s="243"/>
      <c r="BL48" s="243"/>
      <c r="BM48" s="243"/>
      <c r="BN48" s="243"/>
    </row>
    <row r="49" spans="2:66">
      <c r="B49" s="479" t="str">
        <f>IF('Indicative t'!B49="","",'Indicative t'!B49)</f>
        <v/>
      </c>
      <c r="C49" s="468" t="str">
        <f>IF('Prop DUOS'!B49="","",'Prop DUOS'!B49)</f>
        <v/>
      </c>
      <c r="D49" s="260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T49" s="260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J49" s="260"/>
      <c r="AK49" s="243"/>
      <c r="AL49" s="243"/>
      <c r="AM49" s="243"/>
      <c r="AN49" s="243"/>
      <c r="AO49" s="243"/>
      <c r="AP49" s="243"/>
      <c r="AQ49" s="243"/>
      <c r="AR49" s="243"/>
      <c r="AS49" s="243"/>
      <c r="AT49" s="243"/>
      <c r="AU49" s="243"/>
      <c r="AV49" s="243"/>
      <c r="AW49" s="243"/>
      <c r="AX49" s="243"/>
      <c r="AZ49" s="260"/>
      <c r="BA49" s="243"/>
      <c r="BB49" s="243"/>
      <c r="BC49" s="243"/>
      <c r="BD49" s="243"/>
      <c r="BE49" s="243"/>
      <c r="BF49" s="243"/>
      <c r="BG49" s="243"/>
      <c r="BH49" s="243"/>
      <c r="BI49" s="243"/>
      <c r="BJ49" s="243"/>
      <c r="BK49" s="243"/>
      <c r="BL49" s="243"/>
      <c r="BM49" s="243"/>
      <c r="BN49" s="243"/>
    </row>
    <row r="50" spans="2:66">
      <c r="B50" s="479" t="str">
        <f>IF('Indicative t'!B50="","",'Indicative t'!B50)</f>
        <v/>
      </c>
      <c r="C50" s="468" t="str">
        <f>IF('Prop DUOS'!B50="","",'Prop DUOS'!B50)</f>
        <v/>
      </c>
      <c r="D50" s="242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T50" s="242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J50" s="242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Z50" s="242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</row>
    <row r="51" spans="2:66">
      <c r="B51" s="479" t="str">
        <f>IF('Indicative t'!B51="","",'Indicative t'!B51)</f>
        <v/>
      </c>
      <c r="C51" s="468" t="str">
        <f>IF('Prop DUOS'!B51="","",'Prop DUOS'!B51)</f>
        <v/>
      </c>
      <c r="D51" s="242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T51" s="242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J51" s="242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Z51" s="242"/>
      <c r="BA51" s="243"/>
      <c r="BB51" s="243"/>
      <c r="BC51" s="243"/>
      <c r="BD51" s="243"/>
      <c r="BE51" s="243"/>
      <c r="BF51" s="243"/>
      <c r="BG51" s="243"/>
      <c r="BH51" s="243"/>
      <c r="BI51" s="243"/>
      <c r="BJ51" s="243"/>
      <c r="BK51" s="243"/>
      <c r="BL51" s="243"/>
      <c r="BM51" s="243"/>
      <c r="BN51" s="243"/>
    </row>
    <row r="52" spans="2:66">
      <c r="B52" s="479" t="str">
        <f>IF('Indicative t'!B52="","",'Indicative t'!B52)</f>
        <v/>
      </c>
      <c r="C52" s="468" t="str">
        <f>IF('Prop DUOS'!B52="","",'Prop DUOS'!B52)</f>
        <v/>
      </c>
      <c r="D52" s="242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T52" s="242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J52" s="242"/>
      <c r="AK52" s="243"/>
      <c r="AL52" s="243"/>
      <c r="AM52" s="243"/>
      <c r="AN52" s="243"/>
      <c r="AO52" s="243"/>
      <c r="AP52" s="243"/>
      <c r="AQ52" s="243"/>
      <c r="AR52" s="243"/>
      <c r="AS52" s="243"/>
      <c r="AT52" s="243"/>
      <c r="AU52" s="243"/>
      <c r="AV52" s="243"/>
      <c r="AW52" s="243"/>
      <c r="AX52" s="243"/>
      <c r="AZ52" s="242"/>
      <c r="BA52" s="243"/>
      <c r="BB52" s="243"/>
      <c r="BC52" s="243"/>
      <c r="BD52" s="243"/>
      <c r="BE52" s="243"/>
      <c r="BF52" s="243"/>
      <c r="BG52" s="243"/>
      <c r="BH52" s="243"/>
      <c r="BI52" s="243"/>
      <c r="BJ52" s="243"/>
      <c r="BK52" s="243"/>
      <c r="BL52" s="243"/>
      <c r="BM52" s="243"/>
      <c r="BN52" s="243"/>
    </row>
    <row r="53" spans="2:66">
      <c r="B53" s="479" t="str">
        <f>IF('Indicative t'!B53="","",'Indicative t'!B53)</f>
        <v/>
      </c>
      <c r="C53" s="468" t="str">
        <f>IF('Prop DUOS'!B53="","",'Prop DUOS'!B53)</f>
        <v/>
      </c>
      <c r="D53" s="242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T53" s="242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J53" s="242"/>
      <c r="AK53" s="243"/>
      <c r="AL53" s="243"/>
      <c r="AM53" s="243"/>
      <c r="AN53" s="243"/>
      <c r="AO53" s="243"/>
      <c r="AP53" s="243"/>
      <c r="AQ53" s="243"/>
      <c r="AR53" s="243"/>
      <c r="AS53" s="243"/>
      <c r="AT53" s="243"/>
      <c r="AU53" s="243"/>
      <c r="AV53" s="243"/>
      <c r="AW53" s="243"/>
      <c r="AX53" s="243"/>
      <c r="AZ53" s="242"/>
      <c r="BA53" s="243"/>
      <c r="BB53" s="243"/>
      <c r="BC53" s="243"/>
      <c r="BD53" s="243"/>
      <c r="BE53" s="243"/>
      <c r="BF53" s="243"/>
      <c r="BG53" s="243"/>
      <c r="BH53" s="243"/>
      <c r="BI53" s="243"/>
      <c r="BJ53" s="243"/>
      <c r="BK53" s="243"/>
      <c r="BL53" s="243"/>
      <c r="BM53" s="243"/>
      <c r="BN53" s="243"/>
    </row>
    <row r="54" spans="2:66">
      <c r="B54" s="479" t="str">
        <f>IF('Indicative t'!B54="","",'Indicative t'!B54)</f>
        <v/>
      </c>
      <c r="C54" s="468" t="str">
        <f>IF('Prop DUOS'!B54="","",'Prop DUOS'!B54)</f>
        <v/>
      </c>
      <c r="D54" s="242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T54" s="242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J54" s="242"/>
      <c r="AK54" s="243"/>
      <c r="AL54" s="243"/>
      <c r="AM54" s="243"/>
      <c r="AN54" s="243"/>
      <c r="AO54" s="243"/>
      <c r="AP54" s="243"/>
      <c r="AQ54" s="243"/>
      <c r="AR54" s="243"/>
      <c r="AS54" s="243"/>
      <c r="AT54" s="243"/>
      <c r="AU54" s="243"/>
      <c r="AV54" s="243"/>
      <c r="AW54" s="243"/>
      <c r="AX54" s="243"/>
      <c r="AZ54" s="242"/>
      <c r="BA54" s="243"/>
      <c r="BB54" s="243"/>
      <c r="BC54" s="243"/>
      <c r="BD54" s="243"/>
      <c r="BE54" s="243"/>
      <c r="BF54" s="243"/>
      <c r="BG54" s="243"/>
      <c r="BH54" s="243"/>
      <c r="BI54" s="243"/>
      <c r="BJ54" s="243"/>
      <c r="BK54" s="243"/>
      <c r="BL54" s="243"/>
      <c r="BM54" s="243"/>
      <c r="BN54" s="243"/>
    </row>
    <row r="55" spans="2:66">
      <c r="B55" s="479" t="str">
        <f>IF('Indicative t'!B55="","",'Indicative t'!B55)</f>
        <v/>
      </c>
      <c r="C55" s="468" t="str">
        <f>IF('Prop DUOS'!B55="","",'Prop DUOS'!B55)</f>
        <v/>
      </c>
      <c r="D55" s="242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T55" s="242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J55" s="242"/>
      <c r="AK55" s="243"/>
      <c r="AL55" s="243"/>
      <c r="AM55" s="243"/>
      <c r="AN55" s="243"/>
      <c r="AO55" s="243"/>
      <c r="AP55" s="243"/>
      <c r="AQ55" s="243"/>
      <c r="AR55" s="243"/>
      <c r="AS55" s="243"/>
      <c r="AT55" s="243"/>
      <c r="AU55" s="243"/>
      <c r="AV55" s="243"/>
      <c r="AW55" s="243"/>
      <c r="AX55" s="243"/>
      <c r="AZ55" s="242"/>
      <c r="BA55" s="243"/>
      <c r="BB55" s="243"/>
      <c r="BC55" s="243"/>
      <c r="BD55" s="243"/>
      <c r="BE55" s="243"/>
      <c r="BF55" s="243"/>
      <c r="BG55" s="243"/>
      <c r="BH55" s="243"/>
      <c r="BI55" s="243"/>
      <c r="BJ55" s="243"/>
      <c r="BK55" s="243"/>
      <c r="BL55" s="243"/>
      <c r="BM55" s="243"/>
      <c r="BN55" s="243"/>
    </row>
    <row r="56" spans="2:66">
      <c r="B56" s="479" t="str">
        <f>IF('Indicative t'!B56="","",'Indicative t'!B56)</f>
        <v/>
      </c>
      <c r="C56" s="468" t="str">
        <f>IF('Prop DUOS'!B56="","",'Prop DUOS'!B56)</f>
        <v/>
      </c>
      <c r="D56" s="261"/>
      <c r="E56" s="259"/>
      <c r="F56" s="259"/>
      <c r="G56" s="259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T56" s="261"/>
      <c r="U56" s="259"/>
      <c r="V56" s="259"/>
      <c r="W56" s="259"/>
      <c r="X56" s="259"/>
      <c r="Y56" s="259"/>
      <c r="Z56" s="259"/>
      <c r="AA56" s="259"/>
      <c r="AB56" s="259"/>
      <c r="AC56" s="259"/>
      <c r="AD56" s="259"/>
      <c r="AE56" s="259"/>
      <c r="AF56" s="259"/>
      <c r="AG56" s="259"/>
      <c r="AH56" s="259"/>
      <c r="AJ56" s="261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59"/>
      <c r="AX56" s="259"/>
      <c r="AZ56" s="261"/>
      <c r="BA56" s="259"/>
      <c r="BB56" s="259"/>
      <c r="BC56" s="259"/>
      <c r="BD56" s="259"/>
      <c r="BE56" s="259"/>
      <c r="BF56" s="259"/>
      <c r="BG56" s="259"/>
      <c r="BH56" s="259"/>
      <c r="BI56" s="259"/>
      <c r="BJ56" s="259"/>
      <c r="BK56" s="259"/>
      <c r="BL56" s="259"/>
      <c r="BM56" s="259"/>
      <c r="BN56" s="259"/>
    </row>
    <row r="57" spans="2:66">
      <c r="B57" s="479" t="str">
        <f>IF('Indicative t'!B57="","",'Indicative t'!B57)</f>
        <v/>
      </c>
      <c r="C57" s="468" t="str">
        <f>IF('Prop DUOS'!B57="","",'Prop DUOS'!B57)</f>
        <v/>
      </c>
      <c r="D57" s="261"/>
      <c r="E57" s="259"/>
      <c r="F57" s="259"/>
      <c r="G57" s="259"/>
      <c r="H57" s="259"/>
      <c r="I57" s="259"/>
      <c r="J57" s="259"/>
      <c r="K57" s="259"/>
      <c r="L57" s="259"/>
      <c r="M57" s="259"/>
      <c r="N57" s="259"/>
      <c r="O57" s="259"/>
      <c r="P57" s="259"/>
      <c r="Q57" s="259"/>
      <c r="R57" s="259"/>
      <c r="T57" s="261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J57" s="261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  <c r="AX57" s="259"/>
      <c r="AZ57" s="261"/>
      <c r="BA57" s="259"/>
      <c r="BB57" s="259"/>
      <c r="BC57" s="259"/>
      <c r="BD57" s="259"/>
      <c r="BE57" s="259"/>
      <c r="BF57" s="259"/>
      <c r="BG57" s="259"/>
      <c r="BH57" s="259"/>
      <c r="BI57" s="259"/>
      <c r="BJ57" s="259"/>
      <c r="BK57" s="259"/>
      <c r="BL57" s="259"/>
      <c r="BM57" s="259"/>
      <c r="BN57" s="259"/>
    </row>
    <row r="58" spans="2:66">
      <c r="B58" s="479" t="str">
        <f>IF('Indicative t'!B58="","",'Indicative t'!B58)</f>
        <v/>
      </c>
      <c r="C58" s="468" t="str">
        <f>IF('Prop DUOS'!B58="","",'Prop DUOS'!B58)</f>
        <v/>
      </c>
      <c r="D58" s="261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59"/>
      <c r="T58" s="261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259"/>
      <c r="AG58" s="259"/>
      <c r="AH58" s="259"/>
      <c r="AJ58" s="261"/>
      <c r="AK58" s="259"/>
      <c r="AL58" s="259"/>
      <c r="AM58" s="259"/>
      <c r="AN58" s="259"/>
      <c r="AO58" s="259"/>
      <c r="AP58" s="259"/>
      <c r="AQ58" s="259"/>
      <c r="AR58" s="259"/>
      <c r="AS58" s="259"/>
      <c r="AT58" s="259"/>
      <c r="AU58" s="259"/>
      <c r="AV58" s="259"/>
      <c r="AW58" s="259"/>
      <c r="AX58" s="259"/>
      <c r="AZ58" s="261"/>
      <c r="BA58" s="259"/>
      <c r="BB58" s="259"/>
      <c r="BC58" s="259"/>
      <c r="BD58" s="259"/>
      <c r="BE58" s="259"/>
      <c r="BF58" s="259"/>
      <c r="BG58" s="259"/>
      <c r="BH58" s="259"/>
      <c r="BI58" s="259"/>
      <c r="BJ58" s="259"/>
      <c r="BK58" s="259"/>
      <c r="BL58" s="259"/>
      <c r="BM58" s="259"/>
      <c r="BN58" s="259"/>
    </row>
    <row r="59" spans="2:66">
      <c r="B59" s="479" t="str">
        <f>IF('Indicative t'!B59="","",'Indicative t'!B59)</f>
        <v/>
      </c>
      <c r="C59" s="468" t="str">
        <f>IF('Prop DUOS'!B59="","",'Prop DUOS'!B59)</f>
        <v/>
      </c>
      <c r="D59" s="261"/>
      <c r="E59" s="259"/>
      <c r="F59" s="259"/>
      <c r="G59" s="259"/>
      <c r="H59" s="259"/>
      <c r="I59" s="259"/>
      <c r="J59" s="259"/>
      <c r="K59" s="259"/>
      <c r="L59" s="259"/>
      <c r="M59" s="259"/>
      <c r="N59" s="259"/>
      <c r="O59" s="259"/>
      <c r="P59" s="259"/>
      <c r="Q59" s="259"/>
      <c r="R59" s="259"/>
      <c r="T59" s="261"/>
      <c r="U59" s="259"/>
      <c r="V59" s="259"/>
      <c r="W59" s="259"/>
      <c r="X59" s="259"/>
      <c r="Y59" s="259"/>
      <c r="Z59" s="259"/>
      <c r="AA59" s="259"/>
      <c r="AB59" s="259"/>
      <c r="AC59" s="259"/>
      <c r="AD59" s="259"/>
      <c r="AE59" s="259"/>
      <c r="AF59" s="259"/>
      <c r="AG59" s="259"/>
      <c r="AH59" s="259"/>
      <c r="AJ59" s="261"/>
      <c r="AK59" s="259"/>
      <c r="AL59" s="259"/>
      <c r="AM59" s="259"/>
      <c r="AN59" s="259"/>
      <c r="AO59" s="259"/>
      <c r="AP59" s="259"/>
      <c r="AQ59" s="259"/>
      <c r="AR59" s="259"/>
      <c r="AS59" s="259"/>
      <c r="AT59" s="259"/>
      <c r="AU59" s="259"/>
      <c r="AV59" s="259"/>
      <c r="AW59" s="259"/>
      <c r="AX59" s="259"/>
      <c r="AZ59" s="261"/>
      <c r="BA59" s="259"/>
      <c r="BB59" s="259"/>
      <c r="BC59" s="259"/>
      <c r="BD59" s="259"/>
      <c r="BE59" s="259"/>
      <c r="BF59" s="259"/>
      <c r="BG59" s="259"/>
      <c r="BH59" s="259"/>
      <c r="BI59" s="259"/>
      <c r="BJ59" s="259"/>
      <c r="BK59" s="259"/>
      <c r="BL59" s="259"/>
      <c r="BM59" s="259"/>
      <c r="BN59" s="259"/>
    </row>
    <row r="60" spans="2:66">
      <c r="B60" s="479" t="str">
        <f>IF('Indicative t'!B60="","",'Indicative t'!B60)</f>
        <v/>
      </c>
      <c r="C60" s="468" t="str">
        <f>IF('Prop DUOS'!B60="","",'Prop DUOS'!B60)</f>
        <v/>
      </c>
      <c r="D60" s="261"/>
      <c r="E60" s="259"/>
      <c r="F60" s="259"/>
      <c r="G60" s="259"/>
      <c r="H60" s="259"/>
      <c r="I60" s="259"/>
      <c r="J60" s="259"/>
      <c r="K60" s="259"/>
      <c r="L60" s="259"/>
      <c r="M60" s="259"/>
      <c r="N60" s="259"/>
      <c r="O60" s="259"/>
      <c r="P60" s="259"/>
      <c r="Q60" s="259"/>
      <c r="R60" s="259"/>
      <c r="T60" s="261"/>
      <c r="U60" s="259"/>
      <c r="V60" s="259"/>
      <c r="W60" s="259"/>
      <c r="X60" s="259"/>
      <c r="Y60" s="259"/>
      <c r="Z60" s="259"/>
      <c r="AA60" s="259"/>
      <c r="AB60" s="259"/>
      <c r="AC60" s="259"/>
      <c r="AD60" s="259"/>
      <c r="AE60" s="259"/>
      <c r="AF60" s="259"/>
      <c r="AG60" s="259"/>
      <c r="AH60" s="259"/>
      <c r="AJ60" s="261"/>
      <c r="AK60" s="259"/>
      <c r="AL60" s="259"/>
      <c r="AM60" s="259"/>
      <c r="AN60" s="259"/>
      <c r="AO60" s="259"/>
      <c r="AP60" s="259"/>
      <c r="AQ60" s="259"/>
      <c r="AR60" s="259"/>
      <c r="AS60" s="259"/>
      <c r="AT60" s="259"/>
      <c r="AU60" s="259"/>
      <c r="AV60" s="259"/>
      <c r="AW60" s="259"/>
      <c r="AX60" s="259"/>
      <c r="AZ60" s="261"/>
      <c r="BA60" s="259"/>
      <c r="BB60" s="259"/>
      <c r="BC60" s="259"/>
      <c r="BD60" s="259"/>
      <c r="BE60" s="259"/>
      <c r="BF60" s="259"/>
      <c r="BG60" s="259"/>
      <c r="BH60" s="259"/>
      <c r="BI60" s="259"/>
      <c r="BJ60" s="259"/>
      <c r="BK60" s="259"/>
      <c r="BL60" s="259"/>
      <c r="BM60" s="259"/>
      <c r="BN60" s="259"/>
    </row>
    <row r="61" spans="2:66">
      <c r="B61" s="479" t="str">
        <f>IF('Indicative t'!B61="","",'Indicative t'!B61)</f>
        <v/>
      </c>
      <c r="C61" s="469" t="str">
        <f>IF('Prop DUOS'!B61="","",'Prop DUOS'!B61)</f>
        <v/>
      </c>
      <c r="D61" s="262"/>
      <c r="E61" s="263"/>
      <c r="F61" s="263"/>
      <c r="G61" s="263"/>
      <c r="H61" s="263"/>
      <c r="I61" s="263"/>
      <c r="J61" s="263"/>
      <c r="K61" s="263"/>
      <c r="L61" s="263"/>
      <c r="M61" s="263"/>
      <c r="N61" s="263"/>
      <c r="O61" s="263"/>
      <c r="P61" s="263"/>
      <c r="Q61" s="263"/>
      <c r="R61" s="263"/>
      <c r="T61" s="262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J61" s="262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/>
      <c r="AU61" s="263"/>
      <c r="AV61" s="263"/>
      <c r="AW61" s="263"/>
      <c r="AX61" s="263"/>
      <c r="AZ61" s="262"/>
      <c r="BA61" s="263"/>
      <c r="BB61" s="263"/>
      <c r="BC61" s="263"/>
      <c r="BD61" s="263"/>
      <c r="BE61" s="263"/>
      <c r="BF61" s="263"/>
      <c r="BG61" s="263"/>
      <c r="BH61" s="263"/>
      <c r="BI61" s="263"/>
      <c r="BJ61" s="263"/>
      <c r="BK61" s="263"/>
      <c r="BL61" s="263"/>
      <c r="BM61" s="263"/>
      <c r="BN61" s="263"/>
    </row>
    <row r="62" spans="2:66">
      <c r="B62" s="479" t="str">
        <f>IF('Indicative t'!B62="","",'Indicative t'!B62)</f>
        <v/>
      </c>
      <c r="C62" s="469" t="str">
        <f>IF('Prop DUOS'!B62="","",'Prop DUOS'!B62)</f>
        <v/>
      </c>
      <c r="D62" s="262"/>
      <c r="E62" s="263"/>
      <c r="F62" s="263"/>
      <c r="G62" s="263"/>
      <c r="H62" s="263"/>
      <c r="I62" s="263"/>
      <c r="J62" s="263"/>
      <c r="K62" s="263"/>
      <c r="L62" s="263"/>
      <c r="M62" s="263"/>
      <c r="N62" s="263"/>
      <c r="O62" s="263"/>
      <c r="P62" s="263"/>
      <c r="Q62" s="263"/>
      <c r="R62" s="263"/>
      <c r="T62" s="262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263"/>
      <c r="AG62" s="263"/>
      <c r="AH62" s="263"/>
      <c r="AJ62" s="262"/>
      <c r="AK62" s="263"/>
      <c r="AL62" s="263"/>
      <c r="AM62" s="263"/>
      <c r="AN62" s="263"/>
      <c r="AO62" s="263"/>
      <c r="AP62" s="263"/>
      <c r="AQ62" s="263"/>
      <c r="AR62" s="263"/>
      <c r="AS62" s="263"/>
      <c r="AT62" s="263"/>
      <c r="AU62" s="263"/>
      <c r="AV62" s="263"/>
      <c r="AW62" s="263"/>
      <c r="AX62" s="263"/>
      <c r="AZ62" s="262"/>
      <c r="BA62" s="263"/>
      <c r="BB62" s="263"/>
      <c r="BC62" s="263"/>
      <c r="BD62" s="263"/>
      <c r="BE62" s="263"/>
      <c r="BF62" s="263"/>
      <c r="BG62" s="263"/>
      <c r="BH62" s="263"/>
      <c r="BI62" s="263"/>
      <c r="BJ62" s="263"/>
      <c r="BK62" s="263"/>
      <c r="BL62" s="263"/>
      <c r="BM62" s="263"/>
      <c r="BN62" s="263"/>
    </row>
    <row r="63" spans="2:66">
      <c r="B63" s="479" t="str">
        <f>IF('Indicative t'!B63="","",'Indicative t'!B63)</f>
        <v/>
      </c>
      <c r="C63" s="469" t="str">
        <f>IF('Prop DUOS'!B63="","",'Prop DUOS'!B63)</f>
        <v/>
      </c>
      <c r="D63" s="262"/>
      <c r="E63" s="263"/>
      <c r="F63" s="263"/>
      <c r="G63" s="263"/>
      <c r="H63" s="263"/>
      <c r="I63" s="263"/>
      <c r="J63" s="263"/>
      <c r="K63" s="263"/>
      <c r="L63" s="263"/>
      <c r="M63" s="263"/>
      <c r="N63" s="263"/>
      <c r="O63" s="263"/>
      <c r="P63" s="263"/>
      <c r="Q63" s="263"/>
      <c r="R63" s="263"/>
      <c r="T63" s="262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263"/>
      <c r="AG63" s="263"/>
      <c r="AH63" s="263"/>
      <c r="AJ63" s="262"/>
      <c r="AK63" s="263"/>
      <c r="AL63" s="263"/>
      <c r="AM63" s="263"/>
      <c r="AN63" s="263"/>
      <c r="AO63" s="263"/>
      <c r="AP63" s="263"/>
      <c r="AQ63" s="263"/>
      <c r="AR63" s="263"/>
      <c r="AS63" s="263"/>
      <c r="AT63" s="263"/>
      <c r="AU63" s="263"/>
      <c r="AV63" s="263"/>
      <c r="AW63" s="263"/>
      <c r="AX63" s="263"/>
      <c r="AZ63" s="262"/>
      <c r="BA63" s="263"/>
      <c r="BB63" s="263"/>
      <c r="BC63" s="263"/>
      <c r="BD63" s="263"/>
      <c r="BE63" s="263"/>
      <c r="BF63" s="263"/>
      <c r="BG63" s="263"/>
      <c r="BH63" s="263"/>
      <c r="BI63" s="263"/>
      <c r="BJ63" s="263"/>
      <c r="BK63" s="263"/>
      <c r="BL63" s="263"/>
      <c r="BM63" s="263"/>
      <c r="BN63" s="263"/>
    </row>
    <row r="64" spans="2:66">
      <c r="B64" s="479" t="str">
        <f>IF('Indicative t'!B64="","",'Indicative t'!B64)</f>
        <v/>
      </c>
      <c r="C64" s="469" t="str">
        <f>IF('Prop DUOS'!B64="","",'Prop DUOS'!B64)</f>
        <v/>
      </c>
      <c r="D64" s="262"/>
      <c r="E64" s="263"/>
      <c r="F64" s="263"/>
      <c r="G64" s="263"/>
      <c r="H64" s="263"/>
      <c r="I64" s="263"/>
      <c r="J64" s="263"/>
      <c r="K64" s="263"/>
      <c r="L64" s="263"/>
      <c r="M64" s="263"/>
      <c r="N64" s="263"/>
      <c r="O64" s="263"/>
      <c r="P64" s="263"/>
      <c r="Q64" s="263"/>
      <c r="R64" s="263"/>
      <c r="T64" s="262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263"/>
      <c r="AG64" s="263"/>
      <c r="AH64" s="263"/>
      <c r="AJ64" s="262"/>
      <c r="AK64" s="263"/>
      <c r="AL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  <c r="AW64" s="263"/>
      <c r="AX64" s="263"/>
      <c r="AZ64" s="262"/>
      <c r="BA64" s="263"/>
      <c r="BB64" s="263"/>
      <c r="BC64" s="263"/>
      <c r="BD64" s="263"/>
      <c r="BE64" s="263"/>
      <c r="BF64" s="263"/>
      <c r="BG64" s="263"/>
      <c r="BH64" s="263"/>
      <c r="BI64" s="263"/>
      <c r="BJ64" s="263"/>
      <c r="BK64" s="263"/>
      <c r="BL64" s="263"/>
      <c r="BM64" s="263"/>
      <c r="BN64" s="263"/>
    </row>
    <row r="65" spans="2:66">
      <c r="B65" s="479" t="str">
        <f>IF('Indicative t'!B65="","",'Indicative t'!B65)</f>
        <v/>
      </c>
      <c r="C65" s="469" t="str">
        <f>IF('Prop DUOS'!B65="","",'Prop DUOS'!B65)</f>
        <v/>
      </c>
      <c r="D65" s="262"/>
      <c r="E65" s="263"/>
      <c r="F65" s="263"/>
      <c r="G65" s="263"/>
      <c r="H65" s="263"/>
      <c r="I65" s="263"/>
      <c r="J65" s="263"/>
      <c r="K65" s="263"/>
      <c r="L65" s="263"/>
      <c r="M65" s="263"/>
      <c r="N65" s="263"/>
      <c r="O65" s="263"/>
      <c r="P65" s="263"/>
      <c r="Q65" s="263"/>
      <c r="R65" s="263"/>
      <c r="T65" s="262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J65" s="262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Z65" s="262"/>
      <c r="BA65" s="263"/>
      <c r="BB65" s="263"/>
      <c r="BC65" s="263"/>
      <c r="BD65" s="263"/>
      <c r="BE65" s="263"/>
      <c r="BF65" s="263"/>
      <c r="BG65" s="263"/>
      <c r="BH65" s="263"/>
      <c r="BI65" s="263"/>
      <c r="BJ65" s="263"/>
      <c r="BK65" s="263"/>
      <c r="BL65" s="263"/>
      <c r="BM65" s="263"/>
      <c r="BN65" s="263"/>
    </row>
    <row r="66" spans="2:66" ht="13.5" thickBot="1">
      <c r="B66" s="480" t="str">
        <f>IF('Indicative t'!B66="","",'Indicative t'!B66)</f>
        <v/>
      </c>
      <c r="C66" s="470" t="str">
        <f>IF('Prop DUOS'!B66="","",'Prop DUOS'!B66)</f>
        <v/>
      </c>
      <c r="D66" s="265"/>
      <c r="E66" s="266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T66" s="265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66"/>
      <c r="AG66" s="266"/>
      <c r="AH66" s="266"/>
      <c r="AJ66" s="265"/>
      <c r="AK66" s="266"/>
      <c r="AL66" s="266"/>
      <c r="AM66" s="266"/>
      <c r="AN66" s="266"/>
      <c r="AO66" s="266"/>
      <c r="AP66" s="266"/>
      <c r="AQ66" s="266"/>
      <c r="AR66" s="266"/>
      <c r="AS66" s="266"/>
      <c r="AT66" s="266"/>
      <c r="AU66" s="266"/>
      <c r="AV66" s="266"/>
      <c r="AW66" s="266"/>
      <c r="AX66" s="266"/>
      <c r="AZ66" s="265"/>
      <c r="BA66" s="266"/>
      <c r="BB66" s="266"/>
      <c r="BC66" s="266"/>
      <c r="BD66" s="266"/>
      <c r="BE66" s="266"/>
      <c r="BF66" s="266"/>
      <c r="BG66" s="266"/>
      <c r="BH66" s="266"/>
      <c r="BI66" s="266"/>
      <c r="BJ66" s="266"/>
      <c r="BK66" s="266"/>
      <c r="BL66" s="266"/>
      <c r="BM66" s="266"/>
      <c r="BN66" s="266"/>
    </row>
    <row r="67" spans="2:66" s="70" customFormat="1"/>
    <row r="68" spans="2:66" s="70" customFormat="1"/>
    <row r="69" spans="2:66" s="70" customFormat="1"/>
    <row r="70" spans="2:66" s="70" customFormat="1"/>
    <row r="71" spans="2:66" s="70" customFormat="1"/>
    <row r="72" spans="2:66" s="70" customFormat="1"/>
    <row r="73" spans="2:66" s="70" customFormat="1"/>
    <row r="74" spans="2:66" s="70" customFormat="1"/>
    <row r="75" spans="2:66" s="70" customFormat="1"/>
    <row r="76" spans="2:66" s="70" customFormat="1"/>
    <row r="77" spans="2:66" s="70" customFormat="1"/>
    <row r="78" spans="2:66" s="70" customFormat="1"/>
    <row r="79" spans="2:66" s="70" customFormat="1"/>
    <row r="80" spans="2:66" s="70" customFormat="1"/>
    <row r="81" s="70" customFormat="1"/>
    <row r="82" s="70" customFormat="1"/>
    <row r="83" s="70" customFormat="1"/>
    <row r="84" s="70" customFormat="1"/>
    <row r="85" s="70" customFormat="1"/>
    <row r="86" s="70" customFormat="1"/>
    <row r="87" s="70" customFormat="1"/>
    <row r="88" s="70" customFormat="1"/>
    <row r="89" s="70" customFormat="1"/>
    <row r="90" s="70" customFormat="1"/>
    <row r="91" s="70" customFormat="1"/>
    <row r="92" s="70" customFormat="1"/>
    <row r="93" s="70" customFormat="1"/>
    <row r="94" s="70" customFormat="1"/>
    <row r="95" s="70" customFormat="1"/>
    <row r="96" s="70" customFormat="1"/>
    <row r="97" s="70" customFormat="1"/>
    <row r="98" s="70" customFormat="1"/>
    <row r="99" s="70" customFormat="1"/>
    <row r="100" s="70" customFormat="1"/>
    <row r="101" s="70" customFormat="1"/>
    <row r="102" s="70" customFormat="1"/>
    <row r="103" s="70" customFormat="1"/>
    <row r="104" s="70" customFormat="1"/>
    <row r="105" s="70" customFormat="1"/>
  </sheetData>
  <printOptions horizontalCentered="1"/>
  <pageMargins left="0.15748031496062992" right="0.15748031496062992" top="0.39370078740157483" bottom="0.39370078740157483" header="0.11811023622047245" footer="0.11811023622047245"/>
  <pageSetup paperSize="9" scale="33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5C2F598-1B83-4678-88E8-A62422641BA9}">
            <xm:f>Input!$E$5=2023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AZ5:BN66</xm:sqref>
        </x14:conditionalFormatting>
        <x14:conditionalFormatting xmlns:xm="http://schemas.microsoft.com/office/excel/2006/main">
          <x14:cfRule type="expression" priority="3" id="{A4295250-9F10-4A4A-B2B7-EDB6A8313E2A}">
            <xm:f>Input!$E$5=2024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AJ5:BN66</xm:sqref>
        </x14:conditionalFormatting>
        <x14:conditionalFormatting xmlns:xm="http://schemas.microsoft.com/office/excel/2006/main">
          <x14:cfRule type="expression" priority="2" id="{F86F4450-EC78-4007-9A1B-38D6C1098A13}">
            <xm:f>Input!$E$5=2025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T5:BN66</xm:sqref>
        </x14:conditionalFormatting>
        <x14:conditionalFormatting xmlns:xm="http://schemas.microsoft.com/office/excel/2006/main">
          <x14:cfRule type="expression" priority="1" id="{48B28CB2-5499-45C6-A458-8AC3DF60676D}">
            <xm:f>Input!$E$5=2026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 style="thin">
                  <color theme="0" tint="-0.24994659260841701"/>
                </left>
                <right style="thin">
                  <color theme="0" tint="-0.24994659260841701"/>
                </right>
                <top style="thin">
                  <color theme="0" tint="-0.24994659260841701"/>
                </top>
                <bottom style="thin">
                  <color theme="0" tint="-0.24994659260841701"/>
                </bottom>
                <vertical/>
                <horizontal/>
              </border>
            </x14:dxf>
          </x14:cfRule>
          <xm:sqref>D5:BN66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0" tint="-0.249977111117893"/>
  </sheetPr>
  <dimension ref="B4:BK67"/>
  <sheetViews>
    <sheetView showGridLines="0" zoomScale="80" zoomScaleNormal="80" workbookViewId="0"/>
  </sheetViews>
  <sheetFormatPr defaultRowHeight="12.75"/>
  <cols>
    <col min="1" max="1" width="9.140625" style="519"/>
    <col min="2" max="2" width="25.28515625" style="519" customWidth="1"/>
    <col min="3" max="3" width="15.5703125" style="519" customWidth="1"/>
    <col min="4" max="63" width="13.140625" style="519" customWidth="1"/>
    <col min="64" max="16384" width="9.140625" style="519"/>
  </cols>
  <sheetData>
    <row r="4" spans="2:63" ht="13.5" thickBot="1">
      <c r="B4" s="637" t="str">
        <f>Input!E3&amp;" "&amp;Input!E7&amp;" charges"</f>
        <v>United Energy 2021/22 charges</v>
      </c>
      <c r="D4" s="637" t="s">
        <v>314</v>
      </c>
      <c r="S4" s="637" t="s">
        <v>313</v>
      </c>
      <c r="AH4" s="637" t="s">
        <v>312</v>
      </c>
      <c r="AW4" s="637" t="s">
        <v>311</v>
      </c>
    </row>
    <row r="5" spans="2:63" ht="13.5" customHeight="1" thickBot="1">
      <c r="D5" s="161" t="s">
        <v>123</v>
      </c>
      <c r="E5" s="799" t="s">
        <v>124</v>
      </c>
      <c r="F5" s="800"/>
      <c r="G5" s="800"/>
      <c r="H5" s="800"/>
      <c r="I5" s="800"/>
      <c r="J5" s="800"/>
      <c r="K5" s="800"/>
      <c r="L5" s="801"/>
      <c r="M5" s="803"/>
      <c r="N5" s="799" t="s">
        <v>125</v>
      </c>
      <c r="O5" s="800"/>
      <c r="P5" s="800"/>
      <c r="Q5" s="801"/>
      <c r="R5" s="802"/>
      <c r="S5" s="161" t="s">
        <v>123</v>
      </c>
      <c r="T5" s="799" t="s">
        <v>124</v>
      </c>
      <c r="U5" s="800"/>
      <c r="V5" s="800"/>
      <c r="W5" s="800"/>
      <c r="X5" s="800"/>
      <c r="Y5" s="800"/>
      <c r="Z5" s="800"/>
      <c r="AA5" s="801"/>
      <c r="AB5" s="803"/>
      <c r="AC5" s="799" t="s">
        <v>125</v>
      </c>
      <c r="AD5" s="800"/>
      <c r="AE5" s="800"/>
      <c r="AF5" s="801"/>
      <c r="AG5" s="802"/>
      <c r="AH5" s="161" t="s">
        <v>123</v>
      </c>
      <c r="AI5" s="799" t="s">
        <v>124</v>
      </c>
      <c r="AJ5" s="800"/>
      <c r="AK5" s="800"/>
      <c r="AL5" s="800"/>
      <c r="AM5" s="800"/>
      <c r="AN5" s="800"/>
      <c r="AO5" s="800"/>
      <c r="AP5" s="801"/>
      <c r="AQ5" s="803"/>
      <c r="AR5" s="799" t="s">
        <v>125</v>
      </c>
      <c r="AS5" s="800"/>
      <c r="AT5" s="800"/>
      <c r="AU5" s="801"/>
      <c r="AV5" s="802"/>
      <c r="AW5" s="161" t="s">
        <v>123</v>
      </c>
      <c r="AX5" s="799" t="s">
        <v>124</v>
      </c>
      <c r="AY5" s="800"/>
      <c r="AZ5" s="800"/>
      <c r="BA5" s="800"/>
      <c r="BB5" s="800"/>
      <c r="BC5" s="800"/>
      <c r="BD5" s="800"/>
      <c r="BE5" s="801"/>
      <c r="BF5" s="803"/>
      <c r="BG5" s="799" t="s">
        <v>125</v>
      </c>
      <c r="BH5" s="800"/>
      <c r="BI5" s="800"/>
      <c r="BJ5" s="801"/>
      <c r="BK5" s="802"/>
    </row>
    <row r="6" spans="2:63">
      <c r="B6" s="159" t="s">
        <v>31</v>
      </c>
      <c r="C6" s="160"/>
      <c r="D6" s="419" t="str">
        <f>'Prop DUOS'!E6</f>
        <v>Fixed</v>
      </c>
      <c r="E6" s="420" t="str">
        <f>'Prop DUOS'!F6</f>
        <v>PkBlk1</v>
      </c>
      <c r="F6" s="420" t="str">
        <f>'Prop DUOS'!G6</f>
        <v>PkBlk2</v>
      </c>
      <c r="G6" s="420" t="str">
        <f>'Prop DUOS'!H6</f>
        <v>PkBlk3</v>
      </c>
      <c r="H6" s="420" t="str">
        <f>'Prop DUOS'!I6</f>
        <v>PkBlk4</v>
      </c>
      <c r="I6" s="420" t="str">
        <f>'Prop DUOS'!J6</f>
        <v>OPkBlk1</v>
      </c>
      <c r="J6" s="420" t="str">
        <f>'Prop DUOS'!K6</f>
        <v>OPkBlk2</v>
      </c>
      <c r="K6" s="420" t="str">
        <f>'Prop DUOS'!L6</f>
        <v>OPkBlk3</v>
      </c>
      <c r="L6" s="420" t="str">
        <f>'Prop DUOS'!M6</f>
        <v>OPkBlk4</v>
      </c>
      <c r="M6" s="420" t="str">
        <f>'Prop DUOS'!N6</f>
        <v>OPkBlk5</v>
      </c>
      <c r="N6" s="420" t="str">
        <f>'Prop DUOS'!O6</f>
        <v>DemBlk1</v>
      </c>
      <c r="O6" s="420" t="str">
        <f>'Prop DUOS'!P6</f>
        <v>DemBlk2</v>
      </c>
      <c r="P6" s="420" t="str">
        <f>'Prop DUOS'!Q6</f>
        <v>DemBlk3</v>
      </c>
      <c r="Q6" s="604" t="str">
        <f>'Prop DUOS'!R6</f>
        <v>DemBlk4</v>
      </c>
      <c r="R6" s="421" t="str">
        <f>'Prop DUOS'!S6</f>
        <v>DemBlk5</v>
      </c>
      <c r="S6" s="419" t="str">
        <f t="shared" ref="S6:AG7" si="0">D6</f>
        <v>Fixed</v>
      </c>
      <c r="T6" s="420" t="str">
        <f t="shared" si="0"/>
        <v>PkBlk1</v>
      </c>
      <c r="U6" s="420" t="str">
        <f t="shared" si="0"/>
        <v>PkBlk2</v>
      </c>
      <c r="V6" s="420" t="str">
        <f t="shared" si="0"/>
        <v>PkBlk3</v>
      </c>
      <c r="W6" s="420" t="str">
        <f t="shared" si="0"/>
        <v>PkBlk4</v>
      </c>
      <c r="X6" s="420" t="str">
        <f t="shared" si="0"/>
        <v>OPkBlk1</v>
      </c>
      <c r="Y6" s="420" t="str">
        <f t="shared" si="0"/>
        <v>OPkBlk2</v>
      </c>
      <c r="Z6" s="420" t="str">
        <f t="shared" si="0"/>
        <v>OPkBlk3</v>
      </c>
      <c r="AA6" s="420" t="str">
        <f t="shared" si="0"/>
        <v>OPkBlk4</v>
      </c>
      <c r="AB6" s="420" t="str">
        <f t="shared" si="0"/>
        <v>OPkBlk5</v>
      </c>
      <c r="AC6" s="420" t="str">
        <f t="shared" si="0"/>
        <v>DemBlk1</v>
      </c>
      <c r="AD6" s="420" t="str">
        <f t="shared" si="0"/>
        <v>DemBlk2</v>
      </c>
      <c r="AE6" s="420" t="str">
        <f t="shared" si="0"/>
        <v>DemBlk3</v>
      </c>
      <c r="AF6" s="604" t="str">
        <f t="shared" si="0"/>
        <v>DemBlk4</v>
      </c>
      <c r="AG6" s="421" t="str">
        <f t="shared" si="0"/>
        <v>DemBlk5</v>
      </c>
      <c r="AH6" s="419" t="str">
        <f t="shared" ref="AH6:AV7" si="1">D6</f>
        <v>Fixed</v>
      </c>
      <c r="AI6" s="420" t="str">
        <f t="shared" si="1"/>
        <v>PkBlk1</v>
      </c>
      <c r="AJ6" s="420" t="str">
        <f t="shared" si="1"/>
        <v>PkBlk2</v>
      </c>
      <c r="AK6" s="420" t="str">
        <f t="shared" si="1"/>
        <v>PkBlk3</v>
      </c>
      <c r="AL6" s="420" t="str">
        <f t="shared" si="1"/>
        <v>PkBlk4</v>
      </c>
      <c r="AM6" s="420" t="str">
        <f t="shared" si="1"/>
        <v>OPkBlk1</v>
      </c>
      <c r="AN6" s="420" t="str">
        <f t="shared" si="1"/>
        <v>OPkBlk2</v>
      </c>
      <c r="AO6" s="420" t="str">
        <f t="shared" si="1"/>
        <v>OPkBlk3</v>
      </c>
      <c r="AP6" s="420" t="str">
        <f t="shared" si="1"/>
        <v>OPkBlk4</v>
      </c>
      <c r="AQ6" s="420" t="str">
        <f t="shared" si="1"/>
        <v>OPkBlk5</v>
      </c>
      <c r="AR6" s="420" t="str">
        <f t="shared" si="1"/>
        <v>DemBlk1</v>
      </c>
      <c r="AS6" s="420" t="str">
        <f t="shared" si="1"/>
        <v>DemBlk2</v>
      </c>
      <c r="AT6" s="420" t="str">
        <f t="shared" si="1"/>
        <v>DemBlk3</v>
      </c>
      <c r="AU6" s="604" t="str">
        <f t="shared" si="1"/>
        <v>DemBlk4</v>
      </c>
      <c r="AV6" s="421" t="str">
        <f t="shared" si="1"/>
        <v>DemBlk5</v>
      </c>
      <c r="AW6" s="419" t="str">
        <f t="shared" ref="AW6:BK7" si="2">D6</f>
        <v>Fixed</v>
      </c>
      <c r="AX6" s="420" t="str">
        <f t="shared" si="2"/>
        <v>PkBlk1</v>
      </c>
      <c r="AY6" s="420" t="str">
        <f t="shared" si="2"/>
        <v>PkBlk2</v>
      </c>
      <c r="AZ6" s="420" t="str">
        <f t="shared" si="2"/>
        <v>PkBlk3</v>
      </c>
      <c r="BA6" s="420" t="str">
        <f t="shared" si="2"/>
        <v>PkBlk4</v>
      </c>
      <c r="BB6" s="420" t="str">
        <f t="shared" si="2"/>
        <v>OPkBlk1</v>
      </c>
      <c r="BC6" s="420" t="str">
        <f t="shared" si="2"/>
        <v>OPkBlk2</v>
      </c>
      <c r="BD6" s="420" t="str">
        <f t="shared" si="2"/>
        <v>OPkBlk3</v>
      </c>
      <c r="BE6" s="420" t="str">
        <f t="shared" si="2"/>
        <v>OPkBlk4</v>
      </c>
      <c r="BF6" s="420" t="str">
        <f t="shared" si="2"/>
        <v>OPkBlk5</v>
      </c>
      <c r="BG6" s="420" t="str">
        <f t="shared" si="2"/>
        <v>DemBlk1</v>
      </c>
      <c r="BH6" s="420" t="str">
        <f t="shared" si="2"/>
        <v>DemBlk2</v>
      </c>
      <c r="BI6" s="420" t="str">
        <f t="shared" si="2"/>
        <v>DemBlk3</v>
      </c>
      <c r="BJ6" s="604" t="str">
        <f t="shared" si="2"/>
        <v>DemBlk4</v>
      </c>
      <c r="BK6" s="421" t="str">
        <f t="shared" si="2"/>
        <v>DemBlk5</v>
      </c>
    </row>
    <row r="7" spans="2:63" ht="25.5">
      <c r="B7" s="704"/>
      <c r="C7" s="705"/>
      <c r="D7" s="700" t="str">
        <f>'Prop DUOS'!E69&amp;IF('Prop DUOS'!E70="","","/")&amp;'Prop DUOS'!E70&amp;IF('Prop DUOS'!E71="","","/")&amp;'Prop DUOS'!E71</f>
        <v>cents/day</v>
      </c>
      <c r="E7" s="701" t="str">
        <f>'Prop DUOS'!F69&amp;IF('Prop DUOS'!F70="","","/")&amp;'Prop DUOS'!F70&amp;IF('Prop DUOS'!F71="","","/")&amp;'Prop DUOS'!F71</f>
        <v>cents/kWh</v>
      </c>
      <c r="F7" s="701" t="str">
        <f>'Prop DUOS'!G69&amp;IF('Prop DUOS'!G70="","","/")&amp;'Prop DUOS'!G70&amp;IF('Prop DUOS'!G71="","","/")&amp;'Prop DUOS'!G71</f>
        <v>cents/kWh</v>
      </c>
      <c r="G7" s="701" t="str">
        <f>'Prop DUOS'!H69&amp;IF('Prop DUOS'!H70="","","/")&amp;'Prop DUOS'!H70&amp;IF('Prop DUOS'!H71="","","/")&amp;'Prop DUOS'!H71</f>
        <v>cents/kWh</v>
      </c>
      <c r="H7" s="701" t="str">
        <f>'Prop DUOS'!I69&amp;IF('Prop DUOS'!I70="","","/")&amp;'Prop DUOS'!I70&amp;IF('Prop DUOS'!I71="","","/")&amp;'Prop DUOS'!I71</f>
        <v>cents/kWh</v>
      </c>
      <c r="I7" s="701" t="str">
        <f>'Prop DUOS'!J69&amp;IF('Prop DUOS'!J70="","","/")&amp;'Prop DUOS'!J70&amp;IF('Prop DUOS'!J71="","","/")&amp;'Prop DUOS'!J71</f>
        <v>cents/kWh</v>
      </c>
      <c r="J7" s="701" t="str">
        <f>'Prop DUOS'!K69&amp;IF('Prop DUOS'!K70="","","/")&amp;'Prop DUOS'!K70&amp;IF('Prop DUOS'!K71="","","/")&amp;'Prop DUOS'!K71</f>
        <v>cents/kWh</v>
      </c>
      <c r="K7" s="701" t="str">
        <f>'Prop DUOS'!L69&amp;IF('Prop DUOS'!L70="","","/")&amp;'Prop DUOS'!L70&amp;IF('Prop DUOS'!L71="","","/")&amp;'Prop DUOS'!L71</f>
        <v>cents/kWh</v>
      </c>
      <c r="L7" s="701" t="str">
        <f>'Prop DUOS'!M69&amp;IF('Prop DUOS'!M70="","","/")&amp;'Prop DUOS'!M70&amp;IF('Prop DUOS'!M71="","","/")&amp;'Prop DUOS'!M71</f>
        <v>cents/kWh</v>
      </c>
      <c r="M7" s="701" t="str">
        <f>'Prop DUOS'!N69&amp;IF('Prop DUOS'!N70="","","/")&amp;'Prop DUOS'!N70&amp;IF('Prop DUOS'!N71="","","/")&amp;'Prop DUOS'!N71</f>
        <v>cents/kWh</v>
      </c>
      <c r="N7" s="701" t="str">
        <f>'Prop DUOS'!O69&amp;IF('Prop DUOS'!O70="","","/")&amp;'Prop DUOS'!O70&amp;IF('Prop DUOS'!O71="","","/")&amp;'Prop DUOS'!O71</f>
        <v>cents/kVA/day</v>
      </c>
      <c r="O7" s="701" t="str">
        <f>'Prop DUOS'!P69&amp;IF('Prop DUOS'!P70="","","/")&amp;'Prop DUOS'!P70&amp;IF('Prop DUOS'!P71="","","/")&amp;'Prop DUOS'!P71</f>
        <v>cents/kVA/day</v>
      </c>
      <c r="P7" s="701" t="str">
        <f>'Prop DUOS'!Q69&amp;IF('Prop DUOS'!Q70="","","/")&amp;'Prop DUOS'!Q70&amp;IF('Prop DUOS'!Q71="","","/")&amp;'Prop DUOS'!Q71</f>
        <v>cents/kW/day</v>
      </c>
      <c r="Q7" s="702" t="str">
        <f>'Prop DUOS'!R69&amp;IF('Prop DUOS'!R70="","","/")&amp;'Prop DUOS'!R70&amp;IF('Prop DUOS'!R71="","","/")&amp;'Prop DUOS'!R71</f>
        <v>cents/kW/day</v>
      </c>
      <c r="R7" s="703" t="str">
        <f>'Prop DUOS'!S69&amp;IF('Prop DUOS'!S70="","","/")&amp;'Prop DUOS'!S70&amp;IF('Prop DUOS'!S71="","","/")&amp;'Prop DUOS'!S71</f>
        <v>cents/kW/day</v>
      </c>
      <c r="S7" s="700" t="str">
        <f t="shared" si="0"/>
        <v>cents/day</v>
      </c>
      <c r="T7" s="701" t="str">
        <f t="shared" si="0"/>
        <v>cents/kWh</v>
      </c>
      <c r="U7" s="701" t="str">
        <f t="shared" si="0"/>
        <v>cents/kWh</v>
      </c>
      <c r="V7" s="701" t="str">
        <f t="shared" si="0"/>
        <v>cents/kWh</v>
      </c>
      <c r="W7" s="701" t="str">
        <f t="shared" si="0"/>
        <v>cents/kWh</v>
      </c>
      <c r="X7" s="701" t="str">
        <f t="shared" si="0"/>
        <v>cents/kWh</v>
      </c>
      <c r="Y7" s="701" t="str">
        <f t="shared" si="0"/>
        <v>cents/kWh</v>
      </c>
      <c r="Z7" s="701" t="str">
        <f t="shared" si="0"/>
        <v>cents/kWh</v>
      </c>
      <c r="AA7" s="701" t="str">
        <f t="shared" si="0"/>
        <v>cents/kWh</v>
      </c>
      <c r="AB7" s="701" t="str">
        <f t="shared" si="0"/>
        <v>cents/kWh</v>
      </c>
      <c r="AC7" s="701" t="str">
        <f t="shared" si="0"/>
        <v>cents/kVA/day</v>
      </c>
      <c r="AD7" s="701" t="str">
        <f t="shared" si="0"/>
        <v>cents/kVA/day</v>
      </c>
      <c r="AE7" s="701" t="str">
        <f t="shared" si="0"/>
        <v>cents/kW/day</v>
      </c>
      <c r="AF7" s="702" t="str">
        <f t="shared" si="0"/>
        <v>cents/kW/day</v>
      </c>
      <c r="AG7" s="703" t="str">
        <f t="shared" si="0"/>
        <v>cents/kW/day</v>
      </c>
      <c r="AH7" s="700" t="str">
        <f t="shared" si="1"/>
        <v>cents/day</v>
      </c>
      <c r="AI7" s="701" t="str">
        <f t="shared" si="1"/>
        <v>cents/kWh</v>
      </c>
      <c r="AJ7" s="701" t="str">
        <f t="shared" si="1"/>
        <v>cents/kWh</v>
      </c>
      <c r="AK7" s="701" t="str">
        <f t="shared" si="1"/>
        <v>cents/kWh</v>
      </c>
      <c r="AL7" s="701" t="str">
        <f t="shared" si="1"/>
        <v>cents/kWh</v>
      </c>
      <c r="AM7" s="701" t="str">
        <f t="shared" si="1"/>
        <v>cents/kWh</v>
      </c>
      <c r="AN7" s="701" t="str">
        <f t="shared" si="1"/>
        <v>cents/kWh</v>
      </c>
      <c r="AO7" s="701" t="str">
        <f t="shared" si="1"/>
        <v>cents/kWh</v>
      </c>
      <c r="AP7" s="701" t="str">
        <f t="shared" si="1"/>
        <v>cents/kWh</v>
      </c>
      <c r="AQ7" s="701" t="str">
        <f t="shared" si="1"/>
        <v>cents/kWh</v>
      </c>
      <c r="AR7" s="701" t="str">
        <f t="shared" si="1"/>
        <v>cents/kVA/day</v>
      </c>
      <c r="AS7" s="701" t="str">
        <f t="shared" si="1"/>
        <v>cents/kVA/day</v>
      </c>
      <c r="AT7" s="701" t="str">
        <f t="shared" si="1"/>
        <v>cents/kW/day</v>
      </c>
      <c r="AU7" s="702" t="str">
        <f t="shared" si="1"/>
        <v>cents/kW/day</v>
      </c>
      <c r="AV7" s="703" t="str">
        <f t="shared" si="1"/>
        <v>cents/kW/day</v>
      </c>
      <c r="AW7" s="700" t="str">
        <f t="shared" si="2"/>
        <v>cents/day</v>
      </c>
      <c r="AX7" s="701" t="str">
        <f t="shared" si="2"/>
        <v>cents/kWh</v>
      </c>
      <c r="AY7" s="701" t="str">
        <f t="shared" si="2"/>
        <v>cents/kWh</v>
      </c>
      <c r="AZ7" s="701" t="str">
        <f t="shared" si="2"/>
        <v>cents/kWh</v>
      </c>
      <c r="BA7" s="701" t="str">
        <f t="shared" si="2"/>
        <v>cents/kWh</v>
      </c>
      <c r="BB7" s="701" t="str">
        <f t="shared" si="2"/>
        <v>cents/kWh</v>
      </c>
      <c r="BC7" s="701" t="str">
        <f t="shared" si="2"/>
        <v>cents/kWh</v>
      </c>
      <c r="BD7" s="701" t="str">
        <f t="shared" si="2"/>
        <v>cents/kWh</v>
      </c>
      <c r="BE7" s="701" t="str">
        <f t="shared" si="2"/>
        <v>cents/kWh</v>
      </c>
      <c r="BF7" s="701" t="str">
        <f t="shared" si="2"/>
        <v>cents/kWh</v>
      </c>
      <c r="BG7" s="701" t="str">
        <f t="shared" si="2"/>
        <v>cents/kVA/day</v>
      </c>
      <c r="BH7" s="701" t="str">
        <f t="shared" si="2"/>
        <v>cents/kVA/day</v>
      </c>
      <c r="BI7" s="701" t="str">
        <f t="shared" si="2"/>
        <v>cents/kW/day</v>
      </c>
      <c r="BJ7" s="702" t="str">
        <f t="shared" si="2"/>
        <v>cents/kW/day</v>
      </c>
      <c r="BK7" s="703" t="str">
        <f t="shared" si="2"/>
        <v>cents/kW/day</v>
      </c>
    </row>
    <row r="8" spans="2:63">
      <c r="B8" s="416" t="str">
        <f>IF('Prop DUOS'!B7="","",'Prop DUOS'!B7)</f>
        <v>Residential Single Rate</v>
      </c>
      <c r="C8" s="376" t="str">
        <f>IF(B8="","",INDEX('Side constraints'!$C$33:$C$92,MATCH('Prop DUOS'!B7,'Side constraints'!$D$33:$D$92,0),1))</f>
        <v>Residential</v>
      </c>
      <c r="D8" s="422">
        <f t="shared" ref="D8:R8" si="3">IF($B8="","",IF(S8="", IF(AH8="", IF(AW8-"","",S8+AH8+AW8),S8+AH8+AW8),S8+AH8+AW8))</f>
        <v>21.92</v>
      </c>
      <c r="E8" s="423">
        <f t="shared" si="3"/>
        <v>7.99</v>
      </c>
      <c r="F8" s="423">
        <f t="shared" si="3"/>
        <v>0</v>
      </c>
      <c r="G8" s="423">
        <f t="shared" si="3"/>
        <v>0</v>
      </c>
      <c r="H8" s="423">
        <f t="shared" si="3"/>
        <v>0</v>
      </c>
      <c r="I8" s="423">
        <f t="shared" si="3"/>
        <v>0</v>
      </c>
      <c r="J8" s="423">
        <f t="shared" si="3"/>
        <v>0</v>
      </c>
      <c r="K8" s="423">
        <f t="shared" si="3"/>
        <v>0</v>
      </c>
      <c r="L8" s="423">
        <f t="shared" si="3"/>
        <v>0</v>
      </c>
      <c r="M8" s="423">
        <f t="shared" si="3"/>
        <v>0</v>
      </c>
      <c r="N8" s="423">
        <f t="shared" si="3"/>
        <v>0</v>
      </c>
      <c r="O8" s="423">
        <f t="shared" si="3"/>
        <v>0</v>
      </c>
      <c r="P8" s="423">
        <f t="shared" si="3"/>
        <v>0</v>
      </c>
      <c r="Q8" s="605">
        <f t="shared" si="3"/>
        <v>0</v>
      </c>
      <c r="R8" s="424">
        <f t="shared" si="3"/>
        <v>0</v>
      </c>
      <c r="S8" s="422">
        <f>IF($B8="","",IF('Prop DUOS'!E7="",0,'Prop DUOS'!E7))</f>
        <v>17</v>
      </c>
      <c r="T8" s="423">
        <f>IF($B8="","",IF('Prop DUOS'!F7="",0,'Prop DUOS'!F7))</f>
        <v>6.22</v>
      </c>
      <c r="U8" s="423">
        <f>IF($B8="","",IF('Prop DUOS'!G7="",0,'Prop DUOS'!G7))</f>
        <v>0</v>
      </c>
      <c r="V8" s="423">
        <f>IF($B8="","",IF('Prop DUOS'!H7="",0,'Prop DUOS'!H7))</f>
        <v>0</v>
      </c>
      <c r="W8" s="423">
        <f>IF($B8="","",IF('Prop DUOS'!I7="",0,'Prop DUOS'!I7))</f>
        <v>0</v>
      </c>
      <c r="X8" s="423">
        <f>IF($B8="","",IF('Prop DUOS'!J7="",0,'Prop DUOS'!J7))</f>
        <v>0</v>
      </c>
      <c r="Y8" s="423">
        <f>IF($B8="","",IF('Prop DUOS'!K7="",0,'Prop DUOS'!K7))</f>
        <v>0</v>
      </c>
      <c r="Z8" s="423">
        <f>IF($B8="","",IF('Prop DUOS'!L7="",0,'Prop DUOS'!L7))</f>
        <v>0</v>
      </c>
      <c r="AA8" s="423">
        <f>IF($B8="","",IF('Prop DUOS'!M7="",0,'Prop DUOS'!M7))</f>
        <v>0</v>
      </c>
      <c r="AB8" s="423">
        <f>IF($B8="","",IF('Prop DUOS'!N7="",0,'Prop DUOS'!N7))</f>
        <v>0</v>
      </c>
      <c r="AC8" s="423">
        <f>IF($B8="","",IF('Prop DUOS'!O7="",0,'Prop DUOS'!O7))</f>
        <v>0</v>
      </c>
      <c r="AD8" s="423">
        <f>IF($B8="","",IF('Prop DUOS'!P7="",0,'Prop DUOS'!P7))</f>
        <v>0</v>
      </c>
      <c r="AE8" s="423">
        <f>IF($B8="","",IF('Prop DUOS'!Q7="",0,'Prop DUOS'!Q7))</f>
        <v>0</v>
      </c>
      <c r="AF8" s="605">
        <f>IF($B8="","",IF('Prop DUOS'!R7="",0,'Prop DUOS'!R7))</f>
        <v>0</v>
      </c>
      <c r="AG8" s="424">
        <f>IF($B8="","",IF('Prop DUOS'!S7="",0,'Prop DUOS'!S7))</f>
        <v>0</v>
      </c>
      <c r="AH8" s="422">
        <f>IF($B8="","",IF('Prop TUOS'!D7="",0,'Prop TUOS'!D7))</f>
        <v>0</v>
      </c>
      <c r="AI8" s="423">
        <f>IF($B8="","",IF('Prop TUOS'!E7="",0,'Prop TUOS'!E7))</f>
        <v>1.77</v>
      </c>
      <c r="AJ8" s="423">
        <f>IF($B8="","",IF('Prop TUOS'!F7="",0,'Prop TUOS'!F7))</f>
        <v>0</v>
      </c>
      <c r="AK8" s="423">
        <f>IF($B8="","",IF('Prop TUOS'!G7="",0,'Prop TUOS'!G7))</f>
        <v>0</v>
      </c>
      <c r="AL8" s="423">
        <f>IF($B8="","",IF('Prop TUOS'!H7="",0,'Prop TUOS'!H7))</f>
        <v>0</v>
      </c>
      <c r="AM8" s="423">
        <f>IF($B8="","",IF('Prop TUOS'!I7="",0,'Prop TUOS'!I7))</f>
        <v>0</v>
      </c>
      <c r="AN8" s="423">
        <f>IF($B8="","",IF('Prop TUOS'!J7="",0,'Prop TUOS'!J7))</f>
        <v>0</v>
      </c>
      <c r="AO8" s="423">
        <f>IF($B8="","",IF('Prop TUOS'!K7="",0,'Prop TUOS'!K7))</f>
        <v>0</v>
      </c>
      <c r="AP8" s="423">
        <f>IF($B8="","",IF('Prop TUOS'!L7="",0,'Prop TUOS'!L7))</f>
        <v>0</v>
      </c>
      <c r="AQ8" s="423">
        <f>IF($B8="","",IF('Prop TUOS'!M7="",0,'Prop TUOS'!M7))</f>
        <v>0</v>
      </c>
      <c r="AR8" s="423">
        <f>IF($B8="","",IF('Prop TUOS'!N7="",0,'Prop TUOS'!N7))</f>
        <v>0</v>
      </c>
      <c r="AS8" s="423">
        <f>IF($B8="","",IF('Prop TUOS'!O7="",0,'Prop TUOS'!O7))</f>
        <v>0</v>
      </c>
      <c r="AT8" s="423">
        <f>IF($B8="","",IF('Prop TUOS'!P7="",0,'Prop TUOS'!P7))</f>
        <v>0</v>
      </c>
      <c r="AU8" s="605">
        <f>IF($B8="","",IF('Prop TUOS'!Q7="",0,'Prop TUOS'!Q7))</f>
        <v>0</v>
      </c>
      <c r="AV8" s="424">
        <f>IF($B8="","",IF('Prop TUOS'!R7="",0,'Prop TUOS'!R7))</f>
        <v>0</v>
      </c>
      <c r="AW8" s="422">
        <f>IF($B8="","",IF('Prop JUOS'!D7="",0,'Prop JUOS'!D7))</f>
        <v>4.92</v>
      </c>
      <c r="AX8" s="423">
        <f>IF($B8="","",IF('Prop JUOS'!E7="",0,'Prop JUOS'!E7))</f>
        <v>0</v>
      </c>
      <c r="AY8" s="423">
        <f>IF($B8="","",IF('Prop JUOS'!F7="",0,'Prop JUOS'!F7))</f>
        <v>0</v>
      </c>
      <c r="AZ8" s="423">
        <f>IF($B8="","",IF('Prop JUOS'!G7="",0,'Prop JUOS'!G7))</f>
        <v>0</v>
      </c>
      <c r="BA8" s="423">
        <f>IF($B8="","",IF('Prop JUOS'!H7="",0,'Prop JUOS'!H7))</f>
        <v>0</v>
      </c>
      <c r="BB8" s="423">
        <f>IF($B8="","",IF('Prop JUOS'!I7="",0,'Prop JUOS'!I7))</f>
        <v>0</v>
      </c>
      <c r="BC8" s="423">
        <f>IF($B8="","",IF('Prop JUOS'!J7="",0,'Prop JUOS'!J7))</f>
        <v>0</v>
      </c>
      <c r="BD8" s="423">
        <f>IF($B8="","",IF('Prop JUOS'!K7="",0,'Prop JUOS'!K7))</f>
        <v>0</v>
      </c>
      <c r="BE8" s="423">
        <f>IF($B8="","",IF('Prop JUOS'!L7="",0,'Prop JUOS'!L7))</f>
        <v>0</v>
      </c>
      <c r="BF8" s="423">
        <f>IF($B8="","",IF('Prop JUOS'!M7="",0,'Prop JUOS'!M7))</f>
        <v>0</v>
      </c>
      <c r="BG8" s="423">
        <f>IF($B8="","",IF('Prop JUOS'!N7="",0,'Prop JUOS'!N7))</f>
        <v>0</v>
      </c>
      <c r="BH8" s="423">
        <f>IF($B8="","",IF('Prop JUOS'!O7="",0,'Prop JUOS'!O7))</f>
        <v>0</v>
      </c>
      <c r="BI8" s="423">
        <f>IF($B8="","",IF('Prop JUOS'!P7="",0,'Prop JUOS'!P7))</f>
        <v>0</v>
      </c>
      <c r="BJ8" s="605">
        <f>IF($B8="","",IF('Prop JUOS'!Q7="",0,'Prop JUOS'!Q7))</f>
        <v>0</v>
      </c>
      <c r="BK8" s="424">
        <f>IF($B8="","",IF('Prop JUOS'!R7="",0,'Prop JUOS'!R7))</f>
        <v>0</v>
      </c>
    </row>
    <row r="9" spans="2:63">
      <c r="B9" s="416" t="str">
        <f>IF('Prop DUOS'!B8="","",'Prop DUOS'!B8)</f>
        <v>Residential ToU</v>
      </c>
      <c r="C9" s="376" t="str">
        <f>IF(B9="","",INDEX('Side constraints'!$C$33:$C$92,MATCH('Prop DUOS'!B8,'Side constraints'!$D$33:$D$92,0),1))</f>
        <v>Residential</v>
      </c>
      <c r="D9" s="425">
        <f t="shared" ref="D9:D40" si="4">IF($B9="","",IF(S9="", IF(AH9="", IF(AW9-"","",S9+AH9+AW9),S9+AH9+AW9),S9+AH9+AW9))</f>
        <v>21.92</v>
      </c>
      <c r="E9" s="426">
        <f t="shared" ref="E9:E40" si="5">IF($B9="","",IF(T9="", IF(AI9="", IF(AX9-"","",T9+AI9+AX9),T9+AI9+AX9),T9+AI9+AX9))</f>
        <v>0</v>
      </c>
      <c r="F9" s="426">
        <f t="shared" ref="F9:F40" si="6">IF($B9="","",IF(U9="", IF(AJ9="", IF(AY9-"","",U9+AJ9+AY9),U9+AJ9+AY9),U9+AJ9+AY9))</f>
        <v>15.79</v>
      </c>
      <c r="G9" s="426">
        <f t="shared" ref="G9:G40" si="7">IF($B9="","",IF(V9="", IF(AK9="", IF(AZ9-"","",V9+AK9+AZ9),V9+AK9+AZ9),V9+AK9+AZ9))</f>
        <v>3.9499999999999997</v>
      </c>
      <c r="H9" s="426">
        <f t="shared" ref="H9:H40" si="8">IF($B9="","",IF(W9="", IF(AL9="", IF(BA9-"","",W9+AL9+BA9),W9+AL9+BA9),W9+AL9+BA9))</f>
        <v>0</v>
      </c>
      <c r="I9" s="426">
        <f t="shared" ref="I9:I40" si="9">IF($B9="","",IF(X9="", IF(AM9="", IF(BB9-"","",X9+AM9+BB9),X9+AM9+BB9),X9+AM9+BB9))</f>
        <v>0</v>
      </c>
      <c r="J9" s="426">
        <f t="shared" ref="J9:J40" si="10">IF($B9="","",IF(Y9="", IF(AN9="", IF(BC9-"","",Y9+AN9+BC9),Y9+AN9+BC9),Y9+AN9+BC9))</f>
        <v>0</v>
      </c>
      <c r="K9" s="426">
        <f t="shared" ref="K9:K40" si="11">IF($B9="","",IF(Z9="", IF(AO9="", IF(BD9-"","",Z9+AO9+BD9),Z9+AO9+BD9),Z9+AO9+BD9))</f>
        <v>0</v>
      </c>
      <c r="L9" s="426">
        <f t="shared" ref="L9:L40" si="12">IF($B9="","",IF(AA9="", IF(AP9="", IF(BE9-"","",AA9+AP9+BE9),AA9+AP9+BE9),AA9+AP9+BE9))</f>
        <v>0</v>
      </c>
      <c r="M9" s="426">
        <f t="shared" ref="M9:M67" si="13">IF($B9="","",IF(AB9="", IF(AQ9="", IF(BF9-"","",AB9+AQ9+BF9),AB9+AQ9+BF9),AB9+AQ9+BF9))</f>
        <v>0</v>
      </c>
      <c r="N9" s="426">
        <f t="shared" ref="N9:N67" si="14">IF($B9="","",IF(AC9="", IF(AR9="", IF(BG9-"","",AC9+AR9+BG9),AC9+AR9+BG9),AC9+AR9+BG9))</f>
        <v>0</v>
      </c>
      <c r="O9" s="426">
        <f t="shared" ref="O9:O67" si="15">IF($B9="","",IF(AD9="", IF(AS9="", IF(BH9-"","",AD9+AS9+BH9),AD9+AS9+BH9),AD9+AS9+BH9))</f>
        <v>0</v>
      </c>
      <c r="P9" s="426">
        <f t="shared" ref="P9:P67" si="16">IF($B9="","",IF(AE9="", IF(AT9="", IF(BI9-"","",AE9+AT9+BI9),AE9+AT9+BI9),AE9+AT9+BI9))</f>
        <v>0</v>
      </c>
      <c r="Q9" s="606">
        <f t="shared" ref="Q9:Q67" si="17">IF($B9="","",IF(AF9="", IF(AU9="", IF(BJ9-"","",AF9+AU9+BJ9),AF9+AU9+BJ9),AF9+AU9+BJ9))</f>
        <v>0</v>
      </c>
      <c r="R9" s="427">
        <f t="shared" ref="R9:R67" si="18">IF($B9="","",IF(AG9="", IF(AV9="", IF(BK9-"","",AG9+AV9+BK9),AG9+AV9+BK9),AG9+AV9+BK9))</f>
        <v>0</v>
      </c>
      <c r="S9" s="425">
        <f>IF($B9="","",IF('Prop DUOS'!E8="",0,'Prop DUOS'!E8))</f>
        <v>17</v>
      </c>
      <c r="T9" s="426">
        <f>IF($B9="","",IF('Prop DUOS'!F8="",0,'Prop DUOS'!F8))</f>
        <v>0</v>
      </c>
      <c r="U9" s="426">
        <f>IF($B9="","",IF('Prop DUOS'!G8="",0,'Prop DUOS'!G8))</f>
        <v>12.33</v>
      </c>
      <c r="V9" s="426">
        <f>IF($B9="","",IF('Prop DUOS'!H8="",0,'Prop DUOS'!H8))</f>
        <v>3.09</v>
      </c>
      <c r="W9" s="426">
        <f>IF($B9="","",IF('Prop DUOS'!I8="",0,'Prop DUOS'!I8))</f>
        <v>0</v>
      </c>
      <c r="X9" s="426">
        <f>IF($B9="","",IF('Prop DUOS'!J8="",0,'Prop DUOS'!J8))</f>
        <v>0</v>
      </c>
      <c r="Y9" s="426">
        <f>IF($B9="","",IF('Prop DUOS'!K8="",0,'Prop DUOS'!K8))</f>
        <v>0</v>
      </c>
      <c r="Z9" s="426">
        <f>IF($B9="","",IF('Prop DUOS'!L8="",0,'Prop DUOS'!L8))</f>
        <v>0</v>
      </c>
      <c r="AA9" s="426">
        <f>IF($B9="","",IF('Prop DUOS'!M8="",0,'Prop DUOS'!M8))</f>
        <v>0</v>
      </c>
      <c r="AB9" s="426">
        <f>IF($B9="","",IF('Prop DUOS'!N8="",0,'Prop DUOS'!N8))</f>
        <v>0</v>
      </c>
      <c r="AC9" s="426">
        <f>IF($B9="","",IF('Prop DUOS'!O8="",0,'Prop DUOS'!O8))</f>
        <v>0</v>
      </c>
      <c r="AD9" s="426">
        <f>IF($B9="","",IF('Prop DUOS'!P8="",0,'Prop DUOS'!P8))</f>
        <v>0</v>
      </c>
      <c r="AE9" s="426">
        <f>IF($B9="","",IF('Prop DUOS'!Q8="",0,'Prop DUOS'!Q8))</f>
        <v>0</v>
      </c>
      <c r="AF9" s="606">
        <f>IF($B9="","",IF('Prop DUOS'!R8="",0,'Prop DUOS'!R8))</f>
        <v>0</v>
      </c>
      <c r="AG9" s="427">
        <f>IF($B9="","",IF('Prop DUOS'!S8="",0,'Prop DUOS'!S8))</f>
        <v>0</v>
      </c>
      <c r="AH9" s="425">
        <f>IF($B9="","",IF('Prop TUOS'!D8="",0,'Prop TUOS'!D8))</f>
        <v>0</v>
      </c>
      <c r="AI9" s="426">
        <f>IF($B9="","",IF('Prop TUOS'!E8="",0,'Prop TUOS'!E8))</f>
        <v>0</v>
      </c>
      <c r="AJ9" s="426">
        <f>IF($B9="","",IF('Prop TUOS'!F8="",0,'Prop TUOS'!F8))</f>
        <v>3.46</v>
      </c>
      <c r="AK9" s="426">
        <f>IF($B9="","",IF('Prop TUOS'!G8="",0,'Prop TUOS'!G8))</f>
        <v>0.86</v>
      </c>
      <c r="AL9" s="426">
        <f>IF($B9="","",IF('Prop TUOS'!H8="",0,'Prop TUOS'!H8))</f>
        <v>0</v>
      </c>
      <c r="AM9" s="426">
        <f>IF($B9="","",IF('Prop TUOS'!I8="",0,'Prop TUOS'!I8))</f>
        <v>0</v>
      </c>
      <c r="AN9" s="426">
        <f>IF($B9="","",IF('Prop TUOS'!J8="",0,'Prop TUOS'!J8))</f>
        <v>0</v>
      </c>
      <c r="AO9" s="426">
        <f>IF($B9="","",IF('Prop TUOS'!K8="",0,'Prop TUOS'!K8))</f>
        <v>0</v>
      </c>
      <c r="AP9" s="426">
        <f>IF($B9="","",IF('Prop TUOS'!L8="",0,'Prop TUOS'!L8))</f>
        <v>0</v>
      </c>
      <c r="AQ9" s="426">
        <f>IF($B9="","",IF('Prop TUOS'!M8="",0,'Prop TUOS'!M8))</f>
        <v>0</v>
      </c>
      <c r="AR9" s="426">
        <f>IF($B9="","",IF('Prop TUOS'!N8="",0,'Prop TUOS'!N8))</f>
        <v>0</v>
      </c>
      <c r="AS9" s="426">
        <f>IF($B9="","",IF('Prop TUOS'!O8="",0,'Prop TUOS'!O8))</f>
        <v>0</v>
      </c>
      <c r="AT9" s="426">
        <f>IF($B9="","",IF('Prop TUOS'!P8="",0,'Prop TUOS'!P8))</f>
        <v>0</v>
      </c>
      <c r="AU9" s="606">
        <f>IF($B9="","",IF('Prop TUOS'!Q8="",0,'Prop TUOS'!Q8))</f>
        <v>0</v>
      </c>
      <c r="AV9" s="427">
        <f>IF($B9="","",IF('Prop TUOS'!R8="",0,'Prop TUOS'!R8))</f>
        <v>0</v>
      </c>
      <c r="AW9" s="425">
        <f>IF($B9="","",IF('Prop JUOS'!D8="",0,'Prop JUOS'!D8))</f>
        <v>4.92</v>
      </c>
      <c r="AX9" s="426">
        <f>IF($B9="","",IF('Prop JUOS'!E8="",0,'Prop JUOS'!E8))</f>
        <v>0</v>
      </c>
      <c r="AY9" s="426">
        <f>IF($B9="","",IF('Prop JUOS'!F8="",0,'Prop JUOS'!F8))</f>
        <v>0</v>
      </c>
      <c r="AZ9" s="426">
        <f>IF($B9="","",IF('Prop JUOS'!G8="",0,'Prop JUOS'!G8))</f>
        <v>0</v>
      </c>
      <c r="BA9" s="426">
        <f>IF($B9="","",IF('Prop JUOS'!H8="",0,'Prop JUOS'!H8))</f>
        <v>0</v>
      </c>
      <c r="BB9" s="426">
        <f>IF($B9="","",IF('Prop JUOS'!I8="",0,'Prop JUOS'!I8))</f>
        <v>0</v>
      </c>
      <c r="BC9" s="426">
        <f>IF($B9="","",IF('Prop JUOS'!J8="",0,'Prop JUOS'!J8))</f>
        <v>0</v>
      </c>
      <c r="BD9" s="426">
        <f>IF($B9="","",IF('Prop JUOS'!K8="",0,'Prop JUOS'!K8))</f>
        <v>0</v>
      </c>
      <c r="BE9" s="426">
        <f>IF($B9="","",IF('Prop JUOS'!L8="",0,'Prop JUOS'!L8))</f>
        <v>0</v>
      </c>
      <c r="BF9" s="426">
        <f>IF($B9="","",IF('Prop JUOS'!M8="",0,'Prop JUOS'!M8))</f>
        <v>0</v>
      </c>
      <c r="BG9" s="426">
        <f>IF($B9="","",IF('Prop JUOS'!N8="",0,'Prop JUOS'!N8))</f>
        <v>0</v>
      </c>
      <c r="BH9" s="426">
        <f>IF($B9="","",IF('Prop JUOS'!O8="",0,'Prop JUOS'!O8))</f>
        <v>0</v>
      </c>
      <c r="BI9" s="426">
        <f>IF($B9="","",IF('Prop JUOS'!P8="",0,'Prop JUOS'!P8))</f>
        <v>0</v>
      </c>
      <c r="BJ9" s="606">
        <f>IF($B9="","",IF('Prop JUOS'!Q8="",0,'Prop JUOS'!Q8))</f>
        <v>0</v>
      </c>
      <c r="BK9" s="427">
        <f>IF($B9="","",IF('Prop JUOS'!R8="",0,'Prop JUOS'!R8))</f>
        <v>0</v>
      </c>
    </row>
    <row r="10" spans="2:63">
      <c r="B10" s="416" t="str">
        <f>IF('Prop DUOS'!B9="","",'Prop DUOS'!B9)</f>
        <v>Residential Demand</v>
      </c>
      <c r="C10" s="376" t="str">
        <f>IF(B10="","",INDEX('Side constraints'!$C$33:$C$92,MATCH('Prop DUOS'!B9,'Side constraints'!$D$33:$D$92,0),1))</f>
        <v>Residential</v>
      </c>
      <c r="D10" s="425">
        <f t="shared" si="4"/>
        <v>21.92</v>
      </c>
      <c r="E10" s="426">
        <f t="shared" si="5"/>
        <v>4.0600000000000005</v>
      </c>
      <c r="F10" s="426">
        <f t="shared" si="6"/>
        <v>0</v>
      </c>
      <c r="G10" s="426">
        <f t="shared" si="7"/>
        <v>0</v>
      </c>
      <c r="H10" s="426">
        <f t="shared" si="8"/>
        <v>0</v>
      </c>
      <c r="I10" s="426">
        <f t="shared" si="9"/>
        <v>0</v>
      </c>
      <c r="J10" s="426">
        <f t="shared" si="10"/>
        <v>0</v>
      </c>
      <c r="K10" s="426">
        <f t="shared" si="11"/>
        <v>0</v>
      </c>
      <c r="L10" s="426">
        <f t="shared" si="12"/>
        <v>0</v>
      </c>
      <c r="M10" s="426">
        <f t="shared" si="13"/>
        <v>0</v>
      </c>
      <c r="N10" s="426">
        <f t="shared" si="14"/>
        <v>0</v>
      </c>
      <c r="O10" s="426">
        <f t="shared" si="15"/>
        <v>0</v>
      </c>
      <c r="P10" s="426">
        <f t="shared" si="16"/>
        <v>31.59</v>
      </c>
      <c r="Q10" s="606">
        <f t="shared" si="17"/>
        <v>10.780000000000001</v>
      </c>
      <c r="R10" s="427">
        <f t="shared" si="18"/>
        <v>0</v>
      </c>
      <c r="S10" s="425">
        <f>IF($B10="","",IF('Prop DUOS'!E9="",0,'Prop DUOS'!E9))</f>
        <v>17</v>
      </c>
      <c r="T10" s="426">
        <f>IF($B10="","",IF('Prop DUOS'!F9="",0,'Prop DUOS'!F9))</f>
        <v>2.29</v>
      </c>
      <c r="U10" s="426">
        <f>IF($B10="","",IF('Prop DUOS'!G9="",0,'Prop DUOS'!G9))</f>
        <v>0</v>
      </c>
      <c r="V10" s="426">
        <f>IF($B10="","",IF('Prop DUOS'!H9="",0,'Prop DUOS'!H9))</f>
        <v>0</v>
      </c>
      <c r="W10" s="426">
        <f>IF($B10="","",IF('Prop DUOS'!I9="",0,'Prop DUOS'!I9))</f>
        <v>0</v>
      </c>
      <c r="X10" s="426">
        <f>IF($B10="","",IF('Prop DUOS'!J9="",0,'Prop DUOS'!J9))</f>
        <v>0</v>
      </c>
      <c r="Y10" s="426">
        <f>IF($B10="","",IF('Prop DUOS'!K9="",0,'Prop DUOS'!K9))</f>
        <v>0</v>
      </c>
      <c r="Z10" s="426">
        <f>IF($B10="","",IF('Prop DUOS'!L9="",0,'Prop DUOS'!L9))</f>
        <v>0</v>
      </c>
      <c r="AA10" s="426">
        <f>IF($B10="","",IF('Prop DUOS'!M9="",0,'Prop DUOS'!M9))</f>
        <v>0</v>
      </c>
      <c r="AB10" s="426">
        <f>IF($B10="","",IF('Prop DUOS'!N9="",0,'Prop DUOS'!N9))</f>
        <v>0</v>
      </c>
      <c r="AC10" s="426">
        <f>IF($B10="","",IF('Prop DUOS'!O9="",0,'Prop DUOS'!O9))</f>
        <v>0</v>
      </c>
      <c r="AD10" s="426">
        <f>IF($B10="","",IF('Prop DUOS'!P9="",0,'Prop DUOS'!P9))</f>
        <v>0</v>
      </c>
      <c r="AE10" s="426">
        <f>IF($B10="","",IF('Prop DUOS'!Q9="",0,'Prop DUOS'!Q9))</f>
        <v>22.16</v>
      </c>
      <c r="AF10" s="606">
        <f>IF($B10="","",IF('Prop DUOS'!R9="",0,'Prop DUOS'!R9))</f>
        <v>8.74</v>
      </c>
      <c r="AG10" s="427">
        <f>IF($B10="","",IF('Prop DUOS'!S9="",0,'Prop DUOS'!S9))</f>
        <v>0</v>
      </c>
      <c r="AH10" s="425">
        <f>IF($B10="","",IF('Prop TUOS'!D9="",0,'Prop TUOS'!D9))</f>
        <v>0</v>
      </c>
      <c r="AI10" s="426">
        <f>IF($B10="","",IF('Prop TUOS'!E9="",0,'Prop TUOS'!E9))</f>
        <v>1.77</v>
      </c>
      <c r="AJ10" s="426">
        <f>IF($B10="","",IF('Prop TUOS'!F9="",0,'Prop TUOS'!F9))</f>
        <v>0</v>
      </c>
      <c r="AK10" s="426">
        <f>IF($B10="","",IF('Prop TUOS'!G9="",0,'Prop TUOS'!G9))</f>
        <v>0</v>
      </c>
      <c r="AL10" s="426">
        <f>IF($B10="","",IF('Prop TUOS'!H9="",0,'Prop TUOS'!H9))</f>
        <v>0</v>
      </c>
      <c r="AM10" s="426">
        <f>IF($B10="","",IF('Prop TUOS'!I9="",0,'Prop TUOS'!I9))</f>
        <v>0</v>
      </c>
      <c r="AN10" s="426">
        <f>IF($B10="","",IF('Prop TUOS'!J9="",0,'Prop TUOS'!J9))</f>
        <v>0</v>
      </c>
      <c r="AO10" s="426">
        <f>IF($B10="","",IF('Prop TUOS'!K9="",0,'Prop TUOS'!K9))</f>
        <v>0</v>
      </c>
      <c r="AP10" s="426">
        <f>IF($B10="","",IF('Prop TUOS'!L9="",0,'Prop TUOS'!L9))</f>
        <v>0</v>
      </c>
      <c r="AQ10" s="426">
        <f>IF($B10="","",IF('Prop TUOS'!M9="",0,'Prop TUOS'!M9))</f>
        <v>0</v>
      </c>
      <c r="AR10" s="426">
        <f>IF($B10="","",IF('Prop TUOS'!N9="",0,'Prop TUOS'!N9))</f>
        <v>0</v>
      </c>
      <c r="AS10" s="426">
        <f>IF($B10="","",IF('Prop TUOS'!O9="",0,'Prop TUOS'!O9))</f>
        <v>0</v>
      </c>
      <c r="AT10" s="426">
        <f>IF($B10="","",IF('Prop TUOS'!P9="",0,'Prop TUOS'!P9))</f>
        <v>9.43</v>
      </c>
      <c r="AU10" s="606">
        <f>IF($B10="","",IF('Prop TUOS'!Q9="",0,'Prop TUOS'!Q9))</f>
        <v>2.04</v>
      </c>
      <c r="AV10" s="427">
        <f>IF($B10="","",IF('Prop TUOS'!R9="",0,'Prop TUOS'!R9))</f>
        <v>0</v>
      </c>
      <c r="AW10" s="425">
        <f>IF($B10="","",IF('Prop JUOS'!D9="",0,'Prop JUOS'!D9))</f>
        <v>4.92</v>
      </c>
      <c r="AX10" s="426">
        <f>IF($B10="","",IF('Prop JUOS'!E9="",0,'Prop JUOS'!E9))</f>
        <v>0</v>
      </c>
      <c r="AY10" s="426">
        <f>IF($B10="","",IF('Prop JUOS'!F9="",0,'Prop JUOS'!F9))</f>
        <v>0</v>
      </c>
      <c r="AZ10" s="426">
        <f>IF($B10="","",IF('Prop JUOS'!G9="",0,'Prop JUOS'!G9))</f>
        <v>0</v>
      </c>
      <c r="BA10" s="426">
        <f>IF($B10="","",IF('Prop JUOS'!H9="",0,'Prop JUOS'!H9))</f>
        <v>0</v>
      </c>
      <c r="BB10" s="426">
        <f>IF($B10="","",IF('Prop JUOS'!I9="",0,'Prop JUOS'!I9))</f>
        <v>0</v>
      </c>
      <c r="BC10" s="426">
        <f>IF($B10="","",IF('Prop JUOS'!J9="",0,'Prop JUOS'!J9))</f>
        <v>0</v>
      </c>
      <c r="BD10" s="426">
        <f>IF($B10="","",IF('Prop JUOS'!K9="",0,'Prop JUOS'!K9))</f>
        <v>0</v>
      </c>
      <c r="BE10" s="426">
        <f>IF($B10="","",IF('Prop JUOS'!L9="",0,'Prop JUOS'!L9))</f>
        <v>0</v>
      </c>
      <c r="BF10" s="426">
        <f>IF($B10="","",IF('Prop JUOS'!M9="",0,'Prop JUOS'!M9))</f>
        <v>0</v>
      </c>
      <c r="BG10" s="426">
        <f>IF($B10="","",IF('Prop JUOS'!N9="",0,'Prop JUOS'!N9))</f>
        <v>0</v>
      </c>
      <c r="BH10" s="426">
        <f>IF($B10="","",IF('Prop JUOS'!O9="",0,'Prop JUOS'!O9))</f>
        <v>0</v>
      </c>
      <c r="BI10" s="426">
        <f>IF($B10="","",IF('Prop JUOS'!P9="",0,'Prop JUOS'!P9))</f>
        <v>0</v>
      </c>
      <c r="BJ10" s="606">
        <f>IF($B10="","",IF('Prop JUOS'!Q9="",0,'Prop JUOS'!Q9))</f>
        <v>0</v>
      </c>
      <c r="BK10" s="427">
        <f>IF($B10="","",IF('Prop JUOS'!R9="",0,'Prop JUOS'!R9))</f>
        <v>0</v>
      </c>
    </row>
    <row r="11" spans="2:63">
      <c r="B11" s="416" t="str">
        <f>IF('Prop DUOS'!B10="","",'Prop DUOS'!B10)</f>
        <v>Dedicated circuit</v>
      </c>
      <c r="C11" s="376" t="str">
        <f>IF(B11="","",INDEX('Side constraints'!$C$33:$C$92,MATCH('Prop DUOS'!B10,'Side constraints'!$D$33:$D$92,0),1))</f>
        <v>Residential</v>
      </c>
      <c r="D11" s="425">
        <f t="shared" si="4"/>
        <v>0</v>
      </c>
      <c r="E11" s="426">
        <f t="shared" si="5"/>
        <v>0</v>
      </c>
      <c r="F11" s="426">
        <f t="shared" si="6"/>
        <v>0</v>
      </c>
      <c r="G11" s="426">
        <f t="shared" si="7"/>
        <v>2.17</v>
      </c>
      <c r="H11" s="426">
        <f t="shared" si="8"/>
        <v>0</v>
      </c>
      <c r="I11" s="426">
        <f t="shared" si="9"/>
        <v>0</v>
      </c>
      <c r="J11" s="426">
        <f t="shared" si="10"/>
        <v>0</v>
      </c>
      <c r="K11" s="426">
        <f t="shared" si="11"/>
        <v>0</v>
      </c>
      <c r="L11" s="426">
        <f t="shared" si="12"/>
        <v>0</v>
      </c>
      <c r="M11" s="426">
        <f t="shared" si="13"/>
        <v>0</v>
      </c>
      <c r="N11" s="426">
        <f t="shared" si="14"/>
        <v>0</v>
      </c>
      <c r="O11" s="426">
        <f t="shared" si="15"/>
        <v>0</v>
      </c>
      <c r="P11" s="426">
        <f t="shared" si="16"/>
        <v>0</v>
      </c>
      <c r="Q11" s="606">
        <f t="shared" si="17"/>
        <v>0</v>
      </c>
      <c r="R11" s="427">
        <f t="shared" si="18"/>
        <v>0</v>
      </c>
      <c r="S11" s="425">
        <f>IF($B11="","",IF('Prop DUOS'!E10="",0,'Prop DUOS'!E10))</f>
        <v>0</v>
      </c>
      <c r="T11" s="426">
        <f>IF($B11="","",IF('Prop DUOS'!F10="",0,'Prop DUOS'!F10))</f>
        <v>0</v>
      </c>
      <c r="U11" s="426">
        <f>IF($B11="","",IF('Prop DUOS'!G10="",0,'Prop DUOS'!G10))</f>
        <v>0</v>
      </c>
      <c r="V11" s="426">
        <f>IF($B11="","",IF('Prop DUOS'!H10="",0,'Prop DUOS'!H10))</f>
        <v>2.17</v>
      </c>
      <c r="W11" s="426">
        <f>IF($B11="","",IF('Prop DUOS'!I10="",0,'Prop DUOS'!I10))</f>
        <v>0</v>
      </c>
      <c r="X11" s="426">
        <f>IF($B11="","",IF('Prop DUOS'!J10="",0,'Prop DUOS'!J10))</f>
        <v>0</v>
      </c>
      <c r="Y11" s="426">
        <f>IF($B11="","",IF('Prop DUOS'!K10="",0,'Prop DUOS'!K10))</f>
        <v>0</v>
      </c>
      <c r="Z11" s="426">
        <f>IF($B11="","",IF('Prop DUOS'!L10="",0,'Prop DUOS'!L10))</f>
        <v>0</v>
      </c>
      <c r="AA11" s="426">
        <f>IF($B11="","",IF('Prop DUOS'!M10="",0,'Prop DUOS'!M10))</f>
        <v>0</v>
      </c>
      <c r="AB11" s="426">
        <f>IF($B11="","",IF('Prop DUOS'!N10="",0,'Prop DUOS'!N10))</f>
        <v>0</v>
      </c>
      <c r="AC11" s="426">
        <f>IF($B11="","",IF('Prop DUOS'!O10="",0,'Prop DUOS'!O10))</f>
        <v>0</v>
      </c>
      <c r="AD11" s="426">
        <f>IF($B11="","",IF('Prop DUOS'!P10="",0,'Prop DUOS'!P10))</f>
        <v>0</v>
      </c>
      <c r="AE11" s="426">
        <f>IF($B11="","",IF('Prop DUOS'!Q10="",0,'Prop DUOS'!Q10))</f>
        <v>0</v>
      </c>
      <c r="AF11" s="606">
        <f>IF($B11="","",IF('Prop DUOS'!R10="",0,'Prop DUOS'!R10))</f>
        <v>0</v>
      </c>
      <c r="AG11" s="427">
        <f>IF($B11="","",IF('Prop DUOS'!S10="",0,'Prop DUOS'!S10))</f>
        <v>0</v>
      </c>
      <c r="AH11" s="425">
        <f>IF($B11="","",IF('Prop TUOS'!D10="",0,'Prop TUOS'!D10))</f>
        <v>0</v>
      </c>
      <c r="AI11" s="426">
        <f>IF($B11="","",IF('Prop TUOS'!E10="",0,'Prop TUOS'!E10))</f>
        <v>0</v>
      </c>
      <c r="AJ11" s="426">
        <f>IF($B11="","",IF('Prop TUOS'!F10="",0,'Prop TUOS'!F10))</f>
        <v>0</v>
      </c>
      <c r="AK11" s="426">
        <f>IF($B11="","",IF('Prop TUOS'!G10="",0,'Prop TUOS'!G10))</f>
        <v>0</v>
      </c>
      <c r="AL11" s="426">
        <f>IF($B11="","",IF('Prop TUOS'!H10="",0,'Prop TUOS'!H10))</f>
        <v>0</v>
      </c>
      <c r="AM11" s="426">
        <f>IF($B11="","",IF('Prop TUOS'!I10="",0,'Prop TUOS'!I10))</f>
        <v>0</v>
      </c>
      <c r="AN11" s="426">
        <f>IF($B11="","",IF('Prop TUOS'!J10="",0,'Prop TUOS'!J10))</f>
        <v>0</v>
      </c>
      <c r="AO11" s="426">
        <f>IF($B11="","",IF('Prop TUOS'!K10="",0,'Prop TUOS'!K10))</f>
        <v>0</v>
      </c>
      <c r="AP11" s="426">
        <f>IF($B11="","",IF('Prop TUOS'!L10="",0,'Prop TUOS'!L10))</f>
        <v>0</v>
      </c>
      <c r="AQ11" s="426">
        <f>IF($B11="","",IF('Prop TUOS'!M10="",0,'Prop TUOS'!M10))</f>
        <v>0</v>
      </c>
      <c r="AR11" s="426">
        <f>IF($B11="","",IF('Prop TUOS'!N10="",0,'Prop TUOS'!N10))</f>
        <v>0</v>
      </c>
      <c r="AS11" s="426">
        <f>IF($B11="","",IF('Prop TUOS'!O10="",0,'Prop TUOS'!O10))</f>
        <v>0</v>
      </c>
      <c r="AT11" s="426">
        <f>IF($B11="","",IF('Prop TUOS'!P10="",0,'Prop TUOS'!P10))</f>
        <v>0</v>
      </c>
      <c r="AU11" s="606">
        <f>IF($B11="","",IF('Prop TUOS'!Q10="",0,'Prop TUOS'!Q10))</f>
        <v>0</v>
      </c>
      <c r="AV11" s="427">
        <f>IF($B11="","",IF('Prop TUOS'!R10="",0,'Prop TUOS'!R10))</f>
        <v>0</v>
      </c>
      <c r="AW11" s="425">
        <f>IF($B11="","",IF('Prop JUOS'!D10="",0,'Prop JUOS'!D10))</f>
        <v>0</v>
      </c>
      <c r="AX11" s="426">
        <f>IF($B11="","",IF('Prop JUOS'!E10="",0,'Prop JUOS'!E10))</f>
        <v>0</v>
      </c>
      <c r="AY11" s="426">
        <f>IF($B11="","",IF('Prop JUOS'!F10="",0,'Prop JUOS'!F10))</f>
        <v>0</v>
      </c>
      <c r="AZ11" s="426">
        <f>IF($B11="","",IF('Prop JUOS'!G10="",0,'Prop JUOS'!G10))</f>
        <v>0</v>
      </c>
      <c r="BA11" s="426">
        <f>IF($B11="","",IF('Prop JUOS'!H10="",0,'Prop JUOS'!H10))</f>
        <v>0</v>
      </c>
      <c r="BB11" s="426">
        <f>IF($B11="","",IF('Prop JUOS'!I10="",0,'Prop JUOS'!I10))</f>
        <v>0</v>
      </c>
      <c r="BC11" s="426">
        <f>IF($B11="","",IF('Prop JUOS'!J10="",0,'Prop JUOS'!J10))</f>
        <v>0</v>
      </c>
      <c r="BD11" s="426">
        <f>IF($B11="","",IF('Prop JUOS'!K10="",0,'Prop JUOS'!K10))</f>
        <v>0</v>
      </c>
      <c r="BE11" s="426">
        <f>IF($B11="","",IF('Prop JUOS'!L10="",0,'Prop JUOS'!L10))</f>
        <v>0</v>
      </c>
      <c r="BF11" s="426">
        <f>IF($B11="","",IF('Prop JUOS'!M10="",0,'Prop JUOS'!M10))</f>
        <v>0</v>
      </c>
      <c r="BG11" s="426">
        <f>IF($B11="","",IF('Prop JUOS'!N10="",0,'Prop JUOS'!N10))</f>
        <v>0</v>
      </c>
      <c r="BH11" s="426">
        <f>IF($B11="","",IF('Prop JUOS'!O10="",0,'Prop JUOS'!O10))</f>
        <v>0</v>
      </c>
      <c r="BI11" s="426">
        <f>IF($B11="","",IF('Prop JUOS'!P10="",0,'Prop JUOS'!P10))</f>
        <v>0</v>
      </c>
      <c r="BJ11" s="606">
        <f>IF($B11="","",IF('Prop JUOS'!Q10="",0,'Prop JUOS'!Q10))</f>
        <v>0</v>
      </c>
      <c r="BK11" s="427">
        <f>IF($B11="","",IF('Prop JUOS'!R10="",0,'Prop JUOS'!R10))</f>
        <v>0</v>
      </c>
    </row>
    <row r="12" spans="2:63">
      <c r="B12" s="416" t="str">
        <f>IF('Prop DUOS'!B11="","",'Prop DUOS'!B11)</f>
        <v>Small Business Single Rate</v>
      </c>
      <c r="C12" s="376" t="str">
        <f>IF(B12="","",INDEX('Side constraints'!$C$33:$C$92,MATCH('Prop DUOS'!B11,'Side constraints'!$D$33:$D$92,0),1))</f>
        <v>Small and medium business</v>
      </c>
      <c r="D12" s="425">
        <f t="shared" si="4"/>
        <v>32.880000000000003</v>
      </c>
      <c r="E12" s="426">
        <f t="shared" si="5"/>
        <v>8.7899999999999991</v>
      </c>
      <c r="F12" s="426">
        <f t="shared" si="6"/>
        <v>0</v>
      </c>
      <c r="G12" s="426">
        <f t="shared" si="7"/>
        <v>0</v>
      </c>
      <c r="H12" s="426">
        <f t="shared" si="8"/>
        <v>0</v>
      </c>
      <c r="I12" s="426">
        <f t="shared" si="9"/>
        <v>0</v>
      </c>
      <c r="J12" s="426">
        <f t="shared" si="10"/>
        <v>0</v>
      </c>
      <c r="K12" s="426">
        <f t="shared" si="11"/>
        <v>0</v>
      </c>
      <c r="L12" s="426">
        <f t="shared" si="12"/>
        <v>0</v>
      </c>
      <c r="M12" s="426">
        <f t="shared" si="13"/>
        <v>0</v>
      </c>
      <c r="N12" s="426">
        <f t="shared" si="14"/>
        <v>0</v>
      </c>
      <c r="O12" s="426">
        <f t="shared" si="15"/>
        <v>0</v>
      </c>
      <c r="P12" s="426">
        <f t="shared" si="16"/>
        <v>0</v>
      </c>
      <c r="Q12" s="606">
        <f t="shared" si="17"/>
        <v>0</v>
      </c>
      <c r="R12" s="427">
        <f t="shared" si="18"/>
        <v>0</v>
      </c>
      <c r="S12" s="425">
        <f>IF($B12="","",IF('Prop DUOS'!E11="",0,'Prop DUOS'!E11))</f>
        <v>27.96</v>
      </c>
      <c r="T12" s="426">
        <f>IF($B12="","",IF('Prop DUOS'!F11="",0,'Prop DUOS'!F11))</f>
        <v>6.85</v>
      </c>
      <c r="U12" s="426">
        <f>IF($B12="","",IF('Prop DUOS'!G11="",0,'Prop DUOS'!G11))</f>
        <v>0</v>
      </c>
      <c r="V12" s="426">
        <f>IF($B12="","",IF('Prop DUOS'!H11="",0,'Prop DUOS'!H11))</f>
        <v>0</v>
      </c>
      <c r="W12" s="426">
        <f>IF($B12="","",IF('Prop DUOS'!I11="",0,'Prop DUOS'!I11))</f>
        <v>0</v>
      </c>
      <c r="X12" s="426">
        <f>IF($B12="","",IF('Prop DUOS'!J11="",0,'Prop DUOS'!J11))</f>
        <v>0</v>
      </c>
      <c r="Y12" s="426">
        <f>IF($B12="","",IF('Prop DUOS'!K11="",0,'Prop DUOS'!K11))</f>
        <v>0</v>
      </c>
      <c r="Z12" s="426">
        <f>IF($B12="","",IF('Prop DUOS'!L11="",0,'Prop DUOS'!L11))</f>
        <v>0</v>
      </c>
      <c r="AA12" s="426">
        <f>IF($B12="","",IF('Prop DUOS'!M11="",0,'Prop DUOS'!M11))</f>
        <v>0</v>
      </c>
      <c r="AB12" s="426">
        <f>IF($B12="","",IF('Prop DUOS'!N11="",0,'Prop DUOS'!N11))</f>
        <v>0</v>
      </c>
      <c r="AC12" s="426">
        <f>IF($B12="","",IF('Prop DUOS'!O11="",0,'Prop DUOS'!O11))</f>
        <v>0</v>
      </c>
      <c r="AD12" s="426">
        <f>IF($B12="","",IF('Prop DUOS'!P11="",0,'Prop DUOS'!P11))</f>
        <v>0</v>
      </c>
      <c r="AE12" s="426">
        <f>IF($B12="","",IF('Prop DUOS'!Q11="",0,'Prop DUOS'!Q11))</f>
        <v>0</v>
      </c>
      <c r="AF12" s="606">
        <f>IF($B12="","",IF('Prop DUOS'!R11="",0,'Prop DUOS'!R11))</f>
        <v>0</v>
      </c>
      <c r="AG12" s="427">
        <f>IF($B12="","",IF('Prop DUOS'!S11="",0,'Prop DUOS'!S11))</f>
        <v>0</v>
      </c>
      <c r="AH12" s="425">
        <f>IF($B12="","",IF('Prop TUOS'!D11="",0,'Prop TUOS'!D11))</f>
        <v>0</v>
      </c>
      <c r="AI12" s="426">
        <f>IF($B12="","",IF('Prop TUOS'!E11="",0,'Prop TUOS'!E11))</f>
        <v>1.94</v>
      </c>
      <c r="AJ12" s="426">
        <f>IF($B12="","",IF('Prop TUOS'!F11="",0,'Prop TUOS'!F11))</f>
        <v>0</v>
      </c>
      <c r="AK12" s="426">
        <f>IF($B12="","",IF('Prop TUOS'!G11="",0,'Prop TUOS'!G11))</f>
        <v>0</v>
      </c>
      <c r="AL12" s="426">
        <f>IF($B12="","",IF('Prop TUOS'!H11="",0,'Prop TUOS'!H11))</f>
        <v>0</v>
      </c>
      <c r="AM12" s="426">
        <f>IF($B12="","",IF('Prop TUOS'!I11="",0,'Prop TUOS'!I11))</f>
        <v>0</v>
      </c>
      <c r="AN12" s="426">
        <f>IF($B12="","",IF('Prop TUOS'!J11="",0,'Prop TUOS'!J11))</f>
        <v>0</v>
      </c>
      <c r="AO12" s="426">
        <f>IF($B12="","",IF('Prop TUOS'!K11="",0,'Prop TUOS'!K11))</f>
        <v>0</v>
      </c>
      <c r="AP12" s="426">
        <f>IF($B12="","",IF('Prop TUOS'!L11="",0,'Prop TUOS'!L11))</f>
        <v>0</v>
      </c>
      <c r="AQ12" s="426">
        <f>IF($B12="","",IF('Prop TUOS'!M11="",0,'Prop TUOS'!M11))</f>
        <v>0</v>
      </c>
      <c r="AR12" s="426">
        <f>IF($B12="","",IF('Prop TUOS'!N11="",0,'Prop TUOS'!N11))</f>
        <v>0</v>
      </c>
      <c r="AS12" s="426">
        <f>IF($B12="","",IF('Prop TUOS'!O11="",0,'Prop TUOS'!O11))</f>
        <v>0</v>
      </c>
      <c r="AT12" s="426">
        <f>IF($B12="","",IF('Prop TUOS'!P11="",0,'Prop TUOS'!P11))</f>
        <v>0</v>
      </c>
      <c r="AU12" s="606">
        <f>IF($B12="","",IF('Prop TUOS'!Q11="",0,'Prop TUOS'!Q11))</f>
        <v>0</v>
      </c>
      <c r="AV12" s="427">
        <f>IF($B12="","",IF('Prop TUOS'!R11="",0,'Prop TUOS'!R11))</f>
        <v>0</v>
      </c>
      <c r="AW12" s="425">
        <f>IF($B12="","",IF('Prop JUOS'!D11="",0,'Prop JUOS'!D11))</f>
        <v>4.92</v>
      </c>
      <c r="AX12" s="426">
        <f>IF($B12="","",IF('Prop JUOS'!E11="",0,'Prop JUOS'!E11))</f>
        <v>0</v>
      </c>
      <c r="AY12" s="426">
        <f>IF($B12="","",IF('Prop JUOS'!F11="",0,'Prop JUOS'!F11))</f>
        <v>0</v>
      </c>
      <c r="AZ12" s="426">
        <f>IF($B12="","",IF('Prop JUOS'!G11="",0,'Prop JUOS'!G11))</f>
        <v>0</v>
      </c>
      <c r="BA12" s="426">
        <f>IF($B12="","",IF('Prop JUOS'!H11="",0,'Prop JUOS'!H11))</f>
        <v>0</v>
      </c>
      <c r="BB12" s="426">
        <f>IF($B12="","",IF('Prop JUOS'!I11="",0,'Prop JUOS'!I11))</f>
        <v>0</v>
      </c>
      <c r="BC12" s="426">
        <f>IF($B12="","",IF('Prop JUOS'!J11="",0,'Prop JUOS'!J11))</f>
        <v>0</v>
      </c>
      <c r="BD12" s="426">
        <f>IF($B12="","",IF('Prop JUOS'!K11="",0,'Prop JUOS'!K11))</f>
        <v>0</v>
      </c>
      <c r="BE12" s="426">
        <f>IF($B12="","",IF('Prop JUOS'!L11="",0,'Prop JUOS'!L11))</f>
        <v>0</v>
      </c>
      <c r="BF12" s="426">
        <f>IF($B12="","",IF('Prop JUOS'!M11="",0,'Prop JUOS'!M11))</f>
        <v>0</v>
      </c>
      <c r="BG12" s="426">
        <f>IF($B12="","",IF('Prop JUOS'!N11="",0,'Prop JUOS'!N11))</f>
        <v>0</v>
      </c>
      <c r="BH12" s="426">
        <f>IF($B12="","",IF('Prop JUOS'!O11="",0,'Prop JUOS'!O11))</f>
        <v>0</v>
      </c>
      <c r="BI12" s="426">
        <f>IF($B12="","",IF('Prop JUOS'!P11="",0,'Prop JUOS'!P11))</f>
        <v>0</v>
      </c>
      <c r="BJ12" s="606">
        <f>IF($B12="","",IF('Prop JUOS'!Q11="",0,'Prop JUOS'!Q11))</f>
        <v>0</v>
      </c>
      <c r="BK12" s="427">
        <f>IF($B12="","",IF('Prop JUOS'!R11="",0,'Prop JUOS'!R11))</f>
        <v>0</v>
      </c>
    </row>
    <row r="13" spans="2:63">
      <c r="B13" s="416" t="str">
        <f>IF('Prop DUOS'!B12="","",'Prop DUOS'!B12)</f>
        <v>Small Business ToU</v>
      </c>
      <c r="C13" s="376" t="str">
        <f>IF(B13="","",INDEX('Side constraints'!$C$33:$C$92,MATCH('Prop DUOS'!B12,'Side constraints'!$D$33:$D$92,0),1))</f>
        <v>Small and medium business</v>
      </c>
      <c r="D13" s="425">
        <f t="shared" si="4"/>
        <v>32.880000000000003</v>
      </c>
      <c r="E13" s="426">
        <f t="shared" si="5"/>
        <v>0</v>
      </c>
      <c r="F13" s="426">
        <f t="shared" si="6"/>
        <v>13.99</v>
      </c>
      <c r="G13" s="426">
        <f t="shared" si="7"/>
        <v>3.1100000000000003</v>
      </c>
      <c r="H13" s="426">
        <f t="shared" si="8"/>
        <v>0</v>
      </c>
      <c r="I13" s="426">
        <f t="shared" si="9"/>
        <v>0</v>
      </c>
      <c r="J13" s="426">
        <f t="shared" si="10"/>
        <v>0</v>
      </c>
      <c r="K13" s="426">
        <f t="shared" si="11"/>
        <v>0</v>
      </c>
      <c r="L13" s="426">
        <f t="shared" si="12"/>
        <v>0</v>
      </c>
      <c r="M13" s="426">
        <f t="shared" si="13"/>
        <v>0</v>
      </c>
      <c r="N13" s="426">
        <f t="shared" si="14"/>
        <v>0</v>
      </c>
      <c r="O13" s="426">
        <f t="shared" si="15"/>
        <v>0</v>
      </c>
      <c r="P13" s="426">
        <f t="shared" si="16"/>
        <v>0</v>
      </c>
      <c r="Q13" s="606">
        <f t="shared" si="17"/>
        <v>0</v>
      </c>
      <c r="R13" s="427">
        <f t="shared" si="18"/>
        <v>0</v>
      </c>
      <c r="S13" s="425">
        <f>IF($B13="","",IF('Prop DUOS'!E12="",0,'Prop DUOS'!E12))</f>
        <v>27.96</v>
      </c>
      <c r="T13" s="426">
        <f>IF($B13="","",IF('Prop DUOS'!F12="",0,'Prop DUOS'!F12))</f>
        <v>0</v>
      </c>
      <c r="U13" s="426">
        <f>IF($B13="","",IF('Prop DUOS'!G12="",0,'Prop DUOS'!G12))</f>
        <v>11.22</v>
      </c>
      <c r="V13" s="426">
        <f>IF($B13="","",IF('Prop DUOS'!H12="",0,'Prop DUOS'!H12))</f>
        <v>2.4900000000000002</v>
      </c>
      <c r="W13" s="426">
        <f>IF($B13="","",IF('Prop DUOS'!I12="",0,'Prop DUOS'!I12))</f>
        <v>0</v>
      </c>
      <c r="X13" s="426">
        <f>IF($B13="","",IF('Prop DUOS'!J12="",0,'Prop DUOS'!J12))</f>
        <v>0</v>
      </c>
      <c r="Y13" s="426">
        <f>IF($B13="","",IF('Prop DUOS'!K12="",0,'Prop DUOS'!K12))</f>
        <v>0</v>
      </c>
      <c r="Z13" s="426">
        <f>IF($B13="","",IF('Prop DUOS'!L12="",0,'Prop DUOS'!L12))</f>
        <v>0</v>
      </c>
      <c r="AA13" s="426">
        <f>IF($B13="","",IF('Prop DUOS'!M12="",0,'Prop DUOS'!M12))</f>
        <v>0</v>
      </c>
      <c r="AB13" s="426">
        <f>IF($B13="","",IF('Prop DUOS'!N12="",0,'Prop DUOS'!N12))</f>
        <v>0</v>
      </c>
      <c r="AC13" s="426">
        <f>IF($B13="","",IF('Prop DUOS'!O12="",0,'Prop DUOS'!O12))</f>
        <v>0</v>
      </c>
      <c r="AD13" s="426">
        <f>IF($B13="","",IF('Prop DUOS'!P12="",0,'Prop DUOS'!P12))</f>
        <v>0</v>
      </c>
      <c r="AE13" s="426">
        <f>IF($B13="","",IF('Prop DUOS'!Q12="",0,'Prop DUOS'!Q12))</f>
        <v>0</v>
      </c>
      <c r="AF13" s="606">
        <f>IF($B13="","",IF('Prop DUOS'!R12="",0,'Prop DUOS'!R12))</f>
        <v>0</v>
      </c>
      <c r="AG13" s="427">
        <f>IF($B13="","",IF('Prop DUOS'!S12="",0,'Prop DUOS'!S12))</f>
        <v>0</v>
      </c>
      <c r="AH13" s="425">
        <f>IF($B13="","",IF('Prop TUOS'!D12="",0,'Prop TUOS'!D12))</f>
        <v>0</v>
      </c>
      <c r="AI13" s="426">
        <f>IF($B13="","",IF('Prop TUOS'!E12="",0,'Prop TUOS'!E12))</f>
        <v>0</v>
      </c>
      <c r="AJ13" s="426">
        <f>IF($B13="","",IF('Prop TUOS'!F12="",0,'Prop TUOS'!F12))</f>
        <v>2.7699999999999996</v>
      </c>
      <c r="AK13" s="426">
        <f>IF($B13="","",IF('Prop TUOS'!G12="",0,'Prop TUOS'!G12))</f>
        <v>0.62</v>
      </c>
      <c r="AL13" s="426">
        <f>IF($B13="","",IF('Prop TUOS'!H12="",0,'Prop TUOS'!H12))</f>
        <v>0</v>
      </c>
      <c r="AM13" s="426">
        <f>IF($B13="","",IF('Prop TUOS'!I12="",0,'Prop TUOS'!I12))</f>
        <v>0</v>
      </c>
      <c r="AN13" s="426">
        <f>IF($B13="","",IF('Prop TUOS'!J12="",0,'Prop TUOS'!J12))</f>
        <v>0</v>
      </c>
      <c r="AO13" s="426">
        <f>IF($B13="","",IF('Prop TUOS'!K12="",0,'Prop TUOS'!K12))</f>
        <v>0</v>
      </c>
      <c r="AP13" s="426">
        <f>IF($B13="","",IF('Prop TUOS'!L12="",0,'Prop TUOS'!L12))</f>
        <v>0</v>
      </c>
      <c r="AQ13" s="426">
        <f>IF($B13="","",IF('Prop TUOS'!M12="",0,'Prop TUOS'!M12))</f>
        <v>0</v>
      </c>
      <c r="AR13" s="426">
        <f>IF($B13="","",IF('Prop TUOS'!N12="",0,'Prop TUOS'!N12))</f>
        <v>0</v>
      </c>
      <c r="AS13" s="426">
        <f>IF($B13="","",IF('Prop TUOS'!O12="",0,'Prop TUOS'!O12))</f>
        <v>0</v>
      </c>
      <c r="AT13" s="426">
        <f>IF($B13="","",IF('Prop TUOS'!P12="",0,'Prop TUOS'!P12))</f>
        <v>0</v>
      </c>
      <c r="AU13" s="606">
        <f>IF($B13="","",IF('Prop TUOS'!Q12="",0,'Prop TUOS'!Q12))</f>
        <v>0</v>
      </c>
      <c r="AV13" s="427">
        <f>IF($B13="","",IF('Prop TUOS'!R12="",0,'Prop TUOS'!R12))</f>
        <v>0</v>
      </c>
      <c r="AW13" s="425">
        <f>IF($B13="","",IF('Prop JUOS'!D12="",0,'Prop JUOS'!D12))</f>
        <v>4.92</v>
      </c>
      <c r="AX13" s="426">
        <f>IF($B13="","",IF('Prop JUOS'!E12="",0,'Prop JUOS'!E12))</f>
        <v>0</v>
      </c>
      <c r="AY13" s="426">
        <f>IF($B13="","",IF('Prop JUOS'!F12="",0,'Prop JUOS'!F12))</f>
        <v>0</v>
      </c>
      <c r="AZ13" s="426">
        <f>IF($B13="","",IF('Prop JUOS'!G12="",0,'Prop JUOS'!G12))</f>
        <v>0</v>
      </c>
      <c r="BA13" s="426">
        <f>IF($B13="","",IF('Prop JUOS'!H12="",0,'Prop JUOS'!H12))</f>
        <v>0</v>
      </c>
      <c r="BB13" s="426">
        <f>IF($B13="","",IF('Prop JUOS'!I12="",0,'Prop JUOS'!I12))</f>
        <v>0</v>
      </c>
      <c r="BC13" s="426">
        <f>IF($B13="","",IF('Prop JUOS'!J12="",0,'Prop JUOS'!J12))</f>
        <v>0</v>
      </c>
      <c r="BD13" s="426">
        <f>IF($B13="","",IF('Prop JUOS'!K12="",0,'Prop JUOS'!K12))</f>
        <v>0</v>
      </c>
      <c r="BE13" s="426">
        <f>IF($B13="","",IF('Prop JUOS'!L12="",0,'Prop JUOS'!L12))</f>
        <v>0</v>
      </c>
      <c r="BF13" s="426">
        <f>IF($B13="","",IF('Prop JUOS'!M12="",0,'Prop JUOS'!M12))</f>
        <v>0</v>
      </c>
      <c r="BG13" s="426">
        <f>IF($B13="","",IF('Prop JUOS'!N12="",0,'Prop JUOS'!N12))</f>
        <v>0</v>
      </c>
      <c r="BH13" s="426">
        <f>IF($B13="","",IF('Prop JUOS'!O12="",0,'Prop JUOS'!O12))</f>
        <v>0</v>
      </c>
      <c r="BI13" s="426">
        <f>IF($B13="","",IF('Prop JUOS'!P12="",0,'Prop JUOS'!P12))</f>
        <v>0</v>
      </c>
      <c r="BJ13" s="606">
        <f>IF($B13="","",IF('Prop JUOS'!Q12="",0,'Prop JUOS'!Q12))</f>
        <v>0</v>
      </c>
      <c r="BK13" s="427">
        <f>IF($B13="","",IF('Prop JUOS'!R12="",0,'Prop JUOS'!R12))</f>
        <v>0</v>
      </c>
    </row>
    <row r="14" spans="2:63">
      <c r="B14" s="416" t="str">
        <f>IF('Prop DUOS'!B13="","",'Prop DUOS'!B13)</f>
        <v>Small Business Demand</v>
      </c>
      <c r="C14" s="376" t="str">
        <f>IF(B14="","",INDEX('Side constraints'!$C$33:$C$92,MATCH('Prop DUOS'!B13,'Side constraints'!$D$33:$D$92,0),1))</f>
        <v>Small and medium business</v>
      </c>
      <c r="D14" s="425">
        <f t="shared" si="4"/>
        <v>32.880000000000003</v>
      </c>
      <c r="E14" s="426">
        <f t="shared" si="5"/>
        <v>5.1099999999999994</v>
      </c>
      <c r="F14" s="426">
        <f t="shared" si="6"/>
        <v>0</v>
      </c>
      <c r="G14" s="426">
        <f t="shared" si="7"/>
        <v>0</v>
      </c>
      <c r="H14" s="426">
        <f t="shared" si="8"/>
        <v>0</v>
      </c>
      <c r="I14" s="426">
        <f t="shared" si="9"/>
        <v>0</v>
      </c>
      <c r="J14" s="426">
        <f t="shared" si="10"/>
        <v>0</v>
      </c>
      <c r="K14" s="426">
        <f t="shared" si="11"/>
        <v>0</v>
      </c>
      <c r="L14" s="426">
        <f t="shared" si="12"/>
        <v>0</v>
      </c>
      <c r="M14" s="426">
        <f t="shared" si="13"/>
        <v>0</v>
      </c>
      <c r="N14" s="426">
        <f t="shared" si="14"/>
        <v>0</v>
      </c>
      <c r="O14" s="426">
        <f t="shared" si="15"/>
        <v>0</v>
      </c>
      <c r="P14" s="426">
        <f t="shared" si="16"/>
        <v>56.300000000000004</v>
      </c>
      <c r="Q14" s="606">
        <f t="shared" si="17"/>
        <v>22.14</v>
      </c>
      <c r="R14" s="427">
        <f t="shared" si="18"/>
        <v>0</v>
      </c>
      <c r="S14" s="425">
        <f>IF($B14="","",IF('Prop DUOS'!E13="",0,'Prop DUOS'!E13))</f>
        <v>27.96</v>
      </c>
      <c r="T14" s="426">
        <f>IF($B14="","",IF('Prop DUOS'!F13="",0,'Prop DUOS'!F13))</f>
        <v>3.17</v>
      </c>
      <c r="U14" s="426">
        <f>IF($B14="","",IF('Prop DUOS'!G13="",0,'Prop DUOS'!G13))</f>
        <v>0</v>
      </c>
      <c r="V14" s="426">
        <f>IF($B14="","",IF('Prop DUOS'!H13="",0,'Prop DUOS'!H13))</f>
        <v>0</v>
      </c>
      <c r="W14" s="426">
        <f>IF($B14="","",IF('Prop DUOS'!I13="",0,'Prop DUOS'!I13))</f>
        <v>0</v>
      </c>
      <c r="X14" s="426">
        <f>IF($B14="","",IF('Prop DUOS'!J13="",0,'Prop DUOS'!J13))</f>
        <v>0</v>
      </c>
      <c r="Y14" s="426">
        <f>IF($B14="","",IF('Prop DUOS'!K13="",0,'Prop DUOS'!K13))</f>
        <v>0</v>
      </c>
      <c r="Z14" s="426">
        <f>IF($B14="","",IF('Prop DUOS'!L13="",0,'Prop DUOS'!L13))</f>
        <v>0</v>
      </c>
      <c r="AA14" s="426">
        <f>IF($B14="","",IF('Prop DUOS'!M13="",0,'Prop DUOS'!M13))</f>
        <v>0</v>
      </c>
      <c r="AB14" s="426">
        <f>IF($B14="","",IF('Prop DUOS'!N13="",0,'Prop DUOS'!N13))</f>
        <v>0</v>
      </c>
      <c r="AC14" s="426">
        <f>IF($B14="","",IF('Prop DUOS'!O13="",0,'Prop DUOS'!O13))</f>
        <v>0</v>
      </c>
      <c r="AD14" s="426">
        <f>IF($B14="","",IF('Prop DUOS'!P13="",0,'Prop DUOS'!P13))</f>
        <v>0</v>
      </c>
      <c r="AE14" s="426">
        <f>IF($B14="","",IF('Prop DUOS'!Q13="",0,'Prop DUOS'!Q13))</f>
        <v>32.590000000000003</v>
      </c>
      <c r="AF14" s="606">
        <f>IF($B14="","",IF('Prop DUOS'!R13="",0,'Prop DUOS'!R13))</f>
        <v>15.83</v>
      </c>
      <c r="AG14" s="427">
        <f>IF($B14="","",IF('Prop DUOS'!S13="",0,'Prop DUOS'!S13))</f>
        <v>0</v>
      </c>
      <c r="AH14" s="425">
        <f>IF($B14="","",IF('Prop TUOS'!D13="",0,'Prop TUOS'!D13))</f>
        <v>0</v>
      </c>
      <c r="AI14" s="426">
        <f>IF($B14="","",IF('Prop TUOS'!E13="",0,'Prop TUOS'!E13))</f>
        <v>1.94</v>
      </c>
      <c r="AJ14" s="426">
        <f>IF($B14="","",IF('Prop TUOS'!F13="",0,'Prop TUOS'!F13))</f>
        <v>0</v>
      </c>
      <c r="AK14" s="426">
        <f>IF($B14="","",IF('Prop TUOS'!G13="",0,'Prop TUOS'!G13))</f>
        <v>0</v>
      </c>
      <c r="AL14" s="426">
        <f>IF($B14="","",IF('Prop TUOS'!H13="",0,'Prop TUOS'!H13))</f>
        <v>0</v>
      </c>
      <c r="AM14" s="426">
        <f>IF($B14="","",IF('Prop TUOS'!I13="",0,'Prop TUOS'!I13))</f>
        <v>0</v>
      </c>
      <c r="AN14" s="426">
        <f>IF($B14="","",IF('Prop TUOS'!J13="",0,'Prop TUOS'!J13))</f>
        <v>0</v>
      </c>
      <c r="AO14" s="426">
        <f>IF($B14="","",IF('Prop TUOS'!K13="",0,'Prop TUOS'!K13))</f>
        <v>0</v>
      </c>
      <c r="AP14" s="426">
        <f>IF($B14="","",IF('Prop TUOS'!L13="",0,'Prop TUOS'!L13))</f>
        <v>0</v>
      </c>
      <c r="AQ14" s="426">
        <f>IF($B14="","",IF('Prop TUOS'!M13="",0,'Prop TUOS'!M13))</f>
        <v>0</v>
      </c>
      <c r="AR14" s="426">
        <f>IF($B14="","",IF('Prop TUOS'!N13="",0,'Prop TUOS'!N13))</f>
        <v>0</v>
      </c>
      <c r="AS14" s="426">
        <f>IF($B14="","",IF('Prop TUOS'!O13="",0,'Prop TUOS'!O13))</f>
        <v>0</v>
      </c>
      <c r="AT14" s="426">
        <f>IF($B14="","",IF('Prop TUOS'!P13="",0,'Prop TUOS'!P13))</f>
        <v>23.71</v>
      </c>
      <c r="AU14" s="606">
        <f>IF($B14="","",IF('Prop TUOS'!Q13="",0,'Prop TUOS'!Q13))</f>
        <v>6.31</v>
      </c>
      <c r="AV14" s="427">
        <f>IF($B14="","",IF('Prop TUOS'!R13="",0,'Prop TUOS'!R13))</f>
        <v>0</v>
      </c>
      <c r="AW14" s="425">
        <f>IF($B14="","",IF('Prop JUOS'!D13="",0,'Prop JUOS'!D13))</f>
        <v>4.92</v>
      </c>
      <c r="AX14" s="426">
        <f>IF($B14="","",IF('Prop JUOS'!E13="",0,'Prop JUOS'!E13))</f>
        <v>0</v>
      </c>
      <c r="AY14" s="426">
        <f>IF($B14="","",IF('Prop JUOS'!F13="",0,'Prop JUOS'!F13))</f>
        <v>0</v>
      </c>
      <c r="AZ14" s="426">
        <f>IF($B14="","",IF('Prop JUOS'!G13="",0,'Prop JUOS'!G13))</f>
        <v>0</v>
      </c>
      <c r="BA14" s="426">
        <f>IF($B14="","",IF('Prop JUOS'!H13="",0,'Prop JUOS'!H13))</f>
        <v>0</v>
      </c>
      <c r="BB14" s="426">
        <f>IF($B14="","",IF('Prop JUOS'!I13="",0,'Prop JUOS'!I13))</f>
        <v>0</v>
      </c>
      <c r="BC14" s="426">
        <f>IF($B14="","",IF('Prop JUOS'!J13="",0,'Prop JUOS'!J13))</f>
        <v>0</v>
      </c>
      <c r="BD14" s="426">
        <f>IF($B14="","",IF('Prop JUOS'!K13="",0,'Prop JUOS'!K13))</f>
        <v>0</v>
      </c>
      <c r="BE14" s="426">
        <f>IF($B14="","",IF('Prop JUOS'!L13="",0,'Prop JUOS'!L13))</f>
        <v>0</v>
      </c>
      <c r="BF14" s="426">
        <f>IF($B14="","",IF('Prop JUOS'!M13="",0,'Prop JUOS'!M13))</f>
        <v>0</v>
      </c>
      <c r="BG14" s="426">
        <f>IF($B14="","",IF('Prop JUOS'!N13="",0,'Prop JUOS'!N13))</f>
        <v>0</v>
      </c>
      <c r="BH14" s="426">
        <f>IF($B14="","",IF('Prop JUOS'!O13="",0,'Prop JUOS'!O13))</f>
        <v>0</v>
      </c>
      <c r="BI14" s="426">
        <f>IF($B14="","",IF('Prop JUOS'!P13="",0,'Prop JUOS'!P13))</f>
        <v>0</v>
      </c>
      <c r="BJ14" s="606">
        <f>IF($B14="","",IF('Prop JUOS'!Q13="",0,'Prop JUOS'!Q13))</f>
        <v>0</v>
      </c>
      <c r="BK14" s="427">
        <f>IF($B14="","",IF('Prop JUOS'!R13="",0,'Prop JUOS'!R13))</f>
        <v>0</v>
      </c>
    </row>
    <row r="15" spans="2:63">
      <c r="B15" s="416" t="str">
        <f>IF('Prop DUOS'!B14="","",'Prop DUOS'!B14)</f>
        <v>Unmetered supplies</v>
      </c>
      <c r="C15" s="376" t="str">
        <f>IF(B15="","",INDEX('Side constraints'!$C$33:$C$92,MATCH('Prop DUOS'!B14,'Side constraints'!$D$33:$D$92,0),1))</f>
        <v>Small and medium business</v>
      </c>
      <c r="D15" s="425">
        <f t="shared" si="4"/>
        <v>0</v>
      </c>
      <c r="E15" s="426">
        <f t="shared" si="5"/>
        <v>0</v>
      </c>
      <c r="F15" s="426">
        <f t="shared" si="6"/>
        <v>13.45</v>
      </c>
      <c r="G15" s="426">
        <f t="shared" si="7"/>
        <v>4.12</v>
      </c>
      <c r="H15" s="426">
        <f t="shared" si="8"/>
        <v>0</v>
      </c>
      <c r="I15" s="426">
        <f t="shared" si="9"/>
        <v>0</v>
      </c>
      <c r="J15" s="426">
        <f t="shared" si="10"/>
        <v>0</v>
      </c>
      <c r="K15" s="426">
        <f t="shared" si="11"/>
        <v>0</v>
      </c>
      <c r="L15" s="426">
        <f t="shared" si="12"/>
        <v>0</v>
      </c>
      <c r="M15" s="426">
        <f t="shared" si="13"/>
        <v>0</v>
      </c>
      <c r="N15" s="426">
        <f t="shared" si="14"/>
        <v>0</v>
      </c>
      <c r="O15" s="426">
        <f t="shared" si="15"/>
        <v>0</v>
      </c>
      <c r="P15" s="426">
        <f t="shared" si="16"/>
        <v>0</v>
      </c>
      <c r="Q15" s="606">
        <f t="shared" si="17"/>
        <v>0</v>
      </c>
      <c r="R15" s="427">
        <f t="shared" si="18"/>
        <v>0</v>
      </c>
      <c r="S15" s="425">
        <f>IF($B15="","",IF('Prop DUOS'!E14="",0,'Prop DUOS'!E14))</f>
        <v>0</v>
      </c>
      <c r="T15" s="426">
        <f>IF($B15="","",IF('Prop DUOS'!F14="",0,'Prop DUOS'!F14))</f>
        <v>0</v>
      </c>
      <c r="U15" s="426">
        <f>IF($B15="","",IF('Prop DUOS'!G14="",0,'Prop DUOS'!G14))</f>
        <v>9.5399999999999991</v>
      </c>
      <c r="V15" s="426">
        <f>IF($B15="","",IF('Prop DUOS'!H14="",0,'Prop DUOS'!H14))</f>
        <v>4.12</v>
      </c>
      <c r="W15" s="426">
        <f>IF($B15="","",IF('Prop DUOS'!I14="",0,'Prop DUOS'!I14))</f>
        <v>0</v>
      </c>
      <c r="X15" s="426">
        <f>IF($B15="","",IF('Prop DUOS'!J14="",0,'Prop DUOS'!J14))</f>
        <v>0</v>
      </c>
      <c r="Y15" s="426">
        <f>IF($B15="","",IF('Prop DUOS'!K14="",0,'Prop DUOS'!K14))</f>
        <v>0</v>
      </c>
      <c r="Z15" s="426">
        <f>IF($B15="","",IF('Prop DUOS'!L14="",0,'Prop DUOS'!L14))</f>
        <v>0</v>
      </c>
      <c r="AA15" s="426">
        <f>IF($B15="","",IF('Prop DUOS'!M14="",0,'Prop DUOS'!M14))</f>
        <v>0</v>
      </c>
      <c r="AB15" s="426">
        <f>IF($B15="","",IF('Prop DUOS'!N14="",0,'Prop DUOS'!N14))</f>
        <v>0</v>
      </c>
      <c r="AC15" s="426">
        <f>IF($B15="","",IF('Prop DUOS'!O14="",0,'Prop DUOS'!O14))</f>
        <v>0</v>
      </c>
      <c r="AD15" s="426">
        <f>IF($B15="","",IF('Prop DUOS'!P14="",0,'Prop DUOS'!P14))</f>
        <v>0</v>
      </c>
      <c r="AE15" s="426">
        <f>IF($B15="","",IF('Prop DUOS'!Q14="",0,'Prop DUOS'!Q14))</f>
        <v>0</v>
      </c>
      <c r="AF15" s="606">
        <f>IF($B15="","",IF('Prop DUOS'!R14="",0,'Prop DUOS'!R14))</f>
        <v>0</v>
      </c>
      <c r="AG15" s="427">
        <f>IF($B15="","",IF('Prop DUOS'!S14="",0,'Prop DUOS'!S14))</f>
        <v>0</v>
      </c>
      <c r="AH15" s="425">
        <f>IF($B15="","",IF('Prop TUOS'!D14="",0,'Prop TUOS'!D14))</f>
        <v>0</v>
      </c>
      <c r="AI15" s="426">
        <f>IF($B15="","",IF('Prop TUOS'!E14="",0,'Prop TUOS'!E14))</f>
        <v>0</v>
      </c>
      <c r="AJ15" s="426">
        <f>IF($B15="","",IF('Prop TUOS'!F14="",0,'Prop TUOS'!F14))</f>
        <v>3.91</v>
      </c>
      <c r="AK15" s="426">
        <f>IF($B15="","",IF('Prop TUOS'!G14="",0,'Prop TUOS'!G14))</f>
        <v>0</v>
      </c>
      <c r="AL15" s="426">
        <f>IF($B15="","",IF('Prop TUOS'!H14="",0,'Prop TUOS'!H14))</f>
        <v>0</v>
      </c>
      <c r="AM15" s="426">
        <f>IF($B15="","",IF('Prop TUOS'!I14="",0,'Prop TUOS'!I14))</f>
        <v>0</v>
      </c>
      <c r="AN15" s="426">
        <f>IF($B15="","",IF('Prop TUOS'!J14="",0,'Prop TUOS'!J14))</f>
        <v>0</v>
      </c>
      <c r="AO15" s="426">
        <f>IF($B15="","",IF('Prop TUOS'!K14="",0,'Prop TUOS'!K14))</f>
        <v>0</v>
      </c>
      <c r="AP15" s="426">
        <f>IF($B15="","",IF('Prop TUOS'!L14="",0,'Prop TUOS'!L14))</f>
        <v>0</v>
      </c>
      <c r="AQ15" s="426">
        <f>IF($B15="","",IF('Prop TUOS'!M14="",0,'Prop TUOS'!M14))</f>
        <v>0</v>
      </c>
      <c r="AR15" s="426">
        <f>IF($B15="","",IF('Prop TUOS'!N14="",0,'Prop TUOS'!N14))</f>
        <v>0</v>
      </c>
      <c r="AS15" s="426">
        <f>IF($B15="","",IF('Prop TUOS'!O14="",0,'Prop TUOS'!O14))</f>
        <v>0</v>
      </c>
      <c r="AT15" s="426">
        <f>IF($B15="","",IF('Prop TUOS'!P14="",0,'Prop TUOS'!P14))</f>
        <v>0</v>
      </c>
      <c r="AU15" s="606">
        <f>IF($B15="","",IF('Prop TUOS'!Q14="",0,'Prop TUOS'!Q14))</f>
        <v>0</v>
      </c>
      <c r="AV15" s="427">
        <f>IF($B15="","",IF('Prop TUOS'!R14="",0,'Prop TUOS'!R14))</f>
        <v>0</v>
      </c>
      <c r="AW15" s="425">
        <f>IF($B15="","",IF('Prop JUOS'!D14="",0,'Prop JUOS'!D14))</f>
        <v>0</v>
      </c>
      <c r="AX15" s="426">
        <f>IF($B15="","",IF('Prop JUOS'!E14="",0,'Prop JUOS'!E14))</f>
        <v>0</v>
      </c>
      <c r="AY15" s="426">
        <f>IF($B15="","",IF('Prop JUOS'!F14="",0,'Prop JUOS'!F14))</f>
        <v>0</v>
      </c>
      <c r="AZ15" s="426">
        <f>IF($B15="","",IF('Prop JUOS'!G14="",0,'Prop JUOS'!G14))</f>
        <v>0</v>
      </c>
      <c r="BA15" s="426">
        <f>IF($B15="","",IF('Prop JUOS'!H14="",0,'Prop JUOS'!H14))</f>
        <v>0</v>
      </c>
      <c r="BB15" s="426">
        <f>IF($B15="","",IF('Prop JUOS'!I14="",0,'Prop JUOS'!I14))</f>
        <v>0</v>
      </c>
      <c r="BC15" s="426">
        <f>IF($B15="","",IF('Prop JUOS'!J14="",0,'Prop JUOS'!J14))</f>
        <v>0</v>
      </c>
      <c r="BD15" s="426">
        <f>IF($B15="","",IF('Prop JUOS'!K14="",0,'Prop JUOS'!K14))</f>
        <v>0</v>
      </c>
      <c r="BE15" s="426">
        <f>IF($B15="","",IF('Prop JUOS'!L14="",0,'Prop JUOS'!L14))</f>
        <v>0</v>
      </c>
      <c r="BF15" s="426">
        <f>IF($B15="","",IF('Prop JUOS'!M14="",0,'Prop JUOS'!M14))</f>
        <v>0</v>
      </c>
      <c r="BG15" s="426">
        <f>IF($B15="","",IF('Prop JUOS'!N14="",0,'Prop JUOS'!N14))</f>
        <v>0</v>
      </c>
      <c r="BH15" s="426">
        <f>IF($B15="","",IF('Prop JUOS'!O14="",0,'Prop JUOS'!O14))</f>
        <v>0</v>
      </c>
      <c r="BI15" s="426">
        <f>IF($B15="","",IF('Prop JUOS'!P14="",0,'Prop JUOS'!P14))</f>
        <v>0</v>
      </c>
      <c r="BJ15" s="606">
        <f>IF($B15="","",IF('Prop JUOS'!Q14="",0,'Prop JUOS'!Q14))</f>
        <v>0</v>
      </c>
      <c r="BK15" s="427">
        <f>IF($B15="","",IF('Prop JUOS'!R14="",0,'Prop JUOS'!R14))</f>
        <v>0</v>
      </c>
    </row>
    <row r="16" spans="2:63">
      <c r="B16" s="416" t="str">
        <f>IF('Prop DUOS'!B15="","",'Prop DUOS'!B15)</f>
        <v>Large low Voltage</v>
      </c>
      <c r="C16" s="376" t="str">
        <f>IF(B16="","",INDEX('Side constraints'!$C$33:$C$92,MATCH('Prop DUOS'!B15,'Side constraints'!$D$33:$D$92,0),1))</f>
        <v>Large low voltage</v>
      </c>
      <c r="D16" s="425">
        <f t="shared" si="4"/>
        <v>0</v>
      </c>
      <c r="E16" s="426">
        <f t="shared" si="5"/>
        <v>0</v>
      </c>
      <c r="F16" s="426">
        <f t="shared" si="6"/>
        <v>2.9</v>
      </c>
      <c r="G16" s="426">
        <f t="shared" si="7"/>
        <v>1.4</v>
      </c>
      <c r="H16" s="426">
        <f t="shared" si="8"/>
        <v>0</v>
      </c>
      <c r="I16" s="426">
        <f t="shared" si="9"/>
        <v>0</v>
      </c>
      <c r="J16" s="426">
        <f t="shared" si="10"/>
        <v>0</v>
      </c>
      <c r="K16" s="426">
        <f t="shared" si="11"/>
        <v>0</v>
      </c>
      <c r="L16" s="426">
        <f t="shared" si="12"/>
        <v>0</v>
      </c>
      <c r="M16" s="426">
        <f t="shared" si="13"/>
        <v>0</v>
      </c>
      <c r="N16" s="426">
        <f t="shared" si="14"/>
        <v>24.43</v>
      </c>
      <c r="O16" s="426">
        <f t="shared" si="15"/>
        <v>28.32</v>
      </c>
      <c r="P16" s="426">
        <f t="shared" si="16"/>
        <v>0</v>
      </c>
      <c r="Q16" s="606">
        <f t="shared" si="17"/>
        <v>0</v>
      </c>
      <c r="R16" s="427">
        <f t="shared" si="18"/>
        <v>0</v>
      </c>
      <c r="S16" s="425">
        <f>IF($B16="","",IF('Prop DUOS'!E15="",0,'Prop DUOS'!E15))</f>
        <v>0</v>
      </c>
      <c r="T16" s="426">
        <f>IF($B16="","",IF('Prop DUOS'!F15="",0,'Prop DUOS'!F15))</f>
        <v>0</v>
      </c>
      <c r="U16" s="426">
        <f>IF($B16="","",IF('Prop DUOS'!G15="",0,'Prop DUOS'!G15))</f>
        <v>1.42</v>
      </c>
      <c r="V16" s="426">
        <f>IF($B16="","",IF('Prop DUOS'!H15="",0,'Prop DUOS'!H15))</f>
        <v>0.65</v>
      </c>
      <c r="W16" s="426">
        <f>IF($B16="","",IF('Prop DUOS'!I15="",0,'Prop DUOS'!I15))</f>
        <v>0</v>
      </c>
      <c r="X16" s="426">
        <f>IF($B16="","",IF('Prop DUOS'!J15="",0,'Prop DUOS'!J15))</f>
        <v>0</v>
      </c>
      <c r="Y16" s="426">
        <f>IF($B16="","",IF('Prop DUOS'!K15="",0,'Prop DUOS'!K15))</f>
        <v>0</v>
      </c>
      <c r="Z16" s="426">
        <f>IF($B16="","",IF('Prop DUOS'!L15="",0,'Prop DUOS'!L15))</f>
        <v>0</v>
      </c>
      <c r="AA16" s="426">
        <f>IF($B16="","",IF('Prop DUOS'!M15="",0,'Prop DUOS'!M15))</f>
        <v>0</v>
      </c>
      <c r="AB16" s="426">
        <f>IF($B16="","",IF('Prop DUOS'!N15="",0,'Prop DUOS'!N15))</f>
        <v>0</v>
      </c>
      <c r="AC16" s="426">
        <f>IF($B16="","",IF('Prop DUOS'!O15="",0,'Prop DUOS'!O15))</f>
        <v>22.37</v>
      </c>
      <c r="AD16" s="426">
        <f>IF($B16="","",IF('Prop DUOS'!P15="",0,'Prop DUOS'!P15))</f>
        <v>0</v>
      </c>
      <c r="AE16" s="426">
        <f>IF($B16="","",IF('Prop DUOS'!Q15="",0,'Prop DUOS'!Q15))</f>
        <v>0</v>
      </c>
      <c r="AF16" s="606">
        <f>IF($B16="","",IF('Prop DUOS'!R15="",0,'Prop DUOS'!R15))</f>
        <v>0</v>
      </c>
      <c r="AG16" s="427">
        <f>IF($B16="","",IF('Prop DUOS'!S15="",0,'Prop DUOS'!S15))</f>
        <v>0</v>
      </c>
      <c r="AH16" s="425">
        <f>IF($B16="","",IF('Prop TUOS'!D15="",0,'Prop TUOS'!D15))</f>
        <v>0</v>
      </c>
      <c r="AI16" s="426">
        <f>IF($B16="","",IF('Prop TUOS'!E15="",0,'Prop TUOS'!E15))</f>
        <v>0</v>
      </c>
      <c r="AJ16" s="426">
        <f>IF($B16="","",IF('Prop TUOS'!F15="",0,'Prop TUOS'!F15))</f>
        <v>1.48</v>
      </c>
      <c r="AK16" s="426">
        <f>IF($B16="","",IF('Prop TUOS'!G15="",0,'Prop TUOS'!G15))</f>
        <v>0.75</v>
      </c>
      <c r="AL16" s="426">
        <f>IF($B16="","",IF('Prop TUOS'!H15="",0,'Prop TUOS'!H15))</f>
        <v>0</v>
      </c>
      <c r="AM16" s="426">
        <f>IF($B16="","",IF('Prop TUOS'!I15="",0,'Prop TUOS'!I15))</f>
        <v>0</v>
      </c>
      <c r="AN16" s="426">
        <f>IF($B16="","",IF('Prop TUOS'!J15="",0,'Prop TUOS'!J15))</f>
        <v>0</v>
      </c>
      <c r="AO16" s="426">
        <f>IF($B16="","",IF('Prop TUOS'!K15="",0,'Prop TUOS'!K15))</f>
        <v>0</v>
      </c>
      <c r="AP16" s="426">
        <f>IF($B16="","",IF('Prop TUOS'!L15="",0,'Prop TUOS'!L15))</f>
        <v>0</v>
      </c>
      <c r="AQ16" s="426">
        <f>IF($B16="","",IF('Prop TUOS'!M15="",0,'Prop TUOS'!M15))</f>
        <v>0</v>
      </c>
      <c r="AR16" s="426">
        <f>IF($B16="","",IF('Prop TUOS'!N15="",0,'Prop TUOS'!N15))</f>
        <v>2.06</v>
      </c>
      <c r="AS16" s="426">
        <f>IF($B16="","",IF('Prop TUOS'!O15="",0,'Prop TUOS'!O15))</f>
        <v>28.32</v>
      </c>
      <c r="AT16" s="426">
        <f>IF($B16="","",IF('Prop TUOS'!P15="",0,'Prop TUOS'!P15))</f>
        <v>0</v>
      </c>
      <c r="AU16" s="606">
        <f>IF($B16="","",IF('Prop TUOS'!Q15="",0,'Prop TUOS'!Q15))</f>
        <v>0</v>
      </c>
      <c r="AV16" s="427">
        <f>IF($B16="","",IF('Prop TUOS'!R15="",0,'Prop TUOS'!R15))</f>
        <v>0</v>
      </c>
      <c r="AW16" s="425">
        <f>IF($B16="","",IF('Prop JUOS'!D15="",0,'Prop JUOS'!D15))</f>
        <v>0</v>
      </c>
      <c r="AX16" s="426">
        <f>IF($B16="","",IF('Prop JUOS'!E15="",0,'Prop JUOS'!E15))</f>
        <v>0</v>
      </c>
      <c r="AY16" s="426">
        <f>IF($B16="","",IF('Prop JUOS'!F15="",0,'Prop JUOS'!F15))</f>
        <v>0</v>
      </c>
      <c r="AZ16" s="426">
        <f>IF($B16="","",IF('Prop JUOS'!G15="",0,'Prop JUOS'!G15))</f>
        <v>0</v>
      </c>
      <c r="BA16" s="426">
        <f>IF($B16="","",IF('Prop JUOS'!H15="",0,'Prop JUOS'!H15))</f>
        <v>0</v>
      </c>
      <c r="BB16" s="426">
        <f>IF($B16="","",IF('Prop JUOS'!I15="",0,'Prop JUOS'!I15))</f>
        <v>0</v>
      </c>
      <c r="BC16" s="426">
        <f>IF($B16="","",IF('Prop JUOS'!J15="",0,'Prop JUOS'!J15))</f>
        <v>0</v>
      </c>
      <c r="BD16" s="426">
        <f>IF($B16="","",IF('Prop JUOS'!K15="",0,'Prop JUOS'!K15))</f>
        <v>0</v>
      </c>
      <c r="BE16" s="426">
        <f>IF($B16="","",IF('Prop JUOS'!L15="",0,'Prop JUOS'!L15))</f>
        <v>0</v>
      </c>
      <c r="BF16" s="426">
        <f>IF($B16="","",IF('Prop JUOS'!M15="",0,'Prop JUOS'!M15))</f>
        <v>0</v>
      </c>
      <c r="BG16" s="426">
        <f>IF($B16="","",IF('Prop JUOS'!N15="",0,'Prop JUOS'!N15))</f>
        <v>0</v>
      </c>
      <c r="BH16" s="426">
        <f>IF($B16="","",IF('Prop JUOS'!O15="",0,'Prop JUOS'!O15))</f>
        <v>0</v>
      </c>
      <c r="BI16" s="426">
        <f>IF($B16="","",IF('Prop JUOS'!P15="",0,'Prop JUOS'!P15))</f>
        <v>0</v>
      </c>
      <c r="BJ16" s="606">
        <f>IF($B16="","",IF('Prop JUOS'!Q15="",0,'Prop JUOS'!Q15))</f>
        <v>0</v>
      </c>
      <c r="BK16" s="427">
        <f>IF($B16="","",IF('Prop JUOS'!R15="",0,'Prop JUOS'!R15))</f>
        <v>0</v>
      </c>
    </row>
    <row r="17" spans="2:63">
      <c r="B17" s="416" t="str">
        <f>IF('Prop DUOS'!B16="","",'Prop DUOS'!B16)</f>
        <v>High voltage</v>
      </c>
      <c r="C17" s="376" t="str">
        <f>IF(B17="","",INDEX('Side constraints'!$C$33:$C$92,MATCH('Prop DUOS'!B16,'Side constraints'!$D$33:$D$92,0),1))</f>
        <v>High Voltage</v>
      </c>
      <c r="D17" s="425">
        <f t="shared" si="4"/>
        <v>0</v>
      </c>
      <c r="E17" s="426">
        <f t="shared" si="5"/>
        <v>0</v>
      </c>
      <c r="F17" s="426">
        <f t="shared" si="6"/>
        <v>2.2599999999999998</v>
      </c>
      <c r="G17" s="426">
        <f t="shared" si="7"/>
        <v>1.1099999999999999</v>
      </c>
      <c r="H17" s="426">
        <f t="shared" si="8"/>
        <v>0</v>
      </c>
      <c r="I17" s="426">
        <f t="shared" si="9"/>
        <v>0</v>
      </c>
      <c r="J17" s="426">
        <f t="shared" si="10"/>
        <v>0</v>
      </c>
      <c r="K17" s="426">
        <f t="shared" si="11"/>
        <v>0</v>
      </c>
      <c r="L17" s="426">
        <f t="shared" si="12"/>
        <v>0</v>
      </c>
      <c r="M17" s="426">
        <f t="shared" si="13"/>
        <v>0</v>
      </c>
      <c r="N17" s="426">
        <f t="shared" si="14"/>
        <v>14.29</v>
      </c>
      <c r="O17" s="426">
        <f t="shared" si="15"/>
        <v>17.89</v>
      </c>
      <c r="P17" s="426">
        <f t="shared" si="16"/>
        <v>0</v>
      </c>
      <c r="Q17" s="606">
        <f t="shared" si="17"/>
        <v>0</v>
      </c>
      <c r="R17" s="427">
        <f t="shared" si="18"/>
        <v>0</v>
      </c>
      <c r="S17" s="425">
        <f>IF($B17="","",IF('Prop DUOS'!E16="",0,'Prop DUOS'!E16))</f>
        <v>0</v>
      </c>
      <c r="T17" s="426">
        <f>IF($B17="","",IF('Prop DUOS'!F16="",0,'Prop DUOS'!F16))</f>
        <v>0</v>
      </c>
      <c r="U17" s="426">
        <f>IF($B17="","",IF('Prop DUOS'!G16="",0,'Prop DUOS'!G16))</f>
        <v>0.78</v>
      </c>
      <c r="V17" s="426">
        <f>IF($B17="","",IF('Prop DUOS'!H16="",0,'Prop DUOS'!H16))</f>
        <v>0.36</v>
      </c>
      <c r="W17" s="426">
        <f>IF($B17="","",IF('Prop DUOS'!I16="",0,'Prop DUOS'!I16))</f>
        <v>0</v>
      </c>
      <c r="X17" s="426">
        <f>IF($B17="","",IF('Prop DUOS'!J16="",0,'Prop DUOS'!J16))</f>
        <v>0</v>
      </c>
      <c r="Y17" s="426">
        <f>IF($B17="","",IF('Prop DUOS'!K16="",0,'Prop DUOS'!K16))</f>
        <v>0</v>
      </c>
      <c r="Z17" s="426">
        <f>IF($B17="","",IF('Prop DUOS'!L16="",0,'Prop DUOS'!L16))</f>
        <v>0</v>
      </c>
      <c r="AA17" s="426">
        <f>IF($B17="","",IF('Prop DUOS'!M16="",0,'Prop DUOS'!M16))</f>
        <v>0</v>
      </c>
      <c r="AB17" s="426">
        <f>IF($B17="","",IF('Prop DUOS'!N16="",0,'Prop DUOS'!N16))</f>
        <v>0</v>
      </c>
      <c r="AC17" s="426">
        <f>IF($B17="","",IF('Prop DUOS'!O16="",0,'Prop DUOS'!O16))</f>
        <v>9.8699999999999992</v>
      </c>
      <c r="AD17" s="426">
        <f>IF($B17="","",IF('Prop DUOS'!P16="",0,'Prop DUOS'!P16))</f>
        <v>0</v>
      </c>
      <c r="AE17" s="426">
        <f>IF($B17="","",IF('Prop DUOS'!Q16="",0,'Prop DUOS'!Q16))</f>
        <v>0</v>
      </c>
      <c r="AF17" s="606">
        <f>IF($B17="","",IF('Prop DUOS'!R16="",0,'Prop DUOS'!R16))</f>
        <v>0</v>
      </c>
      <c r="AG17" s="427">
        <f>IF($B17="","",IF('Prop DUOS'!S16="",0,'Prop DUOS'!S16))</f>
        <v>0</v>
      </c>
      <c r="AH17" s="425">
        <f>IF($B17="","",IF('Prop TUOS'!D16="",0,'Prop TUOS'!D16))</f>
        <v>0</v>
      </c>
      <c r="AI17" s="426">
        <f>IF($B17="","",IF('Prop TUOS'!E16="",0,'Prop TUOS'!E16))</f>
        <v>0</v>
      </c>
      <c r="AJ17" s="426">
        <f>IF($B17="","",IF('Prop TUOS'!F16="",0,'Prop TUOS'!F16))</f>
        <v>1.48</v>
      </c>
      <c r="AK17" s="426">
        <f>IF($B17="","",IF('Prop TUOS'!G16="",0,'Prop TUOS'!G16))</f>
        <v>0.75</v>
      </c>
      <c r="AL17" s="426">
        <f>IF($B17="","",IF('Prop TUOS'!H16="",0,'Prop TUOS'!H16))</f>
        <v>0</v>
      </c>
      <c r="AM17" s="426">
        <f>IF($B17="","",IF('Prop TUOS'!I16="",0,'Prop TUOS'!I16))</f>
        <v>0</v>
      </c>
      <c r="AN17" s="426">
        <f>IF($B17="","",IF('Prop TUOS'!J16="",0,'Prop TUOS'!J16))</f>
        <v>0</v>
      </c>
      <c r="AO17" s="426">
        <f>IF($B17="","",IF('Prop TUOS'!K16="",0,'Prop TUOS'!K16))</f>
        <v>0</v>
      </c>
      <c r="AP17" s="426">
        <f>IF($B17="","",IF('Prop TUOS'!L16="",0,'Prop TUOS'!L16))</f>
        <v>0</v>
      </c>
      <c r="AQ17" s="426">
        <f>IF($B17="","",IF('Prop TUOS'!M16="",0,'Prop TUOS'!M16))</f>
        <v>0</v>
      </c>
      <c r="AR17" s="426">
        <f>IF($B17="","",IF('Prop TUOS'!N16="",0,'Prop TUOS'!N16))</f>
        <v>4.42</v>
      </c>
      <c r="AS17" s="426">
        <f>IF($B17="","",IF('Prop TUOS'!O16="",0,'Prop TUOS'!O16))</f>
        <v>17.89</v>
      </c>
      <c r="AT17" s="426">
        <f>IF($B17="","",IF('Prop TUOS'!P16="",0,'Prop TUOS'!P16))</f>
        <v>0</v>
      </c>
      <c r="AU17" s="606">
        <f>IF($B17="","",IF('Prop TUOS'!Q16="",0,'Prop TUOS'!Q16))</f>
        <v>0</v>
      </c>
      <c r="AV17" s="427">
        <f>IF($B17="","",IF('Prop TUOS'!R16="",0,'Prop TUOS'!R16))</f>
        <v>0</v>
      </c>
      <c r="AW17" s="425">
        <f>IF($B17="","",IF('Prop JUOS'!D16="",0,'Prop JUOS'!D16))</f>
        <v>0</v>
      </c>
      <c r="AX17" s="426">
        <f>IF($B17="","",IF('Prop JUOS'!E16="",0,'Prop JUOS'!E16))</f>
        <v>0</v>
      </c>
      <c r="AY17" s="426">
        <f>IF($B17="","",IF('Prop JUOS'!F16="",0,'Prop JUOS'!F16))</f>
        <v>0</v>
      </c>
      <c r="AZ17" s="426">
        <f>IF($B17="","",IF('Prop JUOS'!G16="",0,'Prop JUOS'!G16))</f>
        <v>0</v>
      </c>
      <c r="BA17" s="426">
        <f>IF($B17="","",IF('Prop JUOS'!H16="",0,'Prop JUOS'!H16))</f>
        <v>0</v>
      </c>
      <c r="BB17" s="426">
        <f>IF($B17="","",IF('Prop JUOS'!I16="",0,'Prop JUOS'!I16))</f>
        <v>0</v>
      </c>
      <c r="BC17" s="426">
        <f>IF($B17="","",IF('Prop JUOS'!J16="",0,'Prop JUOS'!J16))</f>
        <v>0</v>
      </c>
      <c r="BD17" s="426">
        <f>IF($B17="","",IF('Prop JUOS'!K16="",0,'Prop JUOS'!K16))</f>
        <v>0</v>
      </c>
      <c r="BE17" s="426">
        <f>IF($B17="","",IF('Prop JUOS'!L16="",0,'Prop JUOS'!L16))</f>
        <v>0</v>
      </c>
      <c r="BF17" s="426">
        <f>IF($B17="","",IF('Prop JUOS'!M16="",0,'Prop JUOS'!M16))</f>
        <v>0</v>
      </c>
      <c r="BG17" s="426">
        <f>IF($B17="","",IF('Prop JUOS'!N16="",0,'Prop JUOS'!N16))</f>
        <v>0</v>
      </c>
      <c r="BH17" s="426">
        <f>IF($B17="","",IF('Prop JUOS'!O16="",0,'Prop JUOS'!O16))</f>
        <v>0</v>
      </c>
      <c r="BI17" s="426">
        <f>IF($B17="","",IF('Prop JUOS'!P16="",0,'Prop JUOS'!P16))</f>
        <v>0</v>
      </c>
      <c r="BJ17" s="606">
        <f>IF($B17="","",IF('Prop JUOS'!Q16="",0,'Prop JUOS'!Q16))</f>
        <v>0</v>
      </c>
      <c r="BK17" s="427">
        <f>IF($B17="","",IF('Prop JUOS'!R16="",0,'Prop JUOS'!R16))</f>
        <v>0</v>
      </c>
    </row>
    <row r="18" spans="2:63">
      <c r="B18" s="416" t="str">
        <f>IF('Prop DUOS'!B17="","",'Prop DUOS'!B17)</f>
        <v>Subtransmission</v>
      </c>
      <c r="C18" s="376" t="str">
        <f>IF(B18="","",INDEX('Side constraints'!$C$33:$C$92,MATCH('Prop DUOS'!B17,'Side constraints'!$D$33:$D$92,0),1))</f>
        <v>Subtransmission</v>
      </c>
      <c r="D18" s="425">
        <f t="shared" si="4"/>
        <v>0</v>
      </c>
      <c r="E18" s="426">
        <f t="shared" si="5"/>
        <v>0</v>
      </c>
      <c r="F18" s="426">
        <f t="shared" si="6"/>
        <v>1.48</v>
      </c>
      <c r="G18" s="426">
        <f t="shared" si="7"/>
        <v>0.75</v>
      </c>
      <c r="H18" s="426">
        <f t="shared" si="8"/>
        <v>0</v>
      </c>
      <c r="I18" s="426">
        <f t="shared" si="9"/>
        <v>0</v>
      </c>
      <c r="J18" s="426">
        <f t="shared" si="10"/>
        <v>0</v>
      </c>
      <c r="K18" s="426">
        <f t="shared" si="11"/>
        <v>0</v>
      </c>
      <c r="L18" s="426">
        <f t="shared" si="12"/>
        <v>0</v>
      </c>
      <c r="M18" s="426">
        <f t="shared" si="13"/>
        <v>0</v>
      </c>
      <c r="N18" s="426">
        <f t="shared" si="14"/>
        <v>3.9400000000000004</v>
      </c>
      <c r="O18" s="426">
        <f t="shared" si="15"/>
        <v>10.79</v>
      </c>
      <c r="P18" s="426">
        <f t="shared" si="16"/>
        <v>0</v>
      </c>
      <c r="Q18" s="606">
        <f t="shared" si="17"/>
        <v>0</v>
      </c>
      <c r="R18" s="427">
        <f t="shared" si="18"/>
        <v>0</v>
      </c>
      <c r="S18" s="425">
        <f>IF($B18="","",IF('Prop DUOS'!E17="",0,'Prop DUOS'!E17))</f>
        <v>0</v>
      </c>
      <c r="T18" s="426">
        <f>IF($B18="","",IF('Prop DUOS'!F17="",0,'Prop DUOS'!F17))</f>
        <v>0</v>
      </c>
      <c r="U18" s="426">
        <f>IF($B18="","",IF('Prop DUOS'!G17="",0,'Prop DUOS'!G17))</f>
        <v>0</v>
      </c>
      <c r="V18" s="426">
        <f>IF($B18="","",IF('Prop DUOS'!H17="",0,'Prop DUOS'!H17))</f>
        <v>0</v>
      </c>
      <c r="W18" s="426">
        <f>IF($B18="","",IF('Prop DUOS'!I17="",0,'Prop DUOS'!I17))</f>
        <v>0</v>
      </c>
      <c r="X18" s="426">
        <f>IF($B18="","",IF('Prop DUOS'!J17="",0,'Prop DUOS'!J17))</f>
        <v>0</v>
      </c>
      <c r="Y18" s="426">
        <f>IF($B18="","",IF('Prop DUOS'!K17="",0,'Prop DUOS'!K17))</f>
        <v>0</v>
      </c>
      <c r="Z18" s="426">
        <f>IF($B18="","",IF('Prop DUOS'!L17="",0,'Prop DUOS'!L17))</f>
        <v>0</v>
      </c>
      <c r="AA18" s="426">
        <f>IF($B18="","",IF('Prop DUOS'!M17="",0,'Prop DUOS'!M17))</f>
        <v>0</v>
      </c>
      <c r="AB18" s="426">
        <f>IF($B18="","",IF('Prop DUOS'!N17="",0,'Prop DUOS'!N17))</f>
        <v>0</v>
      </c>
      <c r="AC18" s="426">
        <f>IF($B18="","",IF('Prop DUOS'!O17="",0,'Prop DUOS'!O17))</f>
        <v>2.41</v>
      </c>
      <c r="AD18" s="426">
        <f>IF($B18="","",IF('Prop DUOS'!P17="",0,'Prop DUOS'!P17))</f>
        <v>0</v>
      </c>
      <c r="AE18" s="426">
        <f>IF($B18="","",IF('Prop DUOS'!Q17="",0,'Prop DUOS'!Q17))</f>
        <v>0</v>
      </c>
      <c r="AF18" s="606">
        <f>IF($B18="","",IF('Prop DUOS'!R17="",0,'Prop DUOS'!R17))</f>
        <v>0</v>
      </c>
      <c r="AG18" s="427">
        <f>IF($B18="","",IF('Prop DUOS'!S17="",0,'Prop DUOS'!S17))</f>
        <v>0</v>
      </c>
      <c r="AH18" s="425">
        <f>IF($B18="","",IF('Prop TUOS'!D17="",0,'Prop TUOS'!D17))</f>
        <v>0</v>
      </c>
      <c r="AI18" s="426">
        <f>IF($B18="","",IF('Prop TUOS'!E17="",0,'Prop TUOS'!E17))</f>
        <v>0</v>
      </c>
      <c r="AJ18" s="426">
        <f>IF($B18="","",IF('Prop TUOS'!F17="",0,'Prop TUOS'!F17))</f>
        <v>1.48</v>
      </c>
      <c r="AK18" s="426">
        <f>IF($B18="","",IF('Prop TUOS'!G17="",0,'Prop TUOS'!G17))</f>
        <v>0.75</v>
      </c>
      <c r="AL18" s="426">
        <f>IF($B18="","",IF('Prop TUOS'!H17="",0,'Prop TUOS'!H17))</f>
        <v>0</v>
      </c>
      <c r="AM18" s="426">
        <f>IF($B18="","",IF('Prop TUOS'!I17="",0,'Prop TUOS'!I17))</f>
        <v>0</v>
      </c>
      <c r="AN18" s="426">
        <f>IF($B18="","",IF('Prop TUOS'!J17="",0,'Prop TUOS'!J17))</f>
        <v>0</v>
      </c>
      <c r="AO18" s="426">
        <f>IF($B18="","",IF('Prop TUOS'!K17="",0,'Prop TUOS'!K17))</f>
        <v>0</v>
      </c>
      <c r="AP18" s="426">
        <f>IF($B18="","",IF('Prop TUOS'!L17="",0,'Prop TUOS'!L17))</f>
        <v>0</v>
      </c>
      <c r="AQ18" s="426">
        <f>IF($B18="","",IF('Prop TUOS'!M17="",0,'Prop TUOS'!M17))</f>
        <v>0</v>
      </c>
      <c r="AR18" s="426">
        <f>IF($B18="","",IF('Prop TUOS'!N17="",0,'Prop TUOS'!N17))</f>
        <v>1.53</v>
      </c>
      <c r="AS18" s="426">
        <f>IF($B18="","",IF('Prop TUOS'!O17="",0,'Prop TUOS'!O17))</f>
        <v>10.79</v>
      </c>
      <c r="AT18" s="426">
        <f>IF($B18="","",IF('Prop TUOS'!P17="",0,'Prop TUOS'!P17))</f>
        <v>0</v>
      </c>
      <c r="AU18" s="606">
        <f>IF($B18="","",IF('Prop TUOS'!Q17="",0,'Prop TUOS'!Q17))</f>
        <v>0</v>
      </c>
      <c r="AV18" s="427">
        <f>IF($B18="","",IF('Prop TUOS'!R17="",0,'Prop TUOS'!R17))</f>
        <v>0</v>
      </c>
      <c r="AW18" s="425">
        <f>IF($B18="","",IF('Prop JUOS'!D17="",0,'Prop JUOS'!D17))</f>
        <v>0</v>
      </c>
      <c r="AX18" s="426">
        <f>IF($B18="","",IF('Prop JUOS'!E17="",0,'Prop JUOS'!E17))</f>
        <v>0</v>
      </c>
      <c r="AY18" s="426">
        <f>IF($B18="","",IF('Prop JUOS'!F17="",0,'Prop JUOS'!F17))</f>
        <v>0</v>
      </c>
      <c r="AZ18" s="426">
        <f>IF($B18="","",IF('Prop JUOS'!G17="",0,'Prop JUOS'!G17))</f>
        <v>0</v>
      </c>
      <c r="BA18" s="426">
        <f>IF($B18="","",IF('Prop JUOS'!H17="",0,'Prop JUOS'!H17))</f>
        <v>0</v>
      </c>
      <c r="BB18" s="426">
        <f>IF($B18="","",IF('Prop JUOS'!I17="",0,'Prop JUOS'!I17))</f>
        <v>0</v>
      </c>
      <c r="BC18" s="426">
        <f>IF($B18="","",IF('Prop JUOS'!J17="",0,'Prop JUOS'!J17))</f>
        <v>0</v>
      </c>
      <c r="BD18" s="426">
        <f>IF($B18="","",IF('Prop JUOS'!K17="",0,'Prop JUOS'!K17))</f>
        <v>0</v>
      </c>
      <c r="BE18" s="426">
        <f>IF($B18="","",IF('Prop JUOS'!L17="",0,'Prop JUOS'!L17))</f>
        <v>0</v>
      </c>
      <c r="BF18" s="426">
        <f>IF($B18="","",IF('Prop JUOS'!M17="",0,'Prop JUOS'!M17))</f>
        <v>0</v>
      </c>
      <c r="BG18" s="426">
        <f>IF($B18="","",IF('Prop JUOS'!N17="",0,'Prop JUOS'!N17))</f>
        <v>0</v>
      </c>
      <c r="BH18" s="426">
        <f>IF($B18="","",IF('Prop JUOS'!O17="",0,'Prop JUOS'!O17))</f>
        <v>0</v>
      </c>
      <c r="BI18" s="426">
        <f>IF($B18="","",IF('Prop JUOS'!P17="",0,'Prop JUOS'!P17))</f>
        <v>0</v>
      </c>
      <c r="BJ18" s="606">
        <f>IF($B18="","",IF('Prop JUOS'!Q17="",0,'Prop JUOS'!Q17))</f>
        <v>0</v>
      </c>
      <c r="BK18" s="427">
        <f>IF($B18="","",IF('Prop JUOS'!R17="",0,'Prop JUOS'!R17))</f>
        <v>0</v>
      </c>
    </row>
    <row r="19" spans="2:63">
      <c r="B19" s="416" t="str">
        <f>IF('Prop DUOS'!B18="","",'Prop DUOS'!B18)</f>
        <v/>
      </c>
      <c r="C19" s="376" t="str">
        <f>IF(B19="","",INDEX('Side constraints'!$C$33:$C$92,MATCH('Prop DUOS'!B18,'Side constraints'!$D$33:$D$92,0),1))</f>
        <v/>
      </c>
      <c r="D19" s="425" t="str">
        <f t="shared" si="4"/>
        <v/>
      </c>
      <c r="E19" s="426" t="str">
        <f t="shared" si="5"/>
        <v/>
      </c>
      <c r="F19" s="426" t="str">
        <f t="shared" si="6"/>
        <v/>
      </c>
      <c r="G19" s="426" t="str">
        <f t="shared" si="7"/>
        <v/>
      </c>
      <c r="H19" s="426" t="str">
        <f t="shared" si="8"/>
        <v/>
      </c>
      <c r="I19" s="426" t="str">
        <f t="shared" si="9"/>
        <v/>
      </c>
      <c r="J19" s="426" t="str">
        <f t="shared" si="10"/>
        <v/>
      </c>
      <c r="K19" s="426" t="str">
        <f t="shared" si="11"/>
        <v/>
      </c>
      <c r="L19" s="426" t="str">
        <f t="shared" si="12"/>
        <v/>
      </c>
      <c r="M19" s="426" t="str">
        <f t="shared" si="13"/>
        <v/>
      </c>
      <c r="N19" s="426" t="str">
        <f t="shared" si="14"/>
        <v/>
      </c>
      <c r="O19" s="426" t="str">
        <f t="shared" si="15"/>
        <v/>
      </c>
      <c r="P19" s="426" t="str">
        <f t="shared" si="16"/>
        <v/>
      </c>
      <c r="Q19" s="606" t="str">
        <f t="shared" si="17"/>
        <v/>
      </c>
      <c r="R19" s="427" t="str">
        <f t="shared" si="18"/>
        <v/>
      </c>
      <c r="S19" s="425" t="str">
        <f>IF($B19="","",IF('Prop DUOS'!E18="",0,'Prop DUOS'!E18))</f>
        <v/>
      </c>
      <c r="T19" s="426" t="str">
        <f>IF($B19="","",IF('Prop DUOS'!F18="",0,'Prop DUOS'!F18))</f>
        <v/>
      </c>
      <c r="U19" s="426" t="str">
        <f>IF($B19="","",IF('Prop DUOS'!G18="",0,'Prop DUOS'!G18))</f>
        <v/>
      </c>
      <c r="V19" s="426" t="str">
        <f>IF($B19="","",IF('Prop DUOS'!H18="",0,'Prop DUOS'!H18))</f>
        <v/>
      </c>
      <c r="W19" s="426" t="str">
        <f>IF($B19="","",IF('Prop DUOS'!I18="",0,'Prop DUOS'!I18))</f>
        <v/>
      </c>
      <c r="X19" s="426" t="str">
        <f>IF($B19="","",IF('Prop DUOS'!J18="",0,'Prop DUOS'!J18))</f>
        <v/>
      </c>
      <c r="Y19" s="426" t="str">
        <f>IF($B19="","",IF('Prop DUOS'!K18="",0,'Prop DUOS'!K18))</f>
        <v/>
      </c>
      <c r="Z19" s="426" t="str">
        <f>IF($B19="","",IF('Prop DUOS'!L18="",0,'Prop DUOS'!L18))</f>
        <v/>
      </c>
      <c r="AA19" s="426" t="str">
        <f>IF($B19="","",IF('Prop DUOS'!M18="",0,'Prop DUOS'!M18))</f>
        <v/>
      </c>
      <c r="AB19" s="426" t="str">
        <f>IF($B19="","",IF('Prop DUOS'!N18="",0,'Prop DUOS'!N18))</f>
        <v/>
      </c>
      <c r="AC19" s="426" t="str">
        <f>IF($B19="","",IF('Prop DUOS'!O18="",0,'Prop DUOS'!O18))</f>
        <v/>
      </c>
      <c r="AD19" s="426" t="str">
        <f>IF($B19="","",IF('Prop DUOS'!P18="",0,'Prop DUOS'!P18))</f>
        <v/>
      </c>
      <c r="AE19" s="426" t="str">
        <f>IF($B19="","",IF('Prop DUOS'!Q18="",0,'Prop DUOS'!Q18))</f>
        <v/>
      </c>
      <c r="AF19" s="606" t="str">
        <f>IF($B19="","",IF('Prop DUOS'!R18="",0,'Prop DUOS'!R18))</f>
        <v/>
      </c>
      <c r="AG19" s="427" t="str">
        <f>IF($B19="","",IF('Prop DUOS'!S18="",0,'Prop DUOS'!S18))</f>
        <v/>
      </c>
      <c r="AH19" s="425" t="str">
        <f>IF($B19="","",IF('Prop TUOS'!D18="",0,'Prop TUOS'!D18))</f>
        <v/>
      </c>
      <c r="AI19" s="426" t="str">
        <f>IF($B19="","",IF('Prop TUOS'!E18="",0,'Prop TUOS'!E18))</f>
        <v/>
      </c>
      <c r="AJ19" s="426" t="str">
        <f>IF($B19="","",IF('Prop TUOS'!F18="",0,'Prop TUOS'!F18))</f>
        <v/>
      </c>
      <c r="AK19" s="426" t="str">
        <f>IF($B19="","",IF('Prop TUOS'!G18="",0,'Prop TUOS'!G18))</f>
        <v/>
      </c>
      <c r="AL19" s="426" t="str">
        <f>IF($B19="","",IF('Prop TUOS'!H18="",0,'Prop TUOS'!H18))</f>
        <v/>
      </c>
      <c r="AM19" s="426" t="str">
        <f>IF($B19="","",IF('Prop TUOS'!I18="",0,'Prop TUOS'!I18))</f>
        <v/>
      </c>
      <c r="AN19" s="426" t="str">
        <f>IF($B19="","",IF('Prop TUOS'!J18="",0,'Prop TUOS'!J18))</f>
        <v/>
      </c>
      <c r="AO19" s="426" t="str">
        <f>IF($B19="","",IF('Prop TUOS'!K18="",0,'Prop TUOS'!K18))</f>
        <v/>
      </c>
      <c r="AP19" s="426" t="str">
        <f>IF($B19="","",IF('Prop TUOS'!L18="",0,'Prop TUOS'!L18))</f>
        <v/>
      </c>
      <c r="AQ19" s="426" t="str">
        <f>IF($B19="","",IF('Prop TUOS'!M18="",0,'Prop TUOS'!M18))</f>
        <v/>
      </c>
      <c r="AR19" s="426" t="str">
        <f>IF($B19="","",IF('Prop TUOS'!N18="",0,'Prop TUOS'!N18))</f>
        <v/>
      </c>
      <c r="AS19" s="426" t="str">
        <f>IF($B19="","",IF('Prop TUOS'!O18="",0,'Prop TUOS'!O18))</f>
        <v/>
      </c>
      <c r="AT19" s="426" t="str">
        <f>IF($B19="","",IF('Prop TUOS'!P18="",0,'Prop TUOS'!P18))</f>
        <v/>
      </c>
      <c r="AU19" s="606" t="str">
        <f>IF($B19="","",IF('Prop TUOS'!Q18="",0,'Prop TUOS'!Q18))</f>
        <v/>
      </c>
      <c r="AV19" s="427" t="str">
        <f>IF($B19="","",IF('Prop TUOS'!R18="",0,'Prop TUOS'!R18))</f>
        <v/>
      </c>
      <c r="AW19" s="425" t="str">
        <f>IF($B19="","",IF('Prop JUOS'!D18="",0,'Prop JUOS'!D18))</f>
        <v/>
      </c>
      <c r="AX19" s="426" t="str">
        <f>IF($B19="","",IF('Prop JUOS'!E18="",0,'Prop JUOS'!E18))</f>
        <v/>
      </c>
      <c r="AY19" s="426" t="str">
        <f>IF($B19="","",IF('Prop JUOS'!F18="",0,'Prop JUOS'!F18))</f>
        <v/>
      </c>
      <c r="AZ19" s="426" t="str">
        <f>IF($B19="","",IF('Prop JUOS'!G18="",0,'Prop JUOS'!G18))</f>
        <v/>
      </c>
      <c r="BA19" s="426" t="str">
        <f>IF($B19="","",IF('Prop JUOS'!H18="",0,'Prop JUOS'!H18))</f>
        <v/>
      </c>
      <c r="BB19" s="426" t="str">
        <f>IF($B19="","",IF('Prop JUOS'!I18="",0,'Prop JUOS'!I18))</f>
        <v/>
      </c>
      <c r="BC19" s="426" t="str">
        <f>IF($B19="","",IF('Prop JUOS'!J18="",0,'Prop JUOS'!J18))</f>
        <v/>
      </c>
      <c r="BD19" s="426" t="str">
        <f>IF($B19="","",IF('Prop JUOS'!K18="",0,'Prop JUOS'!K18))</f>
        <v/>
      </c>
      <c r="BE19" s="426" t="str">
        <f>IF($B19="","",IF('Prop JUOS'!L18="",0,'Prop JUOS'!L18))</f>
        <v/>
      </c>
      <c r="BF19" s="426" t="str">
        <f>IF($B19="","",IF('Prop JUOS'!M18="",0,'Prop JUOS'!M18))</f>
        <v/>
      </c>
      <c r="BG19" s="426" t="str">
        <f>IF($B19="","",IF('Prop JUOS'!N18="",0,'Prop JUOS'!N18))</f>
        <v/>
      </c>
      <c r="BH19" s="426" t="str">
        <f>IF($B19="","",IF('Prop JUOS'!O18="",0,'Prop JUOS'!O18))</f>
        <v/>
      </c>
      <c r="BI19" s="426" t="str">
        <f>IF($B19="","",IF('Prop JUOS'!P18="",0,'Prop JUOS'!P18))</f>
        <v/>
      </c>
      <c r="BJ19" s="606" t="str">
        <f>IF($B19="","",IF('Prop JUOS'!Q18="",0,'Prop JUOS'!Q18))</f>
        <v/>
      </c>
      <c r="BK19" s="427" t="str">
        <f>IF($B19="","",IF('Prop JUOS'!R18="",0,'Prop JUOS'!R18))</f>
        <v/>
      </c>
    </row>
    <row r="20" spans="2:63">
      <c r="B20" s="416" t="str">
        <f>IF('Prop DUOS'!B19="","",'Prop DUOS'!B19)</f>
        <v/>
      </c>
      <c r="C20" s="376" t="str">
        <f>IF(B20="","",INDEX('Side constraints'!$C$33:$C$92,MATCH('Prop DUOS'!B19,'Side constraints'!$D$33:$D$92,0),1))</f>
        <v/>
      </c>
      <c r="D20" s="425" t="str">
        <f t="shared" si="4"/>
        <v/>
      </c>
      <c r="E20" s="426" t="str">
        <f t="shared" si="5"/>
        <v/>
      </c>
      <c r="F20" s="426" t="str">
        <f t="shared" si="6"/>
        <v/>
      </c>
      <c r="G20" s="426" t="str">
        <f t="shared" si="7"/>
        <v/>
      </c>
      <c r="H20" s="426" t="str">
        <f t="shared" si="8"/>
        <v/>
      </c>
      <c r="I20" s="426" t="str">
        <f t="shared" si="9"/>
        <v/>
      </c>
      <c r="J20" s="426" t="str">
        <f t="shared" si="10"/>
        <v/>
      </c>
      <c r="K20" s="426" t="str">
        <f t="shared" si="11"/>
        <v/>
      </c>
      <c r="L20" s="426" t="str">
        <f t="shared" si="12"/>
        <v/>
      </c>
      <c r="M20" s="426" t="str">
        <f t="shared" si="13"/>
        <v/>
      </c>
      <c r="N20" s="426" t="str">
        <f t="shared" si="14"/>
        <v/>
      </c>
      <c r="O20" s="426" t="str">
        <f t="shared" si="15"/>
        <v/>
      </c>
      <c r="P20" s="426" t="str">
        <f t="shared" si="16"/>
        <v/>
      </c>
      <c r="Q20" s="606" t="str">
        <f t="shared" si="17"/>
        <v/>
      </c>
      <c r="R20" s="427" t="str">
        <f t="shared" si="18"/>
        <v/>
      </c>
      <c r="S20" s="425" t="str">
        <f>IF($B20="","",IF('Prop DUOS'!E19="",0,'Prop DUOS'!E19))</f>
        <v/>
      </c>
      <c r="T20" s="426" t="str">
        <f>IF($B20="","",IF('Prop DUOS'!F19="",0,'Prop DUOS'!F19))</f>
        <v/>
      </c>
      <c r="U20" s="426" t="str">
        <f>IF($B20="","",IF('Prop DUOS'!G19="",0,'Prop DUOS'!G19))</f>
        <v/>
      </c>
      <c r="V20" s="426" t="str">
        <f>IF($B20="","",IF('Prop DUOS'!H19="",0,'Prop DUOS'!H19))</f>
        <v/>
      </c>
      <c r="W20" s="426" t="str">
        <f>IF($B20="","",IF('Prop DUOS'!I19="",0,'Prop DUOS'!I19))</f>
        <v/>
      </c>
      <c r="X20" s="426" t="str">
        <f>IF($B20="","",IF('Prop DUOS'!J19="",0,'Prop DUOS'!J19))</f>
        <v/>
      </c>
      <c r="Y20" s="426" t="str">
        <f>IF($B20="","",IF('Prop DUOS'!K19="",0,'Prop DUOS'!K19))</f>
        <v/>
      </c>
      <c r="Z20" s="426" t="str">
        <f>IF($B20="","",IF('Prop DUOS'!L19="",0,'Prop DUOS'!L19))</f>
        <v/>
      </c>
      <c r="AA20" s="426" t="str">
        <f>IF($B20="","",IF('Prop DUOS'!M19="",0,'Prop DUOS'!M19))</f>
        <v/>
      </c>
      <c r="AB20" s="426" t="str">
        <f>IF($B20="","",IF('Prop DUOS'!N19="",0,'Prop DUOS'!N19))</f>
        <v/>
      </c>
      <c r="AC20" s="426" t="str">
        <f>IF($B20="","",IF('Prop DUOS'!O19="",0,'Prop DUOS'!O19))</f>
        <v/>
      </c>
      <c r="AD20" s="426" t="str">
        <f>IF($B20="","",IF('Prop DUOS'!P19="",0,'Prop DUOS'!P19))</f>
        <v/>
      </c>
      <c r="AE20" s="426" t="str">
        <f>IF($B20="","",IF('Prop DUOS'!Q19="",0,'Prop DUOS'!Q19))</f>
        <v/>
      </c>
      <c r="AF20" s="606" t="str">
        <f>IF($B20="","",IF('Prop DUOS'!R19="",0,'Prop DUOS'!R19))</f>
        <v/>
      </c>
      <c r="AG20" s="427" t="str">
        <f>IF($B20="","",IF('Prop DUOS'!S19="",0,'Prop DUOS'!S19))</f>
        <v/>
      </c>
      <c r="AH20" s="425" t="str">
        <f>IF($B20="","",IF('Prop TUOS'!D19="",0,'Prop TUOS'!D19))</f>
        <v/>
      </c>
      <c r="AI20" s="426" t="str">
        <f>IF($B20="","",IF('Prop TUOS'!E19="",0,'Prop TUOS'!E19))</f>
        <v/>
      </c>
      <c r="AJ20" s="426" t="str">
        <f>IF($B20="","",IF('Prop TUOS'!F19="",0,'Prop TUOS'!F19))</f>
        <v/>
      </c>
      <c r="AK20" s="426" t="str">
        <f>IF($B20="","",IF('Prop TUOS'!G19="",0,'Prop TUOS'!G19))</f>
        <v/>
      </c>
      <c r="AL20" s="426" t="str">
        <f>IF($B20="","",IF('Prop TUOS'!H19="",0,'Prop TUOS'!H19))</f>
        <v/>
      </c>
      <c r="AM20" s="426" t="str">
        <f>IF($B20="","",IF('Prop TUOS'!I19="",0,'Prop TUOS'!I19))</f>
        <v/>
      </c>
      <c r="AN20" s="426" t="str">
        <f>IF($B20="","",IF('Prop TUOS'!J19="",0,'Prop TUOS'!J19))</f>
        <v/>
      </c>
      <c r="AO20" s="426" t="str">
        <f>IF($B20="","",IF('Prop TUOS'!K19="",0,'Prop TUOS'!K19))</f>
        <v/>
      </c>
      <c r="AP20" s="426" t="str">
        <f>IF($B20="","",IF('Prop TUOS'!L19="",0,'Prop TUOS'!L19))</f>
        <v/>
      </c>
      <c r="AQ20" s="426" t="str">
        <f>IF($B20="","",IF('Prop TUOS'!M19="",0,'Prop TUOS'!M19))</f>
        <v/>
      </c>
      <c r="AR20" s="426" t="str">
        <f>IF($B20="","",IF('Prop TUOS'!N19="",0,'Prop TUOS'!N19))</f>
        <v/>
      </c>
      <c r="AS20" s="426" t="str">
        <f>IF($B20="","",IF('Prop TUOS'!O19="",0,'Prop TUOS'!O19))</f>
        <v/>
      </c>
      <c r="AT20" s="426" t="str">
        <f>IF($B20="","",IF('Prop TUOS'!P19="",0,'Prop TUOS'!P19))</f>
        <v/>
      </c>
      <c r="AU20" s="606" t="str">
        <f>IF($B20="","",IF('Prop TUOS'!Q19="",0,'Prop TUOS'!Q19))</f>
        <v/>
      </c>
      <c r="AV20" s="427" t="str">
        <f>IF($B20="","",IF('Prop TUOS'!R19="",0,'Prop TUOS'!R19))</f>
        <v/>
      </c>
      <c r="AW20" s="425" t="str">
        <f>IF($B20="","",IF('Prop JUOS'!D19="",0,'Prop JUOS'!D19))</f>
        <v/>
      </c>
      <c r="AX20" s="426" t="str">
        <f>IF($B20="","",IF('Prop JUOS'!E19="",0,'Prop JUOS'!E19))</f>
        <v/>
      </c>
      <c r="AY20" s="426" t="str">
        <f>IF($B20="","",IF('Prop JUOS'!F19="",0,'Prop JUOS'!F19))</f>
        <v/>
      </c>
      <c r="AZ20" s="426" t="str">
        <f>IF($B20="","",IF('Prop JUOS'!G19="",0,'Prop JUOS'!G19))</f>
        <v/>
      </c>
      <c r="BA20" s="426" t="str">
        <f>IF($B20="","",IF('Prop JUOS'!H19="",0,'Prop JUOS'!H19))</f>
        <v/>
      </c>
      <c r="BB20" s="426" t="str">
        <f>IF($B20="","",IF('Prop JUOS'!I19="",0,'Prop JUOS'!I19))</f>
        <v/>
      </c>
      <c r="BC20" s="426" t="str">
        <f>IF($B20="","",IF('Prop JUOS'!J19="",0,'Prop JUOS'!J19))</f>
        <v/>
      </c>
      <c r="BD20" s="426" t="str">
        <f>IF($B20="","",IF('Prop JUOS'!K19="",0,'Prop JUOS'!K19))</f>
        <v/>
      </c>
      <c r="BE20" s="426" t="str">
        <f>IF($B20="","",IF('Prop JUOS'!L19="",0,'Prop JUOS'!L19))</f>
        <v/>
      </c>
      <c r="BF20" s="426" t="str">
        <f>IF($B20="","",IF('Prop JUOS'!M19="",0,'Prop JUOS'!M19))</f>
        <v/>
      </c>
      <c r="BG20" s="426" t="str">
        <f>IF($B20="","",IF('Prop JUOS'!N19="",0,'Prop JUOS'!N19))</f>
        <v/>
      </c>
      <c r="BH20" s="426" t="str">
        <f>IF($B20="","",IF('Prop JUOS'!O19="",0,'Prop JUOS'!O19))</f>
        <v/>
      </c>
      <c r="BI20" s="426" t="str">
        <f>IF($B20="","",IF('Prop JUOS'!P19="",0,'Prop JUOS'!P19))</f>
        <v/>
      </c>
      <c r="BJ20" s="606" t="str">
        <f>IF($B20="","",IF('Prop JUOS'!Q19="",0,'Prop JUOS'!Q19))</f>
        <v/>
      </c>
      <c r="BK20" s="427" t="str">
        <f>IF($B20="","",IF('Prop JUOS'!R19="",0,'Prop JUOS'!R19))</f>
        <v/>
      </c>
    </row>
    <row r="21" spans="2:63">
      <c r="B21" s="416" t="str">
        <f>IF('Prop DUOS'!B20="","",'Prop DUOS'!B20)</f>
        <v/>
      </c>
      <c r="C21" s="376" t="str">
        <f>IF(B21="","",INDEX('Side constraints'!$C$33:$C$92,MATCH('Prop DUOS'!B20,'Side constraints'!$D$33:$D$92,0),1))</f>
        <v/>
      </c>
      <c r="D21" s="425" t="str">
        <f t="shared" si="4"/>
        <v/>
      </c>
      <c r="E21" s="426" t="str">
        <f t="shared" si="5"/>
        <v/>
      </c>
      <c r="F21" s="426" t="str">
        <f t="shared" si="6"/>
        <v/>
      </c>
      <c r="G21" s="426" t="str">
        <f t="shared" si="7"/>
        <v/>
      </c>
      <c r="H21" s="426" t="str">
        <f t="shared" si="8"/>
        <v/>
      </c>
      <c r="I21" s="426" t="str">
        <f t="shared" si="9"/>
        <v/>
      </c>
      <c r="J21" s="426" t="str">
        <f t="shared" si="10"/>
        <v/>
      </c>
      <c r="K21" s="426" t="str">
        <f t="shared" si="11"/>
        <v/>
      </c>
      <c r="L21" s="426" t="str">
        <f t="shared" si="12"/>
        <v/>
      </c>
      <c r="M21" s="426" t="str">
        <f t="shared" si="13"/>
        <v/>
      </c>
      <c r="N21" s="426" t="str">
        <f t="shared" si="14"/>
        <v/>
      </c>
      <c r="O21" s="426" t="str">
        <f t="shared" si="15"/>
        <v/>
      </c>
      <c r="P21" s="426" t="str">
        <f t="shared" si="16"/>
        <v/>
      </c>
      <c r="Q21" s="606" t="str">
        <f t="shared" si="17"/>
        <v/>
      </c>
      <c r="R21" s="427" t="str">
        <f t="shared" si="18"/>
        <v/>
      </c>
      <c r="S21" s="425" t="str">
        <f>IF($B21="","",IF('Prop DUOS'!E20="",0,'Prop DUOS'!E20))</f>
        <v/>
      </c>
      <c r="T21" s="426" t="str">
        <f>IF($B21="","",IF('Prop DUOS'!F20="",0,'Prop DUOS'!F20))</f>
        <v/>
      </c>
      <c r="U21" s="426" t="str">
        <f>IF($B21="","",IF('Prop DUOS'!G20="",0,'Prop DUOS'!G20))</f>
        <v/>
      </c>
      <c r="V21" s="426" t="str">
        <f>IF($B21="","",IF('Prop DUOS'!H20="",0,'Prop DUOS'!H20))</f>
        <v/>
      </c>
      <c r="W21" s="426" t="str">
        <f>IF($B21="","",IF('Prop DUOS'!I20="",0,'Prop DUOS'!I20))</f>
        <v/>
      </c>
      <c r="X21" s="426" t="str">
        <f>IF($B21="","",IF('Prop DUOS'!J20="",0,'Prop DUOS'!J20))</f>
        <v/>
      </c>
      <c r="Y21" s="426" t="str">
        <f>IF($B21="","",IF('Prop DUOS'!K20="",0,'Prop DUOS'!K20))</f>
        <v/>
      </c>
      <c r="Z21" s="426" t="str">
        <f>IF($B21="","",IF('Prop DUOS'!L20="",0,'Prop DUOS'!L20))</f>
        <v/>
      </c>
      <c r="AA21" s="426" t="str">
        <f>IF($B21="","",IF('Prop DUOS'!M20="",0,'Prop DUOS'!M20))</f>
        <v/>
      </c>
      <c r="AB21" s="426" t="str">
        <f>IF($B21="","",IF('Prop DUOS'!N20="",0,'Prop DUOS'!N20))</f>
        <v/>
      </c>
      <c r="AC21" s="426" t="str">
        <f>IF($B21="","",IF('Prop DUOS'!O20="",0,'Prop DUOS'!O20))</f>
        <v/>
      </c>
      <c r="AD21" s="426" t="str">
        <f>IF($B21="","",IF('Prop DUOS'!P20="",0,'Prop DUOS'!P20))</f>
        <v/>
      </c>
      <c r="AE21" s="426" t="str">
        <f>IF($B21="","",IF('Prop DUOS'!Q20="",0,'Prop DUOS'!Q20))</f>
        <v/>
      </c>
      <c r="AF21" s="606" t="str">
        <f>IF($B21="","",IF('Prop DUOS'!R20="",0,'Prop DUOS'!R20))</f>
        <v/>
      </c>
      <c r="AG21" s="427" t="str">
        <f>IF($B21="","",IF('Prop DUOS'!S20="",0,'Prop DUOS'!S20))</f>
        <v/>
      </c>
      <c r="AH21" s="425" t="str">
        <f>IF($B21="","",IF('Prop TUOS'!D20="",0,'Prop TUOS'!D20))</f>
        <v/>
      </c>
      <c r="AI21" s="426" t="str">
        <f>IF($B21="","",IF('Prop TUOS'!E20="",0,'Prop TUOS'!E20))</f>
        <v/>
      </c>
      <c r="AJ21" s="426" t="str">
        <f>IF($B21="","",IF('Prop TUOS'!F20="",0,'Prop TUOS'!F20))</f>
        <v/>
      </c>
      <c r="AK21" s="426" t="str">
        <f>IF($B21="","",IF('Prop TUOS'!G20="",0,'Prop TUOS'!G20))</f>
        <v/>
      </c>
      <c r="AL21" s="426" t="str">
        <f>IF($B21="","",IF('Prop TUOS'!H20="",0,'Prop TUOS'!H20))</f>
        <v/>
      </c>
      <c r="AM21" s="426" t="str">
        <f>IF($B21="","",IF('Prop TUOS'!I20="",0,'Prop TUOS'!I20))</f>
        <v/>
      </c>
      <c r="AN21" s="426" t="str">
        <f>IF($B21="","",IF('Prop TUOS'!J20="",0,'Prop TUOS'!J20))</f>
        <v/>
      </c>
      <c r="AO21" s="426" t="str">
        <f>IF($B21="","",IF('Prop TUOS'!K20="",0,'Prop TUOS'!K20))</f>
        <v/>
      </c>
      <c r="AP21" s="426" t="str">
        <f>IF($B21="","",IF('Prop TUOS'!L20="",0,'Prop TUOS'!L20))</f>
        <v/>
      </c>
      <c r="AQ21" s="426" t="str">
        <f>IF($B21="","",IF('Prop TUOS'!M20="",0,'Prop TUOS'!M20))</f>
        <v/>
      </c>
      <c r="AR21" s="426" t="str">
        <f>IF($B21="","",IF('Prop TUOS'!N20="",0,'Prop TUOS'!N20))</f>
        <v/>
      </c>
      <c r="AS21" s="426" t="str">
        <f>IF($B21="","",IF('Prop TUOS'!O20="",0,'Prop TUOS'!O20))</f>
        <v/>
      </c>
      <c r="AT21" s="426" t="str">
        <f>IF($B21="","",IF('Prop TUOS'!P20="",0,'Prop TUOS'!P20))</f>
        <v/>
      </c>
      <c r="AU21" s="606" t="str">
        <f>IF($B21="","",IF('Prop TUOS'!Q20="",0,'Prop TUOS'!Q20))</f>
        <v/>
      </c>
      <c r="AV21" s="427" t="str">
        <f>IF($B21="","",IF('Prop TUOS'!R20="",0,'Prop TUOS'!R20))</f>
        <v/>
      </c>
      <c r="AW21" s="425" t="str">
        <f>IF($B21="","",IF('Prop JUOS'!D20="",0,'Prop JUOS'!D20))</f>
        <v/>
      </c>
      <c r="AX21" s="426" t="str">
        <f>IF($B21="","",IF('Prop JUOS'!E20="",0,'Prop JUOS'!E20))</f>
        <v/>
      </c>
      <c r="AY21" s="426" t="str">
        <f>IF($B21="","",IF('Prop JUOS'!F20="",0,'Prop JUOS'!F20))</f>
        <v/>
      </c>
      <c r="AZ21" s="426" t="str">
        <f>IF($B21="","",IF('Prop JUOS'!G20="",0,'Prop JUOS'!G20))</f>
        <v/>
      </c>
      <c r="BA21" s="426" t="str">
        <f>IF($B21="","",IF('Prop JUOS'!H20="",0,'Prop JUOS'!H20))</f>
        <v/>
      </c>
      <c r="BB21" s="426" t="str">
        <f>IF($B21="","",IF('Prop JUOS'!I20="",0,'Prop JUOS'!I20))</f>
        <v/>
      </c>
      <c r="BC21" s="426" t="str">
        <f>IF($B21="","",IF('Prop JUOS'!J20="",0,'Prop JUOS'!J20))</f>
        <v/>
      </c>
      <c r="BD21" s="426" t="str">
        <f>IF($B21="","",IF('Prop JUOS'!K20="",0,'Prop JUOS'!K20))</f>
        <v/>
      </c>
      <c r="BE21" s="426" t="str">
        <f>IF($B21="","",IF('Prop JUOS'!L20="",0,'Prop JUOS'!L20))</f>
        <v/>
      </c>
      <c r="BF21" s="426" t="str">
        <f>IF($B21="","",IF('Prop JUOS'!M20="",0,'Prop JUOS'!M20))</f>
        <v/>
      </c>
      <c r="BG21" s="426" t="str">
        <f>IF($B21="","",IF('Prop JUOS'!N20="",0,'Prop JUOS'!N20))</f>
        <v/>
      </c>
      <c r="BH21" s="426" t="str">
        <f>IF($B21="","",IF('Prop JUOS'!O20="",0,'Prop JUOS'!O20))</f>
        <v/>
      </c>
      <c r="BI21" s="426" t="str">
        <f>IF($B21="","",IF('Prop JUOS'!P20="",0,'Prop JUOS'!P20))</f>
        <v/>
      </c>
      <c r="BJ21" s="606" t="str">
        <f>IF($B21="","",IF('Prop JUOS'!Q20="",0,'Prop JUOS'!Q20))</f>
        <v/>
      </c>
      <c r="BK21" s="427" t="str">
        <f>IF($B21="","",IF('Prop JUOS'!R20="",0,'Prop JUOS'!R20))</f>
        <v/>
      </c>
    </row>
    <row r="22" spans="2:63">
      <c r="B22" s="416" t="str">
        <f>IF('Prop DUOS'!B21="","",'Prop DUOS'!B21)</f>
        <v/>
      </c>
      <c r="C22" s="376" t="str">
        <f>IF(B22="","",INDEX('Side constraints'!$C$33:$C$92,MATCH('Prop DUOS'!B21,'Side constraints'!$D$33:$D$92,0),1))</f>
        <v/>
      </c>
      <c r="D22" s="425" t="str">
        <f t="shared" si="4"/>
        <v/>
      </c>
      <c r="E22" s="426" t="str">
        <f t="shared" si="5"/>
        <v/>
      </c>
      <c r="F22" s="426" t="str">
        <f t="shared" si="6"/>
        <v/>
      </c>
      <c r="G22" s="426" t="str">
        <f t="shared" si="7"/>
        <v/>
      </c>
      <c r="H22" s="426" t="str">
        <f t="shared" si="8"/>
        <v/>
      </c>
      <c r="I22" s="426" t="str">
        <f t="shared" si="9"/>
        <v/>
      </c>
      <c r="J22" s="426" t="str">
        <f t="shared" si="10"/>
        <v/>
      </c>
      <c r="K22" s="426" t="str">
        <f t="shared" si="11"/>
        <v/>
      </c>
      <c r="L22" s="426" t="str">
        <f t="shared" si="12"/>
        <v/>
      </c>
      <c r="M22" s="426" t="str">
        <f t="shared" si="13"/>
        <v/>
      </c>
      <c r="N22" s="426" t="str">
        <f t="shared" si="14"/>
        <v/>
      </c>
      <c r="O22" s="426" t="str">
        <f t="shared" si="15"/>
        <v/>
      </c>
      <c r="P22" s="426" t="str">
        <f t="shared" si="16"/>
        <v/>
      </c>
      <c r="Q22" s="606" t="str">
        <f t="shared" si="17"/>
        <v/>
      </c>
      <c r="R22" s="427" t="str">
        <f t="shared" si="18"/>
        <v/>
      </c>
      <c r="S22" s="425" t="str">
        <f>IF($B22="","",IF('Prop DUOS'!E21="",0,'Prop DUOS'!E21))</f>
        <v/>
      </c>
      <c r="T22" s="426" t="str">
        <f>IF($B22="","",IF('Prop DUOS'!F21="",0,'Prop DUOS'!F21))</f>
        <v/>
      </c>
      <c r="U22" s="426" t="str">
        <f>IF($B22="","",IF('Prop DUOS'!G21="",0,'Prop DUOS'!G21))</f>
        <v/>
      </c>
      <c r="V22" s="426" t="str">
        <f>IF($B22="","",IF('Prop DUOS'!H21="",0,'Prop DUOS'!H21))</f>
        <v/>
      </c>
      <c r="W22" s="426" t="str">
        <f>IF($B22="","",IF('Prop DUOS'!I21="",0,'Prop DUOS'!I21))</f>
        <v/>
      </c>
      <c r="X22" s="426" t="str">
        <f>IF($B22="","",IF('Prop DUOS'!J21="",0,'Prop DUOS'!J21))</f>
        <v/>
      </c>
      <c r="Y22" s="426" t="str">
        <f>IF($B22="","",IF('Prop DUOS'!K21="",0,'Prop DUOS'!K21))</f>
        <v/>
      </c>
      <c r="Z22" s="426" t="str">
        <f>IF($B22="","",IF('Prop DUOS'!L21="",0,'Prop DUOS'!L21))</f>
        <v/>
      </c>
      <c r="AA22" s="426" t="str">
        <f>IF($B22="","",IF('Prop DUOS'!M21="",0,'Prop DUOS'!M21))</f>
        <v/>
      </c>
      <c r="AB22" s="426" t="str">
        <f>IF($B22="","",IF('Prop DUOS'!N21="",0,'Prop DUOS'!N21))</f>
        <v/>
      </c>
      <c r="AC22" s="426" t="str">
        <f>IF($B22="","",IF('Prop DUOS'!O21="",0,'Prop DUOS'!O21))</f>
        <v/>
      </c>
      <c r="AD22" s="426" t="str">
        <f>IF($B22="","",IF('Prop DUOS'!P21="",0,'Prop DUOS'!P21))</f>
        <v/>
      </c>
      <c r="AE22" s="426" t="str">
        <f>IF($B22="","",IF('Prop DUOS'!Q21="",0,'Prop DUOS'!Q21))</f>
        <v/>
      </c>
      <c r="AF22" s="606" t="str">
        <f>IF($B22="","",IF('Prop DUOS'!R21="",0,'Prop DUOS'!R21))</f>
        <v/>
      </c>
      <c r="AG22" s="427" t="str">
        <f>IF($B22="","",IF('Prop DUOS'!S21="",0,'Prop DUOS'!S21))</f>
        <v/>
      </c>
      <c r="AH22" s="425" t="str">
        <f>IF($B22="","",IF('Prop TUOS'!D21="",0,'Prop TUOS'!D21))</f>
        <v/>
      </c>
      <c r="AI22" s="426" t="str">
        <f>IF($B22="","",IF('Prop TUOS'!E21="",0,'Prop TUOS'!E21))</f>
        <v/>
      </c>
      <c r="AJ22" s="426" t="str">
        <f>IF($B22="","",IF('Prop TUOS'!F21="",0,'Prop TUOS'!F21))</f>
        <v/>
      </c>
      <c r="AK22" s="426" t="str">
        <f>IF($B22="","",IF('Prop TUOS'!G21="",0,'Prop TUOS'!G21))</f>
        <v/>
      </c>
      <c r="AL22" s="426" t="str">
        <f>IF($B22="","",IF('Prop TUOS'!H21="",0,'Prop TUOS'!H21))</f>
        <v/>
      </c>
      <c r="AM22" s="426" t="str">
        <f>IF($B22="","",IF('Prop TUOS'!I21="",0,'Prop TUOS'!I21))</f>
        <v/>
      </c>
      <c r="AN22" s="426" t="str">
        <f>IF($B22="","",IF('Prop TUOS'!J21="",0,'Prop TUOS'!J21))</f>
        <v/>
      </c>
      <c r="AO22" s="426" t="str">
        <f>IF($B22="","",IF('Prop TUOS'!K21="",0,'Prop TUOS'!K21))</f>
        <v/>
      </c>
      <c r="AP22" s="426" t="str">
        <f>IF($B22="","",IF('Prop TUOS'!L21="",0,'Prop TUOS'!L21))</f>
        <v/>
      </c>
      <c r="AQ22" s="426" t="str">
        <f>IF($B22="","",IF('Prop TUOS'!M21="",0,'Prop TUOS'!M21))</f>
        <v/>
      </c>
      <c r="AR22" s="426" t="str">
        <f>IF($B22="","",IF('Prop TUOS'!N21="",0,'Prop TUOS'!N21))</f>
        <v/>
      </c>
      <c r="AS22" s="426" t="str">
        <f>IF($B22="","",IF('Prop TUOS'!O21="",0,'Prop TUOS'!O21))</f>
        <v/>
      </c>
      <c r="AT22" s="426" t="str">
        <f>IF($B22="","",IF('Prop TUOS'!P21="",0,'Prop TUOS'!P21))</f>
        <v/>
      </c>
      <c r="AU22" s="606" t="str">
        <f>IF($B22="","",IF('Prop TUOS'!Q21="",0,'Prop TUOS'!Q21))</f>
        <v/>
      </c>
      <c r="AV22" s="427" t="str">
        <f>IF($B22="","",IF('Prop TUOS'!R21="",0,'Prop TUOS'!R21))</f>
        <v/>
      </c>
      <c r="AW22" s="425" t="str">
        <f>IF($B22="","",IF('Prop JUOS'!D21="",0,'Prop JUOS'!D21))</f>
        <v/>
      </c>
      <c r="AX22" s="426" t="str">
        <f>IF($B22="","",IF('Prop JUOS'!E21="",0,'Prop JUOS'!E21))</f>
        <v/>
      </c>
      <c r="AY22" s="426" t="str">
        <f>IF($B22="","",IF('Prop JUOS'!F21="",0,'Prop JUOS'!F21))</f>
        <v/>
      </c>
      <c r="AZ22" s="426" t="str">
        <f>IF($B22="","",IF('Prop JUOS'!G21="",0,'Prop JUOS'!G21))</f>
        <v/>
      </c>
      <c r="BA22" s="426" t="str">
        <f>IF($B22="","",IF('Prop JUOS'!H21="",0,'Prop JUOS'!H21))</f>
        <v/>
      </c>
      <c r="BB22" s="426" t="str">
        <f>IF($B22="","",IF('Prop JUOS'!I21="",0,'Prop JUOS'!I21))</f>
        <v/>
      </c>
      <c r="BC22" s="426" t="str">
        <f>IF($B22="","",IF('Prop JUOS'!J21="",0,'Prop JUOS'!J21))</f>
        <v/>
      </c>
      <c r="BD22" s="426" t="str">
        <f>IF($B22="","",IF('Prop JUOS'!K21="",0,'Prop JUOS'!K21))</f>
        <v/>
      </c>
      <c r="BE22" s="426" t="str">
        <f>IF($B22="","",IF('Prop JUOS'!L21="",0,'Prop JUOS'!L21))</f>
        <v/>
      </c>
      <c r="BF22" s="426" t="str">
        <f>IF($B22="","",IF('Prop JUOS'!M21="",0,'Prop JUOS'!M21))</f>
        <v/>
      </c>
      <c r="BG22" s="426" t="str">
        <f>IF($B22="","",IF('Prop JUOS'!N21="",0,'Prop JUOS'!N21))</f>
        <v/>
      </c>
      <c r="BH22" s="426" t="str">
        <f>IF($B22="","",IF('Prop JUOS'!O21="",0,'Prop JUOS'!O21))</f>
        <v/>
      </c>
      <c r="BI22" s="426" t="str">
        <f>IF($B22="","",IF('Prop JUOS'!P21="",0,'Prop JUOS'!P21))</f>
        <v/>
      </c>
      <c r="BJ22" s="606" t="str">
        <f>IF($B22="","",IF('Prop JUOS'!Q21="",0,'Prop JUOS'!Q21))</f>
        <v/>
      </c>
      <c r="BK22" s="427" t="str">
        <f>IF($B22="","",IF('Prop JUOS'!R21="",0,'Prop JUOS'!R21))</f>
        <v/>
      </c>
    </row>
    <row r="23" spans="2:63">
      <c r="B23" s="416" t="str">
        <f>IF('Prop DUOS'!B22="","",'Prop DUOS'!B22)</f>
        <v/>
      </c>
      <c r="C23" s="376" t="str">
        <f>IF(B23="","",INDEX('Side constraints'!$C$33:$C$92,MATCH('Prop DUOS'!B22,'Side constraints'!$D$33:$D$92,0),1))</f>
        <v/>
      </c>
      <c r="D23" s="425" t="str">
        <f t="shared" si="4"/>
        <v/>
      </c>
      <c r="E23" s="426" t="str">
        <f t="shared" si="5"/>
        <v/>
      </c>
      <c r="F23" s="426" t="str">
        <f t="shared" si="6"/>
        <v/>
      </c>
      <c r="G23" s="426" t="str">
        <f t="shared" si="7"/>
        <v/>
      </c>
      <c r="H23" s="426" t="str">
        <f t="shared" si="8"/>
        <v/>
      </c>
      <c r="I23" s="426" t="str">
        <f t="shared" si="9"/>
        <v/>
      </c>
      <c r="J23" s="426" t="str">
        <f t="shared" si="10"/>
        <v/>
      </c>
      <c r="K23" s="426" t="str">
        <f t="shared" si="11"/>
        <v/>
      </c>
      <c r="L23" s="426" t="str">
        <f t="shared" si="12"/>
        <v/>
      </c>
      <c r="M23" s="426" t="str">
        <f t="shared" si="13"/>
        <v/>
      </c>
      <c r="N23" s="426" t="str">
        <f t="shared" si="14"/>
        <v/>
      </c>
      <c r="O23" s="426" t="str">
        <f t="shared" si="15"/>
        <v/>
      </c>
      <c r="P23" s="426" t="str">
        <f t="shared" si="16"/>
        <v/>
      </c>
      <c r="Q23" s="606" t="str">
        <f t="shared" si="17"/>
        <v/>
      </c>
      <c r="R23" s="427" t="str">
        <f t="shared" si="18"/>
        <v/>
      </c>
      <c r="S23" s="425" t="str">
        <f>IF($B23="","",IF('Prop DUOS'!E22="",0,'Prop DUOS'!E22))</f>
        <v/>
      </c>
      <c r="T23" s="426" t="str">
        <f>IF($B23="","",IF('Prop DUOS'!F22="",0,'Prop DUOS'!F22))</f>
        <v/>
      </c>
      <c r="U23" s="426" t="str">
        <f>IF($B23="","",IF('Prop DUOS'!G22="",0,'Prop DUOS'!G22))</f>
        <v/>
      </c>
      <c r="V23" s="426" t="str">
        <f>IF($B23="","",IF('Prop DUOS'!H22="",0,'Prop DUOS'!H22))</f>
        <v/>
      </c>
      <c r="W23" s="426" t="str">
        <f>IF($B23="","",IF('Prop DUOS'!I22="",0,'Prop DUOS'!I22))</f>
        <v/>
      </c>
      <c r="X23" s="426" t="str">
        <f>IF($B23="","",IF('Prop DUOS'!J22="",0,'Prop DUOS'!J22))</f>
        <v/>
      </c>
      <c r="Y23" s="426" t="str">
        <f>IF($B23="","",IF('Prop DUOS'!K22="",0,'Prop DUOS'!K22))</f>
        <v/>
      </c>
      <c r="Z23" s="426" t="str">
        <f>IF($B23="","",IF('Prop DUOS'!L22="",0,'Prop DUOS'!L22))</f>
        <v/>
      </c>
      <c r="AA23" s="426" t="str">
        <f>IF($B23="","",IF('Prop DUOS'!M22="",0,'Prop DUOS'!M22))</f>
        <v/>
      </c>
      <c r="AB23" s="426" t="str">
        <f>IF($B23="","",IF('Prop DUOS'!N22="",0,'Prop DUOS'!N22))</f>
        <v/>
      </c>
      <c r="AC23" s="426" t="str">
        <f>IF($B23="","",IF('Prop DUOS'!O22="",0,'Prop DUOS'!O22))</f>
        <v/>
      </c>
      <c r="AD23" s="426" t="str">
        <f>IF($B23="","",IF('Prop DUOS'!P22="",0,'Prop DUOS'!P22))</f>
        <v/>
      </c>
      <c r="AE23" s="426" t="str">
        <f>IF($B23="","",IF('Prop DUOS'!Q22="",0,'Prop DUOS'!Q22))</f>
        <v/>
      </c>
      <c r="AF23" s="606" t="str">
        <f>IF($B23="","",IF('Prop DUOS'!R22="",0,'Prop DUOS'!R22))</f>
        <v/>
      </c>
      <c r="AG23" s="427" t="str">
        <f>IF($B23="","",IF('Prop DUOS'!S22="",0,'Prop DUOS'!S22))</f>
        <v/>
      </c>
      <c r="AH23" s="425" t="str">
        <f>IF($B23="","",IF('Prop TUOS'!D22="",0,'Prop TUOS'!D22))</f>
        <v/>
      </c>
      <c r="AI23" s="426" t="str">
        <f>IF($B23="","",IF('Prop TUOS'!E22="",0,'Prop TUOS'!E22))</f>
        <v/>
      </c>
      <c r="AJ23" s="426" t="str">
        <f>IF($B23="","",IF('Prop TUOS'!F22="",0,'Prop TUOS'!F22))</f>
        <v/>
      </c>
      <c r="AK23" s="426" t="str">
        <f>IF($B23="","",IF('Prop TUOS'!G22="",0,'Prop TUOS'!G22))</f>
        <v/>
      </c>
      <c r="AL23" s="426" t="str">
        <f>IF($B23="","",IF('Prop TUOS'!H22="",0,'Prop TUOS'!H22))</f>
        <v/>
      </c>
      <c r="AM23" s="426" t="str">
        <f>IF($B23="","",IF('Prop TUOS'!I22="",0,'Prop TUOS'!I22))</f>
        <v/>
      </c>
      <c r="AN23" s="426" t="str">
        <f>IF($B23="","",IF('Prop TUOS'!J22="",0,'Prop TUOS'!J22))</f>
        <v/>
      </c>
      <c r="AO23" s="426" t="str">
        <f>IF($B23="","",IF('Prop TUOS'!K22="",0,'Prop TUOS'!K22))</f>
        <v/>
      </c>
      <c r="AP23" s="426" t="str">
        <f>IF($B23="","",IF('Prop TUOS'!L22="",0,'Prop TUOS'!L22))</f>
        <v/>
      </c>
      <c r="AQ23" s="426" t="str">
        <f>IF($B23="","",IF('Prop TUOS'!M22="",0,'Prop TUOS'!M22))</f>
        <v/>
      </c>
      <c r="AR23" s="426" t="str">
        <f>IF($B23="","",IF('Prop TUOS'!N22="",0,'Prop TUOS'!N22))</f>
        <v/>
      </c>
      <c r="AS23" s="426" t="str">
        <f>IF($B23="","",IF('Prop TUOS'!O22="",0,'Prop TUOS'!O22))</f>
        <v/>
      </c>
      <c r="AT23" s="426" t="str">
        <f>IF($B23="","",IF('Prop TUOS'!P22="",0,'Prop TUOS'!P22))</f>
        <v/>
      </c>
      <c r="AU23" s="606" t="str">
        <f>IF($B23="","",IF('Prop TUOS'!Q22="",0,'Prop TUOS'!Q22))</f>
        <v/>
      </c>
      <c r="AV23" s="427" t="str">
        <f>IF($B23="","",IF('Prop TUOS'!R22="",0,'Prop TUOS'!R22))</f>
        <v/>
      </c>
      <c r="AW23" s="425" t="str">
        <f>IF($B23="","",IF('Prop JUOS'!D22="",0,'Prop JUOS'!D22))</f>
        <v/>
      </c>
      <c r="AX23" s="426" t="str">
        <f>IF($B23="","",IF('Prop JUOS'!E22="",0,'Prop JUOS'!E22))</f>
        <v/>
      </c>
      <c r="AY23" s="426" t="str">
        <f>IF($B23="","",IF('Prop JUOS'!F22="",0,'Prop JUOS'!F22))</f>
        <v/>
      </c>
      <c r="AZ23" s="426" t="str">
        <f>IF($B23="","",IF('Prop JUOS'!G22="",0,'Prop JUOS'!G22))</f>
        <v/>
      </c>
      <c r="BA23" s="426" t="str">
        <f>IF($B23="","",IF('Prop JUOS'!H22="",0,'Prop JUOS'!H22))</f>
        <v/>
      </c>
      <c r="BB23" s="426" t="str">
        <f>IF($B23="","",IF('Prop JUOS'!I22="",0,'Prop JUOS'!I22))</f>
        <v/>
      </c>
      <c r="BC23" s="426" t="str">
        <f>IF($B23="","",IF('Prop JUOS'!J22="",0,'Prop JUOS'!J22))</f>
        <v/>
      </c>
      <c r="BD23" s="426" t="str">
        <f>IF($B23="","",IF('Prop JUOS'!K22="",0,'Prop JUOS'!K22))</f>
        <v/>
      </c>
      <c r="BE23" s="426" t="str">
        <f>IF($B23="","",IF('Prop JUOS'!L22="",0,'Prop JUOS'!L22))</f>
        <v/>
      </c>
      <c r="BF23" s="426" t="str">
        <f>IF($B23="","",IF('Prop JUOS'!M22="",0,'Prop JUOS'!M22))</f>
        <v/>
      </c>
      <c r="BG23" s="426" t="str">
        <f>IF($B23="","",IF('Prop JUOS'!N22="",0,'Prop JUOS'!N22))</f>
        <v/>
      </c>
      <c r="BH23" s="426" t="str">
        <f>IF($B23="","",IF('Prop JUOS'!O22="",0,'Prop JUOS'!O22))</f>
        <v/>
      </c>
      <c r="BI23" s="426" t="str">
        <f>IF($B23="","",IF('Prop JUOS'!P22="",0,'Prop JUOS'!P22))</f>
        <v/>
      </c>
      <c r="BJ23" s="606" t="str">
        <f>IF($B23="","",IF('Prop JUOS'!Q22="",0,'Prop JUOS'!Q22))</f>
        <v/>
      </c>
      <c r="BK23" s="427" t="str">
        <f>IF($B23="","",IF('Prop JUOS'!R22="",0,'Prop JUOS'!R22))</f>
        <v/>
      </c>
    </row>
    <row r="24" spans="2:63">
      <c r="B24" s="417" t="str">
        <f>IF('Prop DUOS'!B23="","",'Prop DUOS'!B23)</f>
        <v/>
      </c>
      <c r="C24" s="376" t="str">
        <f>IF(B24="","",INDEX('Side constraints'!$C$33:$C$92,MATCH('Prop DUOS'!B23,'Side constraints'!$D$33:$D$92,0),1))</f>
        <v/>
      </c>
      <c r="D24" s="425" t="str">
        <f t="shared" si="4"/>
        <v/>
      </c>
      <c r="E24" s="426" t="str">
        <f t="shared" si="5"/>
        <v/>
      </c>
      <c r="F24" s="426" t="str">
        <f t="shared" si="6"/>
        <v/>
      </c>
      <c r="G24" s="426" t="str">
        <f t="shared" si="7"/>
        <v/>
      </c>
      <c r="H24" s="426" t="str">
        <f t="shared" si="8"/>
        <v/>
      </c>
      <c r="I24" s="426" t="str">
        <f t="shared" si="9"/>
        <v/>
      </c>
      <c r="J24" s="426" t="str">
        <f t="shared" si="10"/>
        <v/>
      </c>
      <c r="K24" s="426" t="str">
        <f t="shared" si="11"/>
        <v/>
      </c>
      <c r="L24" s="426" t="str">
        <f t="shared" si="12"/>
        <v/>
      </c>
      <c r="M24" s="426" t="str">
        <f t="shared" si="13"/>
        <v/>
      </c>
      <c r="N24" s="426" t="str">
        <f t="shared" si="14"/>
        <v/>
      </c>
      <c r="O24" s="426" t="str">
        <f t="shared" si="15"/>
        <v/>
      </c>
      <c r="P24" s="426" t="str">
        <f t="shared" si="16"/>
        <v/>
      </c>
      <c r="Q24" s="606" t="str">
        <f t="shared" si="17"/>
        <v/>
      </c>
      <c r="R24" s="427" t="str">
        <f t="shared" si="18"/>
        <v/>
      </c>
      <c r="S24" s="425" t="str">
        <f>IF($B24="","",IF('Prop DUOS'!E23="",0,'Prop DUOS'!E23))</f>
        <v/>
      </c>
      <c r="T24" s="426" t="str">
        <f>IF($B24="","",IF('Prop DUOS'!F23="",0,'Prop DUOS'!F23))</f>
        <v/>
      </c>
      <c r="U24" s="426" t="str">
        <f>IF($B24="","",IF('Prop DUOS'!G23="",0,'Prop DUOS'!G23))</f>
        <v/>
      </c>
      <c r="V24" s="426" t="str">
        <f>IF($B24="","",IF('Prop DUOS'!H23="",0,'Prop DUOS'!H23))</f>
        <v/>
      </c>
      <c r="W24" s="426" t="str">
        <f>IF($B24="","",IF('Prop DUOS'!I23="",0,'Prop DUOS'!I23))</f>
        <v/>
      </c>
      <c r="X24" s="426" t="str">
        <f>IF($B24="","",IF('Prop DUOS'!J23="",0,'Prop DUOS'!J23))</f>
        <v/>
      </c>
      <c r="Y24" s="426" t="str">
        <f>IF($B24="","",IF('Prop DUOS'!K23="",0,'Prop DUOS'!K23))</f>
        <v/>
      </c>
      <c r="Z24" s="426" t="str">
        <f>IF($B24="","",IF('Prop DUOS'!L23="",0,'Prop DUOS'!L23))</f>
        <v/>
      </c>
      <c r="AA24" s="426" t="str">
        <f>IF($B24="","",IF('Prop DUOS'!M23="",0,'Prop DUOS'!M23))</f>
        <v/>
      </c>
      <c r="AB24" s="426" t="str">
        <f>IF($B24="","",IF('Prop DUOS'!N23="",0,'Prop DUOS'!N23))</f>
        <v/>
      </c>
      <c r="AC24" s="426" t="str">
        <f>IF($B24="","",IF('Prop DUOS'!O23="",0,'Prop DUOS'!O23))</f>
        <v/>
      </c>
      <c r="AD24" s="426" t="str">
        <f>IF($B24="","",IF('Prop DUOS'!P23="",0,'Prop DUOS'!P23))</f>
        <v/>
      </c>
      <c r="AE24" s="426" t="str">
        <f>IF($B24="","",IF('Prop DUOS'!Q23="",0,'Prop DUOS'!Q23))</f>
        <v/>
      </c>
      <c r="AF24" s="606" t="str">
        <f>IF($B24="","",IF('Prop DUOS'!R23="",0,'Prop DUOS'!R23))</f>
        <v/>
      </c>
      <c r="AG24" s="427" t="str">
        <f>IF($B24="","",IF('Prop DUOS'!S23="",0,'Prop DUOS'!S23))</f>
        <v/>
      </c>
      <c r="AH24" s="425" t="str">
        <f>IF($B24="","",IF('Prop TUOS'!D23="",0,'Prop TUOS'!D23))</f>
        <v/>
      </c>
      <c r="AI24" s="426" t="str">
        <f>IF($B24="","",IF('Prop TUOS'!E23="",0,'Prop TUOS'!E23))</f>
        <v/>
      </c>
      <c r="AJ24" s="426" t="str">
        <f>IF($B24="","",IF('Prop TUOS'!F23="",0,'Prop TUOS'!F23))</f>
        <v/>
      </c>
      <c r="AK24" s="426" t="str">
        <f>IF($B24="","",IF('Prop TUOS'!G23="",0,'Prop TUOS'!G23))</f>
        <v/>
      </c>
      <c r="AL24" s="426" t="str">
        <f>IF($B24="","",IF('Prop TUOS'!H23="",0,'Prop TUOS'!H23))</f>
        <v/>
      </c>
      <c r="AM24" s="426" t="str">
        <f>IF($B24="","",IF('Prop TUOS'!I23="",0,'Prop TUOS'!I23))</f>
        <v/>
      </c>
      <c r="AN24" s="426" t="str">
        <f>IF($B24="","",IF('Prop TUOS'!J23="",0,'Prop TUOS'!J23))</f>
        <v/>
      </c>
      <c r="AO24" s="426" t="str">
        <f>IF($B24="","",IF('Prop TUOS'!K23="",0,'Prop TUOS'!K23))</f>
        <v/>
      </c>
      <c r="AP24" s="426" t="str">
        <f>IF($B24="","",IF('Prop TUOS'!L23="",0,'Prop TUOS'!L23))</f>
        <v/>
      </c>
      <c r="AQ24" s="426" t="str">
        <f>IF($B24="","",IF('Prop TUOS'!M23="",0,'Prop TUOS'!M23))</f>
        <v/>
      </c>
      <c r="AR24" s="426" t="str">
        <f>IF($B24="","",IF('Prop TUOS'!N23="",0,'Prop TUOS'!N23))</f>
        <v/>
      </c>
      <c r="AS24" s="426" t="str">
        <f>IF($B24="","",IF('Prop TUOS'!O23="",0,'Prop TUOS'!O23))</f>
        <v/>
      </c>
      <c r="AT24" s="426" t="str">
        <f>IF($B24="","",IF('Prop TUOS'!P23="",0,'Prop TUOS'!P23))</f>
        <v/>
      </c>
      <c r="AU24" s="606" t="str">
        <f>IF($B24="","",IF('Prop TUOS'!Q23="",0,'Prop TUOS'!Q23))</f>
        <v/>
      </c>
      <c r="AV24" s="427" t="str">
        <f>IF($B24="","",IF('Prop TUOS'!R23="",0,'Prop TUOS'!R23))</f>
        <v/>
      </c>
      <c r="AW24" s="425" t="str">
        <f>IF($B24="","",IF('Prop JUOS'!D23="",0,'Prop JUOS'!D23))</f>
        <v/>
      </c>
      <c r="AX24" s="426" t="str">
        <f>IF($B24="","",IF('Prop JUOS'!E23="",0,'Prop JUOS'!E23))</f>
        <v/>
      </c>
      <c r="AY24" s="426" t="str">
        <f>IF($B24="","",IF('Prop JUOS'!F23="",0,'Prop JUOS'!F23))</f>
        <v/>
      </c>
      <c r="AZ24" s="426" t="str">
        <f>IF($B24="","",IF('Prop JUOS'!G23="",0,'Prop JUOS'!G23))</f>
        <v/>
      </c>
      <c r="BA24" s="426" t="str">
        <f>IF($B24="","",IF('Prop JUOS'!H23="",0,'Prop JUOS'!H23))</f>
        <v/>
      </c>
      <c r="BB24" s="426" t="str">
        <f>IF($B24="","",IF('Prop JUOS'!I23="",0,'Prop JUOS'!I23))</f>
        <v/>
      </c>
      <c r="BC24" s="426" t="str">
        <f>IF($B24="","",IF('Prop JUOS'!J23="",0,'Prop JUOS'!J23))</f>
        <v/>
      </c>
      <c r="BD24" s="426" t="str">
        <f>IF($B24="","",IF('Prop JUOS'!K23="",0,'Prop JUOS'!K23))</f>
        <v/>
      </c>
      <c r="BE24" s="426" t="str">
        <f>IF($B24="","",IF('Prop JUOS'!L23="",0,'Prop JUOS'!L23))</f>
        <v/>
      </c>
      <c r="BF24" s="426" t="str">
        <f>IF($B24="","",IF('Prop JUOS'!M23="",0,'Prop JUOS'!M23))</f>
        <v/>
      </c>
      <c r="BG24" s="426" t="str">
        <f>IF($B24="","",IF('Prop JUOS'!N23="",0,'Prop JUOS'!N23))</f>
        <v/>
      </c>
      <c r="BH24" s="426" t="str">
        <f>IF($B24="","",IF('Prop JUOS'!O23="",0,'Prop JUOS'!O23))</f>
        <v/>
      </c>
      <c r="BI24" s="426" t="str">
        <f>IF($B24="","",IF('Prop JUOS'!P23="",0,'Prop JUOS'!P23))</f>
        <v/>
      </c>
      <c r="BJ24" s="606" t="str">
        <f>IF($B24="","",IF('Prop JUOS'!Q23="",0,'Prop JUOS'!Q23))</f>
        <v/>
      </c>
      <c r="BK24" s="427" t="str">
        <f>IF($B24="","",IF('Prop JUOS'!R23="",0,'Prop JUOS'!R23))</f>
        <v/>
      </c>
    </row>
    <row r="25" spans="2:63">
      <c r="B25" s="416" t="str">
        <f>IF('Prop DUOS'!B24="","",'Prop DUOS'!B24)</f>
        <v/>
      </c>
      <c r="C25" s="376" t="str">
        <f>IF(B25="","",INDEX('Side constraints'!$C$33:$C$92,MATCH('Prop DUOS'!B24,'Side constraints'!$D$33:$D$92,0),1))</f>
        <v/>
      </c>
      <c r="D25" s="425" t="str">
        <f t="shared" si="4"/>
        <v/>
      </c>
      <c r="E25" s="426" t="str">
        <f t="shared" si="5"/>
        <v/>
      </c>
      <c r="F25" s="426" t="str">
        <f t="shared" si="6"/>
        <v/>
      </c>
      <c r="G25" s="426" t="str">
        <f t="shared" si="7"/>
        <v/>
      </c>
      <c r="H25" s="426" t="str">
        <f t="shared" si="8"/>
        <v/>
      </c>
      <c r="I25" s="426" t="str">
        <f t="shared" si="9"/>
        <v/>
      </c>
      <c r="J25" s="426" t="str">
        <f t="shared" si="10"/>
        <v/>
      </c>
      <c r="K25" s="426" t="str">
        <f t="shared" si="11"/>
        <v/>
      </c>
      <c r="L25" s="426" t="str">
        <f t="shared" si="12"/>
        <v/>
      </c>
      <c r="M25" s="426" t="str">
        <f t="shared" si="13"/>
        <v/>
      </c>
      <c r="N25" s="426" t="str">
        <f t="shared" si="14"/>
        <v/>
      </c>
      <c r="O25" s="426" t="str">
        <f t="shared" si="15"/>
        <v/>
      </c>
      <c r="P25" s="426" t="str">
        <f t="shared" si="16"/>
        <v/>
      </c>
      <c r="Q25" s="606" t="str">
        <f t="shared" si="17"/>
        <v/>
      </c>
      <c r="R25" s="427" t="str">
        <f t="shared" si="18"/>
        <v/>
      </c>
      <c r="S25" s="425" t="str">
        <f>IF($B25="","",IF('Prop DUOS'!E24="",0,'Prop DUOS'!E24))</f>
        <v/>
      </c>
      <c r="T25" s="426" t="str">
        <f>IF($B25="","",IF('Prop DUOS'!F24="",0,'Prop DUOS'!F24))</f>
        <v/>
      </c>
      <c r="U25" s="426" t="str">
        <f>IF($B25="","",IF('Prop DUOS'!G24="",0,'Prop DUOS'!G24))</f>
        <v/>
      </c>
      <c r="V25" s="426" t="str">
        <f>IF($B25="","",IF('Prop DUOS'!H24="",0,'Prop DUOS'!H24))</f>
        <v/>
      </c>
      <c r="W25" s="426" t="str">
        <f>IF($B25="","",IF('Prop DUOS'!I24="",0,'Prop DUOS'!I24))</f>
        <v/>
      </c>
      <c r="X25" s="426" t="str">
        <f>IF($B25="","",IF('Prop DUOS'!J24="",0,'Prop DUOS'!J24))</f>
        <v/>
      </c>
      <c r="Y25" s="426" t="str">
        <f>IF($B25="","",IF('Prop DUOS'!K24="",0,'Prop DUOS'!K24))</f>
        <v/>
      </c>
      <c r="Z25" s="426" t="str">
        <f>IF($B25="","",IF('Prop DUOS'!L24="",0,'Prop DUOS'!L24))</f>
        <v/>
      </c>
      <c r="AA25" s="426" t="str">
        <f>IF($B25="","",IF('Prop DUOS'!M24="",0,'Prop DUOS'!M24))</f>
        <v/>
      </c>
      <c r="AB25" s="426" t="str">
        <f>IF($B25="","",IF('Prop DUOS'!N24="",0,'Prop DUOS'!N24))</f>
        <v/>
      </c>
      <c r="AC25" s="426" t="str">
        <f>IF($B25="","",IF('Prop DUOS'!O24="",0,'Prop DUOS'!O24))</f>
        <v/>
      </c>
      <c r="AD25" s="426" t="str">
        <f>IF($B25="","",IF('Prop DUOS'!P24="",0,'Prop DUOS'!P24))</f>
        <v/>
      </c>
      <c r="AE25" s="426" t="str">
        <f>IF($B25="","",IF('Prop DUOS'!Q24="",0,'Prop DUOS'!Q24))</f>
        <v/>
      </c>
      <c r="AF25" s="606" t="str">
        <f>IF($B25="","",IF('Prop DUOS'!R24="",0,'Prop DUOS'!R24))</f>
        <v/>
      </c>
      <c r="AG25" s="427" t="str">
        <f>IF($B25="","",IF('Prop DUOS'!S24="",0,'Prop DUOS'!S24))</f>
        <v/>
      </c>
      <c r="AH25" s="425" t="str">
        <f>IF($B25="","",IF('Prop TUOS'!D24="",0,'Prop TUOS'!D24))</f>
        <v/>
      </c>
      <c r="AI25" s="426" t="str">
        <f>IF($B25="","",IF('Prop TUOS'!E24="",0,'Prop TUOS'!E24))</f>
        <v/>
      </c>
      <c r="AJ25" s="426" t="str">
        <f>IF($B25="","",IF('Prop TUOS'!F24="",0,'Prop TUOS'!F24))</f>
        <v/>
      </c>
      <c r="AK25" s="426" t="str">
        <f>IF($B25="","",IF('Prop TUOS'!G24="",0,'Prop TUOS'!G24))</f>
        <v/>
      </c>
      <c r="AL25" s="426" t="str">
        <f>IF($B25="","",IF('Prop TUOS'!H24="",0,'Prop TUOS'!H24))</f>
        <v/>
      </c>
      <c r="AM25" s="426" t="str">
        <f>IF($B25="","",IF('Prop TUOS'!I24="",0,'Prop TUOS'!I24))</f>
        <v/>
      </c>
      <c r="AN25" s="426" t="str">
        <f>IF($B25="","",IF('Prop TUOS'!J24="",0,'Prop TUOS'!J24))</f>
        <v/>
      </c>
      <c r="AO25" s="426" t="str">
        <f>IF($B25="","",IF('Prop TUOS'!K24="",0,'Prop TUOS'!K24))</f>
        <v/>
      </c>
      <c r="AP25" s="426" t="str">
        <f>IF($B25="","",IF('Prop TUOS'!L24="",0,'Prop TUOS'!L24))</f>
        <v/>
      </c>
      <c r="AQ25" s="426" t="str">
        <f>IF($B25="","",IF('Prop TUOS'!M24="",0,'Prop TUOS'!M24))</f>
        <v/>
      </c>
      <c r="AR25" s="426" t="str">
        <f>IF($B25="","",IF('Prop TUOS'!N24="",0,'Prop TUOS'!N24))</f>
        <v/>
      </c>
      <c r="AS25" s="426" t="str">
        <f>IF($B25="","",IF('Prop TUOS'!O24="",0,'Prop TUOS'!O24))</f>
        <v/>
      </c>
      <c r="AT25" s="426" t="str">
        <f>IF($B25="","",IF('Prop TUOS'!P24="",0,'Prop TUOS'!P24))</f>
        <v/>
      </c>
      <c r="AU25" s="606" t="str">
        <f>IF($B25="","",IF('Prop TUOS'!Q24="",0,'Prop TUOS'!Q24))</f>
        <v/>
      </c>
      <c r="AV25" s="427" t="str">
        <f>IF($B25="","",IF('Prop TUOS'!R24="",0,'Prop TUOS'!R24))</f>
        <v/>
      </c>
      <c r="AW25" s="425" t="str">
        <f>IF($B25="","",IF('Prop JUOS'!D24="",0,'Prop JUOS'!D24))</f>
        <v/>
      </c>
      <c r="AX25" s="426" t="str">
        <f>IF($B25="","",IF('Prop JUOS'!E24="",0,'Prop JUOS'!E24))</f>
        <v/>
      </c>
      <c r="AY25" s="426" t="str">
        <f>IF($B25="","",IF('Prop JUOS'!F24="",0,'Prop JUOS'!F24))</f>
        <v/>
      </c>
      <c r="AZ25" s="426" t="str">
        <f>IF($B25="","",IF('Prop JUOS'!G24="",0,'Prop JUOS'!G24))</f>
        <v/>
      </c>
      <c r="BA25" s="426" t="str">
        <f>IF($B25="","",IF('Prop JUOS'!H24="",0,'Prop JUOS'!H24))</f>
        <v/>
      </c>
      <c r="BB25" s="426" t="str">
        <f>IF($B25="","",IF('Prop JUOS'!I24="",0,'Prop JUOS'!I24))</f>
        <v/>
      </c>
      <c r="BC25" s="426" t="str">
        <f>IF($B25="","",IF('Prop JUOS'!J24="",0,'Prop JUOS'!J24))</f>
        <v/>
      </c>
      <c r="BD25" s="426" t="str">
        <f>IF($B25="","",IF('Prop JUOS'!K24="",0,'Prop JUOS'!K24))</f>
        <v/>
      </c>
      <c r="BE25" s="426" t="str">
        <f>IF($B25="","",IF('Prop JUOS'!L24="",0,'Prop JUOS'!L24))</f>
        <v/>
      </c>
      <c r="BF25" s="426" t="str">
        <f>IF($B25="","",IF('Prop JUOS'!M24="",0,'Prop JUOS'!M24))</f>
        <v/>
      </c>
      <c r="BG25" s="426" t="str">
        <f>IF($B25="","",IF('Prop JUOS'!N24="",0,'Prop JUOS'!N24))</f>
        <v/>
      </c>
      <c r="BH25" s="426" t="str">
        <f>IF($B25="","",IF('Prop JUOS'!O24="",0,'Prop JUOS'!O24))</f>
        <v/>
      </c>
      <c r="BI25" s="426" t="str">
        <f>IF($B25="","",IF('Prop JUOS'!P24="",0,'Prop JUOS'!P24))</f>
        <v/>
      </c>
      <c r="BJ25" s="606" t="str">
        <f>IF($B25="","",IF('Prop JUOS'!Q24="",0,'Prop JUOS'!Q24))</f>
        <v/>
      </c>
      <c r="BK25" s="427" t="str">
        <f>IF($B25="","",IF('Prop JUOS'!R24="",0,'Prop JUOS'!R24))</f>
        <v/>
      </c>
    </row>
    <row r="26" spans="2:63">
      <c r="B26" s="416" t="str">
        <f>IF('Prop DUOS'!B25="","",'Prop DUOS'!B25)</f>
        <v/>
      </c>
      <c r="C26" s="376" t="str">
        <f>IF(B26="","",INDEX('Side constraints'!$C$33:$C$92,MATCH('Prop DUOS'!B25,'Side constraints'!$D$33:$D$92,0),1))</f>
        <v/>
      </c>
      <c r="D26" s="425" t="str">
        <f t="shared" si="4"/>
        <v/>
      </c>
      <c r="E26" s="426" t="str">
        <f t="shared" si="5"/>
        <v/>
      </c>
      <c r="F26" s="426" t="str">
        <f t="shared" si="6"/>
        <v/>
      </c>
      <c r="G26" s="426" t="str">
        <f t="shared" si="7"/>
        <v/>
      </c>
      <c r="H26" s="426" t="str">
        <f t="shared" si="8"/>
        <v/>
      </c>
      <c r="I26" s="426" t="str">
        <f t="shared" si="9"/>
        <v/>
      </c>
      <c r="J26" s="426" t="str">
        <f t="shared" si="10"/>
        <v/>
      </c>
      <c r="K26" s="426" t="str">
        <f t="shared" si="11"/>
        <v/>
      </c>
      <c r="L26" s="426" t="str">
        <f t="shared" si="12"/>
        <v/>
      </c>
      <c r="M26" s="426" t="str">
        <f t="shared" si="13"/>
        <v/>
      </c>
      <c r="N26" s="426" t="str">
        <f t="shared" si="14"/>
        <v/>
      </c>
      <c r="O26" s="426" t="str">
        <f t="shared" si="15"/>
        <v/>
      </c>
      <c r="P26" s="426" t="str">
        <f t="shared" si="16"/>
        <v/>
      </c>
      <c r="Q26" s="606" t="str">
        <f t="shared" si="17"/>
        <v/>
      </c>
      <c r="R26" s="427" t="str">
        <f t="shared" si="18"/>
        <v/>
      </c>
      <c r="S26" s="425" t="str">
        <f>IF($B26="","",IF('Prop DUOS'!E25="",0,'Prop DUOS'!E25))</f>
        <v/>
      </c>
      <c r="T26" s="426" t="str">
        <f>IF($B26="","",IF('Prop DUOS'!F25="",0,'Prop DUOS'!F25))</f>
        <v/>
      </c>
      <c r="U26" s="426" t="str">
        <f>IF($B26="","",IF('Prop DUOS'!G25="",0,'Prop DUOS'!G25))</f>
        <v/>
      </c>
      <c r="V26" s="426" t="str">
        <f>IF($B26="","",IF('Prop DUOS'!H25="",0,'Prop DUOS'!H25))</f>
        <v/>
      </c>
      <c r="W26" s="426" t="str">
        <f>IF($B26="","",IF('Prop DUOS'!I25="",0,'Prop DUOS'!I25))</f>
        <v/>
      </c>
      <c r="X26" s="426" t="str">
        <f>IF($B26="","",IF('Prop DUOS'!J25="",0,'Prop DUOS'!J25))</f>
        <v/>
      </c>
      <c r="Y26" s="426" t="str">
        <f>IF($B26="","",IF('Prop DUOS'!K25="",0,'Prop DUOS'!K25))</f>
        <v/>
      </c>
      <c r="Z26" s="426" t="str">
        <f>IF($B26="","",IF('Prop DUOS'!L25="",0,'Prop DUOS'!L25))</f>
        <v/>
      </c>
      <c r="AA26" s="426" t="str">
        <f>IF($B26="","",IF('Prop DUOS'!M25="",0,'Prop DUOS'!M25))</f>
        <v/>
      </c>
      <c r="AB26" s="426" t="str">
        <f>IF($B26="","",IF('Prop DUOS'!N25="",0,'Prop DUOS'!N25))</f>
        <v/>
      </c>
      <c r="AC26" s="426" t="str">
        <f>IF($B26="","",IF('Prop DUOS'!O25="",0,'Prop DUOS'!O25))</f>
        <v/>
      </c>
      <c r="AD26" s="426" t="str">
        <f>IF($B26="","",IF('Prop DUOS'!P25="",0,'Prop DUOS'!P25))</f>
        <v/>
      </c>
      <c r="AE26" s="426" t="str">
        <f>IF($B26="","",IF('Prop DUOS'!Q25="",0,'Prop DUOS'!Q25))</f>
        <v/>
      </c>
      <c r="AF26" s="606" t="str">
        <f>IF($B26="","",IF('Prop DUOS'!R25="",0,'Prop DUOS'!R25))</f>
        <v/>
      </c>
      <c r="AG26" s="427" t="str">
        <f>IF($B26="","",IF('Prop DUOS'!S25="",0,'Prop DUOS'!S25))</f>
        <v/>
      </c>
      <c r="AH26" s="425" t="str">
        <f>IF($B26="","",IF('Prop TUOS'!D25="",0,'Prop TUOS'!D25))</f>
        <v/>
      </c>
      <c r="AI26" s="426" t="str">
        <f>IF($B26="","",IF('Prop TUOS'!E25="",0,'Prop TUOS'!E25))</f>
        <v/>
      </c>
      <c r="AJ26" s="426" t="str">
        <f>IF($B26="","",IF('Prop TUOS'!F25="",0,'Prop TUOS'!F25))</f>
        <v/>
      </c>
      <c r="AK26" s="426" t="str">
        <f>IF($B26="","",IF('Prop TUOS'!G25="",0,'Prop TUOS'!G25))</f>
        <v/>
      </c>
      <c r="AL26" s="426" t="str">
        <f>IF($B26="","",IF('Prop TUOS'!H25="",0,'Prop TUOS'!H25))</f>
        <v/>
      </c>
      <c r="AM26" s="426" t="str">
        <f>IF($B26="","",IF('Prop TUOS'!I25="",0,'Prop TUOS'!I25))</f>
        <v/>
      </c>
      <c r="AN26" s="426" t="str">
        <f>IF($B26="","",IF('Prop TUOS'!J25="",0,'Prop TUOS'!J25))</f>
        <v/>
      </c>
      <c r="AO26" s="426" t="str">
        <f>IF($B26="","",IF('Prop TUOS'!K25="",0,'Prop TUOS'!K25))</f>
        <v/>
      </c>
      <c r="AP26" s="426" t="str">
        <f>IF($B26="","",IF('Prop TUOS'!L25="",0,'Prop TUOS'!L25))</f>
        <v/>
      </c>
      <c r="AQ26" s="426" t="str">
        <f>IF($B26="","",IF('Prop TUOS'!M25="",0,'Prop TUOS'!M25))</f>
        <v/>
      </c>
      <c r="AR26" s="426" t="str">
        <f>IF($B26="","",IF('Prop TUOS'!N25="",0,'Prop TUOS'!N25))</f>
        <v/>
      </c>
      <c r="AS26" s="426" t="str">
        <f>IF($B26="","",IF('Prop TUOS'!O25="",0,'Prop TUOS'!O25))</f>
        <v/>
      </c>
      <c r="AT26" s="426" t="str">
        <f>IF($B26="","",IF('Prop TUOS'!P25="",0,'Prop TUOS'!P25))</f>
        <v/>
      </c>
      <c r="AU26" s="606" t="str">
        <f>IF($B26="","",IF('Prop TUOS'!Q25="",0,'Prop TUOS'!Q25))</f>
        <v/>
      </c>
      <c r="AV26" s="427" t="str">
        <f>IF($B26="","",IF('Prop TUOS'!R25="",0,'Prop TUOS'!R25))</f>
        <v/>
      </c>
      <c r="AW26" s="425" t="str">
        <f>IF($B26="","",IF('Prop JUOS'!D25="",0,'Prop JUOS'!D25))</f>
        <v/>
      </c>
      <c r="AX26" s="426" t="str">
        <f>IF($B26="","",IF('Prop JUOS'!E25="",0,'Prop JUOS'!E25))</f>
        <v/>
      </c>
      <c r="AY26" s="426" t="str">
        <f>IF($B26="","",IF('Prop JUOS'!F25="",0,'Prop JUOS'!F25))</f>
        <v/>
      </c>
      <c r="AZ26" s="426" t="str">
        <f>IF($B26="","",IF('Prop JUOS'!G25="",0,'Prop JUOS'!G25))</f>
        <v/>
      </c>
      <c r="BA26" s="426" t="str">
        <f>IF($B26="","",IF('Prop JUOS'!H25="",0,'Prop JUOS'!H25))</f>
        <v/>
      </c>
      <c r="BB26" s="426" t="str">
        <f>IF($B26="","",IF('Prop JUOS'!I25="",0,'Prop JUOS'!I25))</f>
        <v/>
      </c>
      <c r="BC26" s="426" t="str">
        <f>IF($B26="","",IF('Prop JUOS'!J25="",0,'Prop JUOS'!J25))</f>
        <v/>
      </c>
      <c r="BD26" s="426" t="str">
        <f>IF($B26="","",IF('Prop JUOS'!K25="",0,'Prop JUOS'!K25))</f>
        <v/>
      </c>
      <c r="BE26" s="426" t="str">
        <f>IF($B26="","",IF('Prop JUOS'!L25="",0,'Prop JUOS'!L25))</f>
        <v/>
      </c>
      <c r="BF26" s="426" t="str">
        <f>IF($B26="","",IF('Prop JUOS'!M25="",0,'Prop JUOS'!M25))</f>
        <v/>
      </c>
      <c r="BG26" s="426" t="str">
        <f>IF($B26="","",IF('Prop JUOS'!N25="",0,'Prop JUOS'!N25))</f>
        <v/>
      </c>
      <c r="BH26" s="426" t="str">
        <f>IF($B26="","",IF('Prop JUOS'!O25="",0,'Prop JUOS'!O25))</f>
        <v/>
      </c>
      <c r="BI26" s="426" t="str">
        <f>IF($B26="","",IF('Prop JUOS'!P25="",0,'Prop JUOS'!P25))</f>
        <v/>
      </c>
      <c r="BJ26" s="606" t="str">
        <f>IF($B26="","",IF('Prop JUOS'!Q25="",0,'Prop JUOS'!Q25))</f>
        <v/>
      </c>
      <c r="BK26" s="427" t="str">
        <f>IF($B26="","",IF('Prop JUOS'!R25="",0,'Prop JUOS'!R25))</f>
        <v/>
      </c>
    </row>
    <row r="27" spans="2:63">
      <c r="B27" s="416" t="str">
        <f>IF('Prop DUOS'!B26="","",'Prop DUOS'!B26)</f>
        <v/>
      </c>
      <c r="C27" s="376" t="str">
        <f>IF(B27="","",INDEX('Side constraints'!$C$33:$C$92,MATCH('Prop DUOS'!B26,'Side constraints'!$D$33:$D$92,0),1))</f>
        <v/>
      </c>
      <c r="D27" s="425" t="str">
        <f t="shared" si="4"/>
        <v/>
      </c>
      <c r="E27" s="426" t="str">
        <f t="shared" si="5"/>
        <v/>
      </c>
      <c r="F27" s="426" t="str">
        <f t="shared" si="6"/>
        <v/>
      </c>
      <c r="G27" s="426" t="str">
        <f t="shared" si="7"/>
        <v/>
      </c>
      <c r="H27" s="426" t="str">
        <f t="shared" si="8"/>
        <v/>
      </c>
      <c r="I27" s="426" t="str">
        <f t="shared" si="9"/>
        <v/>
      </c>
      <c r="J27" s="426" t="str">
        <f t="shared" si="10"/>
        <v/>
      </c>
      <c r="K27" s="426" t="str">
        <f t="shared" si="11"/>
        <v/>
      </c>
      <c r="L27" s="426" t="str">
        <f t="shared" si="12"/>
        <v/>
      </c>
      <c r="M27" s="426" t="str">
        <f t="shared" si="13"/>
        <v/>
      </c>
      <c r="N27" s="426" t="str">
        <f t="shared" si="14"/>
        <v/>
      </c>
      <c r="O27" s="426" t="str">
        <f t="shared" si="15"/>
        <v/>
      </c>
      <c r="P27" s="426" t="str">
        <f t="shared" si="16"/>
        <v/>
      </c>
      <c r="Q27" s="606" t="str">
        <f t="shared" si="17"/>
        <v/>
      </c>
      <c r="R27" s="427" t="str">
        <f t="shared" si="18"/>
        <v/>
      </c>
      <c r="S27" s="425" t="str">
        <f>IF($B27="","",IF('Prop DUOS'!E26="",0,'Prop DUOS'!E26))</f>
        <v/>
      </c>
      <c r="T27" s="426" t="str">
        <f>IF($B27="","",IF('Prop DUOS'!F26="",0,'Prop DUOS'!F26))</f>
        <v/>
      </c>
      <c r="U27" s="426" t="str">
        <f>IF($B27="","",IF('Prop DUOS'!G26="",0,'Prop DUOS'!G26))</f>
        <v/>
      </c>
      <c r="V27" s="426" t="str">
        <f>IF($B27="","",IF('Prop DUOS'!H26="",0,'Prop DUOS'!H26))</f>
        <v/>
      </c>
      <c r="W27" s="426" t="str">
        <f>IF($B27="","",IF('Prop DUOS'!I26="",0,'Prop DUOS'!I26))</f>
        <v/>
      </c>
      <c r="X27" s="426" t="str">
        <f>IF($B27="","",IF('Prop DUOS'!J26="",0,'Prop DUOS'!J26))</f>
        <v/>
      </c>
      <c r="Y27" s="426" t="str">
        <f>IF($B27="","",IF('Prop DUOS'!K26="",0,'Prop DUOS'!K26))</f>
        <v/>
      </c>
      <c r="Z27" s="426" t="str">
        <f>IF($B27="","",IF('Prop DUOS'!L26="",0,'Prop DUOS'!L26))</f>
        <v/>
      </c>
      <c r="AA27" s="426" t="str">
        <f>IF($B27="","",IF('Prop DUOS'!M26="",0,'Prop DUOS'!M26))</f>
        <v/>
      </c>
      <c r="AB27" s="426" t="str">
        <f>IF($B27="","",IF('Prop DUOS'!N26="",0,'Prop DUOS'!N26))</f>
        <v/>
      </c>
      <c r="AC27" s="426" t="str">
        <f>IF($B27="","",IF('Prop DUOS'!O26="",0,'Prop DUOS'!O26))</f>
        <v/>
      </c>
      <c r="AD27" s="426" t="str">
        <f>IF($B27="","",IF('Prop DUOS'!P26="",0,'Prop DUOS'!P26))</f>
        <v/>
      </c>
      <c r="AE27" s="426" t="str">
        <f>IF($B27="","",IF('Prop DUOS'!Q26="",0,'Prop DUOS'!Q26))</f>
        <v/>
      </c>
      <c r="AF27" s="606" t="str">
        <f>IF($B27="","",IF('Prop DUOS'!R26="",0,'Prop DUOS'!R26))</f>
        <v/>
      </c>
      <c r="AG27" s="427" t="str">
        <f>IF($B27="","",IF('Prop DUOS'!S26="",0,'Prop DUOS'!S26))</f>
        <v/>
      </c>
      <c r="AH27" s="425" t="str">
        <f>IF($B27="","",IF('Prop TUOS'!D26="",0,'Prop TUOS'!D26))</f>
        <v/>
      </c>
      <c r="AI27" s="426" t="str">
        <f>IF($B27="","",IF('Prop TUOS'!E26="",0,'Prop TUOS'!E26))</f>
        <v/>
      </c>
      <c r="AJ27" s="426" t="str">
        <f>IF($B27="","",IF('Prop TUOS'!F26="",0,'Prop TUOS'!F26))</f>
        <v/>
      </c>
      <c r="AK27" s="426" t="str">
        <f>IF($B27="","",IF('Prop TUOS'!G26="",0,'Prop TUOS'!G26))</f>
        <v/>
      </c>
      <c r="AL27" s="426" t="str">
        <f>IF($B27="","",IF('Prop TUOS'!H26="",0,'Prop TUOS'!H26))</f>
        <v/>
      </c>
      <c r="AM27" s="426" t="str">
        <f>IF($B27="","",IF('Prop TUOS'!I26="",0,'Prop TUOS'!I26))</f>
        <v/>
      </c>
      <c r="AN27" s="426" t="str">
        <f>IF($B27="","",IF('Prop TUOS'!J26="",0,'Prop TUOS'!J26))</f>
        <v/>
      </c>
      <c r="AO27" s="426" t="str">
        <f>IF($B27="","",IF('Prop TUOS'!K26="",0,'Prop TUOS'!K26))</f>
        <v/>
      </c>
      <c r="AP27" s="426" t="str">
        <f>IF($B27="","",IF('Prop TUOS'!L26="",0,'Prop TUOS'!L26))</f>
        <v/>
      </c>
      <c r="AQ27" s="426" t="str">
        <f>IF($B27="","",IF('Prop TUOS'!M26="",0,'Prop TUOS'!M26))</f>
        <v/>
      </c>
      <c r="AR27" s="426" t="str">
        <f>IF($B27="","",IF('Prop TUOS'!N26="",0,'Prop TUOS'!N26))</f>
        <v/>
      </c>
      <c r="AS27" s="426" t="str">
        <f>IF($B27="","",IF('Prop TUOS'!O26="",0,'Prop TUOS'!O26))</f>
        <v/>
      </c>
      <c r="AT27" s="426" t="str">
        <f>IF($B27="","",IF('Prop TUOS'!P26="",0,'Prop TUOS'!P26))</f>
        <v/>
      </c>
      <c r="AU27" s="606" t="str">
        <f>IF($B27="","",IF('Prop TUOS'!Q26="",0,'Prop TUOS'!Q26))</f>
        <v/>
      </c>
      <c r="AV27" s="427" t="str">
        <f>IF($B27="","",IF('Prop TUOS'!R26="",0,'Prop TUOS'!R26))</f>
        <v/>
      </c>
      <c r="AW27" s="425" t="str">
        <f>IF($B27="","",IF('Prop JUOS'!D26="",0,'Prop JUOS'!D26))</f>
        <v/>
      </c>
      <c r="AX27" s="426" t="str">
        <f>IF($B27="","",IF('Prop JUOS'!E26="",0,'Prop JUOS'!E26))</f>
        <v/>
      </c>
      <c r="AY27" s="426" t="str">
        <f>IF($B27="","",IF('Prop JUOS'!F26="",0,'Prop JUOS'!F26))</f>
        <v/>
      </c>
      <c r="AZ27" s="426" t="str">
        <f>IF($B27="","",IF('Prop JUOS'!G26="",0,'Prop JUOS'!G26))</f>
        <v/>
      </c>
      <c r="BA27" s="426" t="str">
        <f>IF($B27="","",IF('Prop JUOS'!H26="",0,'Prop JUOS'!H26))</f>
        <v/>
      </c>
      <c r="BB27" s="426" t="str">
        <f>IF($B27="","",IF('Prop JUOS'!I26="",0,'Prop JUOS'!I26))</f>
        <v/>
      </c>
      <c r="BC27" s="426" t="str">
        <f>IF($B27="","",IF('Prop JUOS'!J26="",0,'Prop JUOS'!J26))</f>
        <v/>
      </c>
      <c r="BD27" s="426" t="str">
        <f>IF($B27="","",IF('Prop JUOS'!K26="",0,'Prop JUOS'!K26))</f>
        <v/>
      </c>
      <c r="BE27" s="426" t="str">
        <f>IF($B27="","",IF('Prop JUOS'!L26="",0,'Prop JUOS'!L26))</f>
        <v/>
      </c>
      <c r="BF27" s="426" t="str">
        <f>IF($B27="","",IF('Prop JUOS'!M26="",0,'Prop JUOS'!M26))</f>
        <v/>
      </c>
      <c r="BG27" s="426" t="str">
        <f>IF($B27="","",IF('Prop JUOS'!N26="",0,'Prop JUOS'!N26))</f>
        <v/>
      </c>
      <c r="BH27" s="426" t="str">
        <f>IF($B27="","",IF('Prop JUOS'!O26="",0,'Prop JUOS'!O26))</f>
        <v/>
      </c>
      <c r="BI27" s="426" t="str">
        <f>IF($B27="","",IF('Prop JUOS'!P26="",0,'Prop JUOS'!P26))</f>
        <v/>
      </c>
      <c r="BJ27" s="606" t="str">
        <f>IF($B27="","",IF('Prop JUOS'!Q26="",0,'Prop JUOS'!Q26))</f>
        <v/>
      </c>
      <c r="BK27" s="427" t="str">
        <f>IF($B27="","",IF('Prop JUOS'!R26="",0,'Prop JUOS'!R26))</f>
        <v/>
      </c>
    </row>
    <row r="28" spans="2:63">
      <c r="B28" s="416" t="str">
        <f>IF('Prop DUOS'!B27="","",'Prop DUOS'!B27)</f>
        <v/>
      </c>
      <c r="C28" s="376" t="str">
        <f>IF(B28="","",INDEX('Side constraints'!$C$33:$C$92,MATCH('Prop DUOS'!B27,'Side constraints'!$D$33:$D$92,0),1))</f>
        <v/>
      </c>
      <c r="D28" s="425" t="str">
        <f t="shared" si="4"/>
        <v/>
      </c>
      <c r="E28" s="426" t="str">
        <f t="shared" si="5"/>
        <v/>
      </c>
      <c r="F28" s="426" t="str">
        <f t="shared" si="6"/>
        <v/>
      </c>
      <c r="G28" s="426" t="str">
        <f t="shared" si="7"/>
        <v/>
      </c>
      <c r="H28" s="426" t="str">
        <f t="shared" si="8"/>
        <v/>
      </c>
      <c r="I28" s="426" t="str">
        <f t="shared" si="9"/>
        <v/>
      </c>
      <c r="J28" s="426" t="str">
        <f t="shared" si="10"/>
        <v/>
      </c>
      <c r="K28" s="426" t="str">
        <f t="shared" si="11"/>
        <v/>
      </c>
      <c r="L28" s="426" t="str">
        <f t="shared" si="12"/>
        <v/>
      </c>
      <c r="M28" s="426" t="str">
        <f t="shared" si="13"/>
        <v/>
      </c>
      <c r="N28" s="426" t="str">
        <f t="shared" si="14"/>
        <v/>
      </c>
      <c r="O28" s="426" t="str">
        <f t="shared" si="15"/>
        <v/>
      </c>
      <c r="P28" s="426" t="str">
        <f t="shared" si="16"/>
        <v/>
      </c>
      <c r="Q28" s="606" t="str">
        <f t="shared" si="17"/>
        <v/>
      </c>
      <c r="R28" s="427" t="str">
        <f t="shared" si="18"/>
        <v/>
      </c>
      <c r="S28" s="425" t="str">
        <f>IF($B28="","",IF('Prop DUOS'!E27="",0,'Prop DUOS'!E27))</f>
        <v/>
      </c>
      <c r="T28" s="426" t="str">
        <f>IF($B28="","",IF('Prop DUOS'!F27="",0,'Prop DUOS'!F27))</f>
        <v/>
      </c>
      <c r="U28" s="426" t="str">
        <f>IF($B28="","",IF('Prop DUOS'!G27="",0,'Prop DUOS'!G27))</f>
        <v/>
      </c>
      <c r="V28" s="426" t="str">
        <f>IF($B28="","",IF('Prop DUOS'!H27="",0,'Prop DUOS'!H27))</f>
        <v/>
      </c>
      <c r="W28" s="426" t="str">
        <f>IF($B28="","",IF('Prop DUOS'!I27="",0,'Prop DUOS'!I27))</f>
        <v/>
      </c>
      <c r="X28" s="426" t="str">
        <f>IF($B28="","",IF('Prop DUOS'!J27="",0,'Prop DUOS'!J27))</f>
        <v/>
      </c>
      <c r="Y28" s="426" t="str">
        <f>IF($B28="","",IF('Prop DUOS'!K27="",0,'Prop DUOS'!K27))</f>
        <v/>
      </c>
      <c r="Z28" s="426" t="str">
        <f>IF($B28="","",IF('Prop DUOS'!L27="",0,'Prop DUOS'!L27))</f>
        <v/>
      </c>
      <c r="AA28" s="426" t="str">
        <f>IF($B28="","",IF('Prop DUOS'!M27="",0,'Prop DUOS'!M27))</f>
        <v/>
      </c>
      <c r="AB28" s="426" t="str">
        <f>IF($B28="","",IF('Prop DUOS'!N27="",0,'Prop DUOS'!N27))</f>
        <v/>
      </c>
      <c r="AC28" s="426" t="str">
        <f>IF($B28="","",IF('Prop DUOS'!O27="",0,'Prop DUOS'!O27))</f>
        <v/>
      </c>
      <c r="AD28" s="426" t="str">
        <f>IF($B28="","",IF('Prop DUOS'!P27="",0,'Prop DUOS'!P27))</f>
        <v/>
      </c>
      <c r="AE28" s="426" t="str">
        <f>IF($B28="","",IF('Prop DUOS'!Q27="",0,'Prop DUOS'!Q27))</f>
        <v/>
      </c>
      <c r="AF28" s="606" t="str">
        <f>IF($B28="","",IF('Prop DUOS'!R27="",0,'Prop DUOS'!R27))</f>
        <v/>
      </c>
      <c r="AG28" s="427" t="str">
        <f>IF($B28="","",IF('Prop DUOS'!S27="",0,'Prop DUOS'!S27))</f>
        <v/>
      </c>
      <c r="AH28" s="425" t="str">
        <f>IF($B28="","",IF('Prop TUOS'!D27="",0,'Prop TUOS'!D27))</f>
        <v/>
      </c>
      <c r="AI28" s="426" t="str">
        <f>IF($B28="","",IF('Prop TUOS'!E27="",0,'Prop TUOS'!E27))</f>
        <v/>
      </c>
      <c r="AJ28" s="426" t="str">
        <f>IF($B28="","",IF('Prop TUOS'!F27="",0,'Prop TUOS'!F27))</f>
        <v/>
      </c>
      <c r="AK28" s="426" t="str">
        <f>IF($B28="","",IF('Prop TUOS'!G27="",0,'Prop TUOS'!G27))</f>
        <v/>
      </c>
      <c r="AL28" s="426" t="str">
        <f>IF($B28="","",IF('Prop TUOS'!H27="",0,'Prop TUOS'!H27))</f>
        <v/>
      </c>
      <c r="AM28" s="426" t="str">
        <f>IF($B28="","",IF('Prop TUOS'!I27="",0,'Prop TUOS'!I27))</f>
        <v/>
      </c>
      <c r="AN28" s="426" t="str">
        <f>IF($B28="","",IF('Prop TUOS'!J27="",0,'Prop TUOS'!J27))</f>
        <v/>
      </c>
      <c r="AO28" s="426" t="str">
        <f>IF($B28="","",IF('Prop TUOS'!K27="",0,'Prop TUOS'!K27))</f>
        <v/>
      </c>
      <c r="AP28" s="426" t="str">
        <f>IF($B28="","",IF('Prop TUOS'!L27="",0,'Prop TUOS'!L27))</f>
        <v/>
      </c>
      <c r="AQ28" s="426" t="str">
        <f>IF($B28="","",IF('Prop TUOS'!M27="",0,'Prop TUOS'!M27))</f>
        <v/>
      </c>
      <c r="AR28" s="426" t="str">
        <f>IF($B28="","",IF('Prop TUOS'!N27="",0,'Prop TUOS'!N27))</f>
        <v/>
      </c>
      <c r="AS28" s="426" t="str">
        <f>IF($B28="","",IF('Prop TUOS'!O27="",0,'Prop TUOS'!O27))</f>
        <v/>
      </c>
      <c r="AT28" s="426" t="str">
        <f>IF($B28="","",IF('Prop TUOS'!P27="",0,'Prop TUOS'!P27))</f>
        <v/>
      </c>
      <c r="AU28" s="606" t="str">
        <f>IF($B28="","",IF('Prop TUOS'!Q27="",0,'Prop TUOS'!Q27))</f>
        <v/>
      </c>
      <c r="AV28" s="427" t="str">
        <f>IF($B28="","",IF('Prop TUOS'!R27="",0,'Prop TUOS'!R27))</f>
        <v/>
      </c>
      <c r="AW28" s="425" t="str">
        <f>IF($B28="","",IF('Prop JUOS'!D27="",0,'Prop JUOS'!D27))</f>
        <v/>
      </c>
      <c r="AX28" s="426" t="str">
        <f>IF($B28="","",IF('Prop JUOS'!E27="",0,'Prop JUOS'!E27))</f>
        <v/>
      </c>
      <c r="AY28" s="426" t="str">
        <f>IF($B28="","",IF('Prop JUOS'!F27="",0,'Prop JUOS'!F27))</f>
        <v/>
      </c>
      <c r="AZ28" s="426" t="str">
        <f>IF($B28="","",IF('Prop JUOS'!G27="",0,'Prop JUOS'!G27))</f>
        <v/>
      </c>
      <c r="BA28" s="426" t="str">
        <f>IF($B28="","",IF('Prop JUOS'!H27="",0,'Prop JUOS'!H27))</f>
        <v/>
      </c>
      <c r="BB28" s="426" t="str">
        <f>IF($B28="","",IF('Prop JUOS'!I27="",0,'Prop JUOS'!I27))</f>
        <v/>
      </c>
      <c r="BC28" s="426" t="str">
        <f>IF($B28="","",IF('Prop JUOS'!J27="",0,'Prop JUOS'!J27))</f>
        <v/>
      </c>
      <c r="BD28" s="426" t="str">
        <f>IF($B28="","",IF('Prop JUOS'!K27="",0,'Prop JUOS'!K27))</f>
        <v/>
      </c>
      <c r="BE28" s="426" t="str">
        <f>IF($B28="","",IF('Prop JUOS'!L27="",0,'Prop JUOS'!L27))</f>
        <v/>
      </c>
      <c r="BF28" s="426" t="str">
        <f>IF($B28="","",IF('Prop JUOS'!M27="",0,'Prop JUOS'!M27))</f>
        <v/>
      </c>
      <c r="BG28" s="426" t="str">
        <f>IF($B28="","",IF('Prop JUOS'!N27="",0,'Prop JUOS'!N27))</f>
        <v/>
      </c>
      <c r="BH28" s="426" t="str">
        <f>IF($B28="","",IF('Prop JUOS'!O27="",0,'Prop JUOS'!O27))</f>
        <v/>
      </c>
      <c r="BI28" s="426" t="str">
        <f>IF($B28="","",IF('Prop JUOS'!P27="",0,'Prop JUOS'!P27))</f>
        <v/>
      </c>
      <c r="BJ28" s="606" t="str">
        <f>IF($B28="","",IF('Prop JUOS'!Q27="",0,'Prop JUOS'!Q27))</f>
        <v/>
      </c>
      <c r="BK28" s="427" t="str">
        <f>IF($B28="","",IF('Prop JUOS'!R27="",0,'Prop JUOS'!R27))</f>
        <v/>
      </c>
    </row>
    <row r="29" spans="2:63">
      <c r="B29" s="417" t="str">
        <f>IF('Prop DUOS'!B28="","",'Prop DUOS'!B28)</f>
        <v/>
      </c>
      <c r="C29" s="376" t="str">
        <f>IF(B29="","",INDEX('Side constraints'!$C$33:$C$92,MATCH('Prop DUOS'!B28,'Side constraints'!$D$33:$D$92,0),1))</f>
        <v/>
      </c>
      <c r="D29" s="425" t="str">
        <f t="shared" si="4"/>
        <v/>
      </c>
      <c r="E29" s="426" t="str">
        <f t="shared" si="5"/>
        <v/>
      </c>
      <c r="F29" s="426" t="str">
        <f t="shared" si="6"/>
        <v/>
      </c>
      <c r="G29" s="426" t="str">
        <f t="shared" si="7"/>
        <v/>
      </c>
      <c r="H29" s="426" t="str">
        <f t="shared" si="8"/>
        <v/>
      </c>
      <c r="I29" s="426" t="str">
        <f t="shared" si="9"/>
        <v/>
      </c>
      <c r="J29" s="426" t="str">
        <f t="shared" si="10"/>
        <v/>
      </c>
      <c r="K29" s="426" t="str">
        <f t="shared" si="11"/>
        <v/>
      </c>
      <c r="L29" s="426" t="str">
        <f t="shared" si="12"/>
        <v/>
      </c>
      <c r="M29" s="426" t="str">
        <f t="shared" si="13"/>
        <v/>
      </c>
      <c r="N29" s="426" t="str">
        <f t="shared" si="14"/>
        <v/>
      </c>
      <c r="O29" s="426" t="str">
        <f t="shared" si="15"/>
        <v/>
      </c>
      <c r="P29" s="426" t="str">
        <f t="shared" si="16"/>
        <v/>
      </c>
      <c r="Q29" s="606" t="str">
        <f t="shared" si="17"/>
        <v/>
      </c>
      <c r="R29" s="427" t="str">
        <f t="shared" si="18"/>
        <v/>
      </c>
      <c r="S29" s="425" t="str">
        <f>IF($B29="","",IF('Prop DUOS'!E28="",0,'Prop DUOS'!E28))</f>
        <v/>
      </c>
      <c r="T29" s="426" t="str">
        <f>IF($B29="","",IF('Prop DUOS'!F28="",0,'Prop DUOS'!F28))</f>
        <v/>
      </c>
      <c r="U29" s="426" t="str">
        <f>IF($B29="","",IF('Prop DUOS'!G28="",0,'Prop DUOS'!G28))</f>
        <v/>
      </c>
      <c r="V29" s="426" t="str">
        <f>IF($B29="","",IF('Prop DUOS'!H28="",0,'Prop DUOS'!H28))</f>
        <v/>
      </c>
      <c r="W29" s="426" t="str">
        <f>IF($B29="","",IF('Prop DUOS'!I28="",0,'Prop DUOS'!I28))</f>
        <v/>
      </c>
      <c r="X29" s="426" t="str">
        <f>IF($B29="","",IF('Prop DUOS'!J28="",0,'Prop DUOS'!J28))</f>
        <v/>
      </c>
      <c r="Y29" s="426" t="str">
        <f>IF($B29="","",IF('Prop DUOS'!K28="",0,'Prop DUOS'!K28))</f>
        <v/>
      </c>
      <c r="Z29" s="426" t="str">
        <f>IF($B29="","",IF('Prop DUOS'!L28="",0,'Prop DUOS'!L28))</f>
        <v/>
      </c>
      <c r="AA29" s="426" t="str">
        <f>IF($B29="","",IF('Prop DUOS'!M28="",0,'Prop DUOS'!M28))</f>
        <v/>
      </c>
      <c r="AB29" s="426" t="str">
        <f>IF($B29="","",IF('Prop DUOS'!N28="",0,'Prop DUOS'!N28))</f>
        <v/>
      </c>
      <c r="AC29" s="426" t="str">
        <f>IF($B29="","",IF('Prop DUOS'!O28="",0,'Prop DUOS'!O28))</f>
        <v/>
      </c>
      <c r="AD29" s="426" t="str">
        <f>IF($B29="","",IF('Prop DUOS'!P28="",0,'Prop DUOS'!P28))</f>
        <v/>
      </c>
      <c r="AE29" s="426" t="str">
        <f>IF($B29="","",IF('Prop DUOS'!Q28="",0,'Prop DUOS'!Q28))</f>
        <v/>
      </c>
      <c r="AF29" s="606" t="str">
        <f>IF($B29="","",IF('Prop DUOS'!R28="",0,'Prop DUOS'!R28))</f>
        <v/>
      </c>
      <c r="AG29" s="427" t="str">
        <f>IF($B29="","",IF('Prop DUOS'!S28="",0,'Prop DUOS'!S28))</f>
        <v/>
      </c>
      <c r="AH29" s="425" t="str">
        <f>IF($B29="","",IF('Prop TUOS'!D28="",0,'Prop TUOS'!D28))</f>
        <v/>
      </c>
      <c r="AI29" s="426" t="str">
        <f>IF($B29="","",IF('Prop TUOS'!E28="",0,'Prop TUOS'!E28))</f>
        <v/>
      </c>
      <c r="AJ29" s="426" t="str">
        <f>IF($B29="","",IF('Prop TUOS'!F28="",0,'Prop TUOS'!F28))</f>
        <v/>
      </c>
      <c r="AK29" s="426" t="str">
        <f>IF($B29="","",IF('Prop TUOS'!G28="",0,'Prop TUOS'!G28))</f>
        <v/>
      </c>
      <c r="AL29" s="426" t="str">
        <f>IF($B29="","",IF('Prop TUOS'!H28="",0,'Prop TUOS'!H28))</f>
        <v/>
      </c>
      <c r="AM29" s="426" t="str">
        <f>IF($B29="","",IF('Prop TUOS'!I28="",0,'Prop TUOS'!I28))</f>
        <v/>
      </c>
      <c r="AN29" s="426" t="str">
        <f>IF($B29="","",IF('Prop TUOS'!J28="",0,'Prop TUOS'!J28))</f>
        <v/>
      </c>
      <c r="AO29" s="426" t="str">
        <f>IF($B29="","",IF('Prop TUOS'!K28="",0,'Prop TUOS'!K28))</f>
        <v/>
      </c>
      <c r="AP29" s="426" t="str">
        <f>IF($B29="","",IF('Prop TUOS'!L28="",0,'Prop TUOS'!L28))</f>
        <v/>
      </c>
      <c r="AQ29" s="426" t="str">
        <f>IF($B29="","",IF('Prop TUOS'!M28="",0,'Prop TUOS'!M28))</f>
        <v/>
      </c>
      <c r="AR29" s="426" t="str">
        <f>IF($B29="","",IF('Prop TUOS'!N28="",0,'Prop TUOS'!N28))</f>
        <v/>
      </c>
      <c r="AS29" s="426" t="str">
        <f>IF($B29="","",IF('Prop TUOS'!O28="",0,'Prop TUOS'!O28))</f>
        <v/>
      </c>
      <c r="AT29" s="426" t="str">
        <f>IF($B29="","",IF('Prop TUOS'!P28="",0,'Prop TUOS'!P28))</f>
        <v/>
      </c>
      <c r="AU29" s="606" t="str">
        <f>IF($B29="","",IF('Prop TUOS'!Q28="",0,'Prop TUOS'!Q28))</f>
        <v/>
      </c>
      <c r="AV29" s="427" t="str">
        <f>IF($B29="","",IF('Prop TUOS'!R28="",0,'Prop TUOS'!R28))</f>
        <v/>
      </c>
      <c r="AW29" s="425" t="str">
        <f>IF($B29="","",IF('Prop JUOS'!D28="",0,'Prop JUOS'!D28))</f>
        <v/>
      </c>
      <c r="AX29" s="426" t="str">
        <f>IF($B29="","",IF('Prop JUOS'!E28="",0,'Prop JUOS'!E28))</f>
        <v/>
      </c>
      <c r="AY29" s="426" t="str">
        <f>IF($B29="","",IF('Prop JUOS'!F28="",0,'Prop JUOS'!F28))</f>
        <v/>
      </c>
      <c r="AZ29" s="426" t="str">
        <f>IF($B29="","",IF('Prop JUOS'!G28="",0,'Prop JUOS'!G28))</f>
        <v/>
      </c>
      <c r="BA29" s="426" t="str">
        <f>IF($B29="","",IF('Prop JUOS'!H28="",0,'Prop JUOS'!H28))</f>
        <v/>
      </c>
      <c r="BB29" s="426" t="str">
        <f>IF($B29="","",IF('Prop JUOS'!I28="",0,'Prop JUOS'!I28))</f>
        <v/>
      </c>
      <c r="BC29" s="426" t="str">
        <f>IF($B29="","",IF('Prop JUOS'!J28="",0,'Prop JUOS'!J28))</f>
        <v/>
      </c>
      <c r="BD29" s="426" t="str">
        <f>IF($B29="","",IF('Prop JUOS'!K28="",0,'Prop JUOS'!K28))</f>
        <v/>
      </c>
      <c r="BE29" s="426" t="str">
        <f>IF($B29="","",IF('Prop JUOS'!L28="",0,'Prop JUOS'!L28))</f>
        <v/>
      </c>
      <c r="BF29" s="426" t="str">
        <f>IF($B29="","",IF('Prop JUOS'!M28="",0,'Prop JUOS'!M28))</f>
        <v/>
      </c>
      <c r="BG29" s="426" t="str">
        <f>IF($B29="","",IF('Prop JUOS'!N28="",0,'Prop JUOS'!N28))</f>
        <v/>
      </c>
      <c r="BH29" s="426" t="str">
        <f>IF($B29="","",IF('Prop JUOS'!O28="",0,'Prop JUOS'!O28))</f>
        <v/>
      </c>
      <c r="BI29" s="426" t="str">
        <f>IF($B29="","",IF('Prop JUOS'!P28="",0,'Prop JUOS'!P28))</f>
        <v/>
      </c>
      <c r="BJ29" s="606" t="str">
        <f>IF($B29="","",IF('Prop JUOS'!Q28="",0,'Prop JUOS'!Q28))</f>
        <v/>
      </c>
      <c r="BK29" s="427" t="str">
        <f>IF($B29="","",IF('Prop JUOS'!R28="",0,'Prop JUOS'!R28))</f>
        <v/>
      </c>
    </row>
    <row r="30" spans="2:63">
      <c r="B30" s="416" t="str">
        <f>IF('Prop DUOS'!B29="","",'Prop DUOS'!B29)</f>
        <v/>
      </c>
      <c r="C30" s="376" t="str">
        <f>IF(B30="","",INDEX('Side constraints'!$C$33:$C$92,MATCH('Prop DUOS'!B29,'Side constraints'!$D$33:$D$92,0),1))</f>
        <v/>
      </c>
      <c r="D30" s="425" t="str">
        <f t="shared" si="4"/>
        <v/>
      </c>
      <c r="E30" s="426" t="str">
        <f t="shared" si="5"/>
        <v/>
      </c>
      <c r="F30" s="426" t="str">
        <f t="shared" si="6"/>
        <v/>
      </c>
      <c r="G30" s="426" t="str">
        <f t="shared" si="7"/>
        <v/>
      </c>
      <c r="H30" s="426" t="str">
        <f t="shared" si="8"/>
        <v/>
      </c>
      <c r="I30" s="426" t="str">
        <f t="shared" si="9"/>
        <v/>
      </c>
      <c r="J30" s="426" t="str">
        <f t="shared" si="10"/>
        <v/>
      </c>
      <c r="K30" s="426" t="str">
        <f t="shared" si="11"/>
        <v/>
      </c>
      <c r="L30" s="426" t="str">
        <f t="shared" si="12"/>
        <v/>
      </c>
      <c r="M30" s="426" t="str">
        <f t="shared" si="13"/>
        <v/>
      </c>
      <c r="N30" s="426" t="str">
        <f t="shared" si="14"/>
        <v/>
      </c>
      <c r="O30" s="426" t="str">
        <f t="shared" si="15"/>
        <v/>
      </c>
      <c r="P30" s="426" t="str">
        <f t="shared" si="16"/>
        <v/>
      </c>
      <c r="Q30" s="606" t="str">
        <f t="shared" si="17"/>
        <v/>
      </c>
      <c r="R30" s="427" t="str">
        <f t="shared" si="18"/>
        <v/>
      </c>
      <c r="S30" s="425" t="str">
        <f>IF($B30="","",IF('Prop DUOS'!E29="",0,'Prop DUOS'!E29))</f>
        <v/>
      </c>
      <c r="T30" s="426" t="str">
        <f>IF($B30="","",IF('Prop DUOS'!F29="",0,'Prop DUOS'!F29))</f>
        <v/>
      </c>
      <c r="U30" s="426" t="str">
        <f>IF($B30="","",IF('Prop DUOS'!G29="",0,'Prop DUOS'!G29))</f>
        <v/>
      </c>
      <c r="V30" s="426" t="str">
        <f>IF($B30="","",IF('Prop DUOS'!H29="",0,'Prop DUOS'!H29))</f>
        <v/>
      </c>
      <c r="W30" s="426" t="str">
        <f>IF($B30="","",IF('Prop DUOS'!I29="",0,'Prop DUOS'!I29))</f>
        <v/>
      </c>
      <c r="X30" s="426" t="str">
        <f>IF($B30="","",IF('Prop DUOS'!J29="",0,'Prop DUOS'!J29))</f>
        <v/>
      </c>
      <c r="Y30" s="426" t="str">
        <f>IF($B30="","",IF('Prop DUOS'!K29="",0,'Prop DUOS'!K29))</f>
        <v/>
      </c>
      <c r="Z30" s="426" t="str">
        <f>IF($B30="","",IF('Prop DUOS'!L29="",0,'Prop DUOS'!L29))</f>
        <v/>
      </c>
      <c r="AA30" s="426" t="str">
        <f>IF($B30="","",IF('Prop DUOS'!M29="",0,'Prop DUOS'!M29))</f>
        <v/>
      </c>
      <c r="AB30" s="426" t="str">
        <f>IF($B30="","",IF('Prop DUOS'!N29="",0,'Prop DUOS'!N29))</f>
        <v/>
      </c>
      <c r="AC30" s="426" t="str">
        <f>IF($B30="","",IF('Prop DUOS'!O29="",0,'Prop DUOS'!O29))</f>
        <v/>
      </c>
      <c r="AD30" s="426" t="str">
        <f>IF($B30="","",IF('Prop DUOS'!P29="",0,'Prop DUOS'!P29))</f>
        <v/>
      </c>
      <c r="AE30" s="426" t="str">
        <f>IF($B30="","",IF('Prop DUOS'!Q29="",0,'Prop DUOS'!Q29))</f>
        <v/>
      </c>
      <c r="AF30" s="606" t="str">
        <f>IF($B30="","",IF('Prop DUOS'!R29="",0,'Prop DUOS'!R29))</f>
        <v/>
      </c>
      <c r="AG30" s="427" t="str">
        <f>IF($B30="","",IF('Prop DUOS'!S29="",0,'Prop DUOS'!S29))</f>
        <v/>
      </c>
      <c r="AH30" s="425" t="str">
        <f>IF($B30="","",IF('Prop TUOS'!D29="",0,'Prop TUOS'!D29))</f>
        <v/>
      </c>
      <c r="AI30" s="426" t="str">
        <f>IF($B30="","",IF('Prop TUOS'!E29="",0,'Prop TUOS'!E29))</f>
        <v/>
      </c>
      <c r="AJ30" s="426" t="str">
        <f>IF($B30="","",IF('Prop TUOS'!F29="",0,'Prop TUOS'!F29))</f>
        <v/>
      </c>
      <c r="AK30" s="426" t="str">
        <f>IF($B30="","",IF('Prop TUOS'!G29="",0,'Prop TUOS'!G29))</f>
        <v/>
      </c>
      <c r="AL30" s="426" t="str">
        <f>IF($B30="","",IF('Prop TUOS'!H29="",0,'Prop TUOS'!H29))</f>
        <v/>
      </c>
      <c r="AM30" s="426" t="str">
        <f>IF($B30="","",IF('Prop TUOS'!I29="",0,'Prop TUOS'!I29))</f>
        <v/>
      </c>
      <c r="AN30" s="426" t="str">
        <f>IF($B30="","",IF('Prop TUOS'!J29="",0,'Prop TUOS'!J29))</f>
        <v/>
      </c>
      <c r="AO30" s="426" t="str">
        <f>IF($B30="","",IF('Prop TUOS'!K29="",0,'Prop TUOS'!K29))</f>
        <v/>
      </c>
      <c r="AP30" s="426" t="str">
        <f>IF($B30="","",IF('Prop TUOS'!L29="",0,'Prop TUOS'!L29))</f>
        <v/>
      </c>
      <c r="AQ30" s="426" t="str">
        <f>IF($B30="","",IF('Prop TUOS'!M29="",0,'Prop TUOS'!M29))</f>
        <v/>
      </c>
      <c r="AR30" s="426" t="str">
        <f>IF($B30="","",IF('Prop TUOS'!N29="",0,'Prop TUOS'!N29))</f>
        <v/>
      </c>
      <c r="AS30" s="426" t="str">
        <f>IF($B30="","",IF('Prop TUOS'!O29="",0,'Prop TUOS'!O29))</f>
        <v/>
      </c>
      <c r="AT30" s="426" t="str">
        <f>IF($B30="","",IF('Prop TUOS'!P29="",0,'Prop TUOS'!P29))</f>
        <v/>
      </c>
      <c r="AU30" s="606" t="str">
        <f>IF($B30="","",IF('Prop TUOS'!Q29="",0,'Prop TUOS'!Q29))</f>
        <v/>
      </c>
      <c r="AV30" s="427" t="str">
        <f>IF($B30="","",IF('Prop TUOS'!R29="",0,'Prop TUOS'!R29))</f>
        <v/>
      </c>
      <c r="AW30" s="425" t="str">
        <f>IF($B30="","",IF('Prop JUOS'!D29="",0,'Prop JUOS'!D29))</f>
        <v/>
      </c>
      <c r="AX30" s="426" t="str">
        <f>IF($B30="","",IF('Prop JUOS'!E29="",0,'Prop JUOS'!E29))</f>
        <v/>
      </c>
      <c r="AY30" s="426" t="str">
        <f>IF($B30="","",IF('Prop JUOS'!F29="",0,'Prop JUOS'!F29))</f>
        <v/>
      </c>
      <c r="AZ30" s="426" t="str">
        <f>IF($B30="","",IF('Prop JUOS'!G29="",0,'Prop JUOS'!G29))</f>
        <v/>
      </c>
      <c r="BA30" s="426" t="str">
        <f>IF($B30="","",IF('Prop JUOS'!H29="",0,'Prop JUOS'!H29))</f>
        <v/>
      </c>
      <c r="BB30" s="426" t="str">
        <f>IF($B30="","",IF('Prop JUOS'!I29="",0,'Prop JUOS'!I29))</f>
        <v/>
      </c>
      <c r="BC30" s="426" t="str">
        <f>IF($B30="","",IF('Prop JUOS'!J29="",0,'Prop JUOS'!J29))</f>
        <v/>
      </c>
      <c r="BD30" s="426" t="str">
        <f>IF($B30="","",IF('Prop JUOS'!K29="",0,'Prop JUOS'!K29))</f>
        <v/>
      </c>
      <c r="BE30" s="426" t="str">
        <f>IF($B30="","",IF('Prop JUOS'!L29="",0,'Prop JUOS'!L29))</f>
        <v/>
      </c>
      <c r="BF30" s="426" t="str">
        <f>IF($B30="","",IF('Prop JUOS'!M29="",0,'Prop JUOS'!M29))</f>
        <v/>
      </c>
      <c r="BG30" s="426" t="str">
        <f>IF($B30="","",IF('Prop JUOS'!N29="",0,'Prop JUOS'!N29))</f>
        <v/>
      </c>
      <c r="BH30" s="426" t="str">
        <f>IF($B30="","",IF('Prop JUOS'!O29="",0,'Prop JUOS'!O29))</f>
        <v/>
      </c>
      <c r="BI30" s="426" t="str">
        <f>IF($B30="","",IF('Prop JUOS'!P29="",0,'Prop JUOS'!P29))</f>
        <v/>
      </c>
      <c r="BJ30" s="606" t="str">
        <f>IF($B30="","",IF('Prop JUOS'!Q29="",0,'Prop JUOS'!Q29))</f>
        <v/>
      </c>
      <c r="BK30" s="427" t="str">
        <f>IF($B30="","",IF('Prop JUOS'!R29="",0,'Prop JUOS'!R29))</f>
        <v/>
      </c>
    </row>
    <row r="31" spans="2:63">
      <c r="B31" s="416" t="str">
        <f>IF('Prop DUOS'!B30="","",'Prop DUOS'!B30)</f>
        <v/>
      </c>
      <c r="C31" s="376" t="str">
        <f>IF(B31="","",INDEX('Side constraints'!$C$33:$C$92,MATCH('Prop DUOS'!B30,'Side constraints'!$D$33:$D$92,0),1))</f>
        <v/>
      </c>
      <c r="D31" s="425" t="str">
        <f t="shared" si="4"/>
        <v/>
      </c>
      <c r="E31" s="426" t="str">
        <f t="shared" si="5"/>
        <v/>
      </c>
      <c r="F31" s="426" t="str">
        <f t="shared" si="6"/>
        <v/>
      </c>
      <c r="G31" s="426" t="str">
        <f t="shared" si="7"/>
        <v/>
      </c>
      <c r="H31" s="426" t="str">
        <f t="shared" si="8"/>
        <v/>
      </c>
      <c r="I31" s="426" t="str">
        <f t="shared" si="9"/>
        <v/>
      </c>
      <c r="J31" s="426" t="str">
        <f t="shared" si="10"/>
        <v/>
      </c>
      <c r="K31" s="426" t="str">
        <f t="shared" si="11"/>
        <v/>
      </c>
      <c r="L31" s="426" t="str">
        <f t="shared" si="12"/>
        <v/>
      </c>
      <c r="M31" s="426" t="str">
        <f t="shared" si="13"/>
        <v/>
      </c>
      <c r="N31" s="426" t="str">
        <f t="shared" si="14"/>
        <v/>
      </c>
      <c r="O31" s="426" t="str">
        <f t="shared" si="15"/>
        <v/>
      </c>
      <c r="P31" s="426" t="str">
        <f t="shared" si="16"/>
        <v/>
      </c>
      <c r="Q31" s="606" t="str">
        <f t="shared" si="17"/>
        <v/>
      </c>
      <c r="R31" s="427" t="str">
        <f t="shared" si="18"/>
        <v/>
      </c>
      <c r="S31" s="425" t="str">
        <f>IF($B31="","",IF('Prop DUOS'!E30="",0,'Prop DUOS'!E30))</f>
        <v/>
      </c>
      <c r="T31" s="426" t="str">
        <f>IF($B31="","",IF('Prop DUOS'!F30="",0,'Prop DUOS'!F30))</f>
        <v/>
      </c>
      <c r="U31" s="426" t="str">
        <f>IF($B31="","",IF('Prop DUOS'!G30="",0,'Prop DUOS'!G30))</f>
        <v/>
      </c>
      <c r="V31" s="426" t="str">
        <f>IF($B31="","",IF('Prop DUOS'!H30="",0,'Prop DUOS'!H30))</f>
        <v/>
      </c>
      <c r="W31" s="426" t="str">
        <f>IF($B31="","",IF('Prop DUOS'!I30="",0,'Prop DUOS'!I30))</f>
        <v/>
      </c>
      <c r="X31" s="426" t="str">
        <f>IF($B31="","",IF('Prop DUOS'!J30="",0,'Prop DUOS'!J30))</f>
        <v/>
      </c>
      <c r="Y31" s="426" t="str">
        <f>IF($B31="","",IF('Prop DUOS'!K30="",0,'Prop DUOS'!K30))</f>
        <v/>
      </c>
      <c r="Z31" s="426" t="str">
        <f>IF($B31="","",IF('Prop DUOS'!L30="",0,'Prop DUOS'!L30))</f>
        <v/>
      </c>
      <c r="AA31" s="426" t="str">
        <f>IF($B31="","",IF('Prop DUOS'!M30="",0,'Prop DUOS'!M30))</f>
        <v/>
      </c>
      <c r="AB31" s="426" t="str">
        <f>IF($B31="","",IF('Prop DUOS'!N30="",0,'Prop DUOS'!N30))</f>
        <v/>
      </c>
      <c r="AC31" s="426" t="str">
        <f>IF($B31="","",IF('Prop DUOS'!O30="",0,'Prop DUOS'!O30))</f>
        <v/>
      </c>
      <c r="AD31" s="426" t="str">
        <f>IF($B31="","",IF('Prop DUOS'!P30="",0,'Prop DUOS'!P30))</f>
        <v/>
      </c>
      <c r="AE31" s="426" t="str">
        <f>IF($B31="","",IF('Prop DUOS'!Q30="",0,'Prop DUOS'!Q30))</f>
        <v/>
      </c>
      <c r="AF31" s="606" t="str">
        <f>IF($B31="","",IF('Prop DUOS'!R30="",0,'Prop DUOS'!R30))</f>
        <v/>
      </c>
      <c r="AG31" s="427" t="str">
        <f>IF($B31="","",IF('Prop DUOS'!S30="",0,'Prop DUOS'!S30))</f>
        <v/>
      </c>
      <c r="AH31" s="425" t="str">
        <f>IF($B31="","",IF('Prop TUOS'!D30="",0,'Prop TUOS'!D30))</f>
        <v/>
      </c>
      <c r="AI31" s="426" t="str">
        <f>IF($B31="","",IF('Prop TUOS'!E30="",0,'Prop TUOS'!E30))</f>
        <v/>
      </c>
      <c r="AJ31" s="426" t="str">
        <f>IF($B31="","",IF('Prop TUOS'!F30="",0,'Prop TUOS'!F30))</f>
        <v/>
      </c>
      <c r="AK31" s="426" t="str">
        <f>IF($B31="","",IF('Prop TUOS'!G30="",0,'Prop TUOS'!G30))</f>
        <v/>
      </c>
      <c r="AL31" s="426" t="str">
        <f>IF($B31="","",IF('Prop TUOS'!H30="",0,'Prop TUOS'!H30))</f>
        <v/>
      </c>
      <c r="AM31" s="426" t="str">
        <f>IF($B31="","",IF('Prop TUOS'!I30="",0,'Prop TUOS'!I30))</f>
        <v/>
      </c>
      <c r="AN31" s="426" t="str">
        <f>IF($B31="","",IF('Prop TUOS'!J30="",0,'Prop TUOS'!J30))</f>
        <v/>
      </c>
      <c r="AO31" s="426" t="str">
        <f>IF($B31="","",IF('Prop TUOS'!K30="",0,'Prop TUOS'!K30))</f>
        <v/>
      </c>
      <c r="AP31" s="426" t="str">
        <f>IF($B31="","",IF('Prop TUOS'!L30="",0,'Prop TUOS'!L30))</f>
        <v/>
      </c>
      <c r="AQ31" s="426" t="str">
        <f>IF($B31="","",IF('Prop TUOS'!M30="",0,'Prop TUOS'!M30))</f>
        <v/>
      </c>
      <c r="AR31" s="426" t="str">
        <f>IF($B31="","",IF('Prop TUOS'!N30="",0,'Prop TUOS'!N30))</f>
        <v/>
      </c>
      <c r="AS31" s="426" t="str">
        <f>IF($B31="","",IF('Prop TUOS'!O30="",0,'Prop TUOS'!O30))</f>
        <v/>
      </c>
      <c r="AT31" s="426" t="str">
        <f>IF($B31="","",IF('Prop TUOS'!P30="",0,'Prop TUOS'!P30))</f>
        <v/>
      </c>
      <c r="AU31" s="606" t="str">
        <f>IF($B31="","",IF('Prop TUOS'!Q30="",0,'Prop TUOS'!Q30))</f>
        <v/>
      </c>
      <c r="AV31" s="427" t="str">
        <f>IF($B31="","",IF('Prop TUOS'!R30="",0,'Prop TUOS'!R30))</f>
        <v/>
      </c>
      <c r="AW31" s="425" t="str">
        <f>IF($B31="","",IF('Prop JUOS'!D30="",0,'Prop JUOS'!D30))</f>
        <v/>
      </c>
      <c r="AX31" s="426" t="str">
        <f>IF($B31="","",IF('Prop JUOS'!E30="",0,'Prop JUOS'!E30))</f>
        <v/>
      </c>
      <c r="AY31" s="426" t="str">
        <f>IF($B31="","",IF('Prop JUOS'!F30="",0,'Prop JUOS'!F30))</f>
        <v/>
      </c>
      <c r="AZ31" s="426" t="str">
        <f>IF($B31="","",IF('Prop JUOS'!G30="",0,'Prop JUOS'!G30))</f>
        <v/>
      </c>
      <c r="BA31" s="426" t="str">
        <f>IF($B31="","",IF('Prop JUOS'!H30="",0,'Prop JUOS'!H30))</f>
        <v/>
      </c>
      <c r="BB31" s="426" t="str">
        <f>IF($B31="","",IF('Prop JUOS'!I30="",0,'Prop JUOS'!I30))</f>
        <v/>
      </c>
      <c r="BC31" s="426" t="str">
        <f>IF($B31="","",IF('Prop JUOS'!J30="",0,'Prop JUOS'!J30))</f>
        <v/>
      </c>
      <c r="BD31" s="426" t="str">
        <f>IF($B31="","",IF('Prop JUOS'!K30="",0,'Prop JUOS'!K30))</f>
        <v/>
      </c>
      <c r="BE31" s="426" t="str">
        <f>IF($B31="","",IF('Prop JUOS'!L30="",0,'Prop JUOS'!L30))</f>
        <v/>
      </c>
      <c r="BF31" s="426" t="str">
        <f>IF($B31="","",IF('Prop JUOS'!M30="",0,'Prop JUOS'!M30))</f>
        <v/>
      </c>
      <c r="BG31" s="426" t="str">
        <f>IF($B31="","",IF('Prop JUOS'!N30="",0,'Prop JUOS'!N30))</f>
        <v/>
      </c>
      <c r="BH31" s="426" t="str">
        <f>IF($B31="","",IF('Prop JUOS'!O30="",0,'Prop JUOS'!O30))</f>
        <v/>
      </c>
      <c r="BI31" s="426" t="str">
        <f>IF($B31="","",IF('Prop JUOS'!P30="",0,'Prop JUOS'!P30))</f>
        <v/>
      </c>
      <c r="BJ31" s="606" t="str">
        <f>IF($B31="","",IF('Prop JUOS'!Q30="",0,'Prop JUOS'!Q30))</f>
        <v/>
      </c>
      <c r="BK31" s="427" t="str">
        <f>IF($B31="","",IF('Prop JUOS'!R30="",0,'Prop JUOS'!R30))</f>
        <v/>
      </c>
    </row>
    <row r="32" spans="2:63">
      <c r="B32" s="416" t="str">
        <f>IF('Prop DUOS'!B31="","",'Prop DUOS'!B31)</f>
        <v/>
      </c>
      <c r="C32" s="376" t="str">
        <f>IF(B32="","",INDEX('Side constraints'!$C$33:$C$92,MATCH('Prop DUOS'!B31,'Side constraints'!$D$33:$D$92,0),1))</f>
        <v/>
      </c>
      <c r="D32" s="425" t="str">
        <f t="shared" si="4"/>
        <v/>
      </c>
      <c r="E32" s="426" t="str">
        <f t="shared" si="5"/>
        <v/>
      </c>
      <c r="F32" s="426" t="str">
        <f t="shared" si="6"/>
        <v/>
      </c>
      <c r="G32" s="426" t="str">
        <f t="shared" si="7"/>
        <v/>
      </c>
      <c r="H32" s="426" t="str">
        <f t="shared" si="8"/>
        <v/>
      </c>
      <c r="I32" s="426" t="str">
        <f t="shared" si="9"/>
        <v/>
      </c>
      <c r="J32" s="426" t="str">
        <f t="shared" si="10"/>
        <v/>
      </c>
      <c r="K32" s="426" t="str">
        <f t="shared" si="11"/>
        <v/>
      </c>
      <c r="L32" s="426" t="str">
        <f t="shared" si="12"/>
        <v/>
      </c>
      <c r="M32" s="426" t="str">
        <f t="shared" si="13"/>
        <v/>
      </c>
      <c r="N32" s="426" t="str">
        <f t="shared" si="14"/>
        <v/>
      </c>
      <c r="O32" s="426" t="str">
        <f t="shared" si="15"/>
        <v/>
      </c>
      <c r="P32" s="426" t="str">
        <f t="shared" si="16"/>
        <v/>
      </c>
      <c r="Q32" s="606" t="str">
        <f t="shared" si="17"/>
        <v/>
      </c>
      <c r="R32" s="427" t="str">
        <f t="shared" si="18"/>
        <v/>
      </c>
      <c r="S32" s="425" t="str">
        <f>IF($B32="","",IF('Prop DUOS'!E31="",0,'Prop DUOS'!E31))</f>
        <v/>
      </c>
      <c r="T32" s="426" t="str">
        <f>IF($B32="","",IF('Prop DUOS'!F31="",0,'Prop DUOS'!F31))</f>
        <v/>
      </c>
      <c r="U32" s="426" t="str">
        <f>IF($B32="","",IF('Prop DUOS'!G31="",0,'Prop DUOS'!G31))</f>
        <v/>
      </c>
      <c r="V32" s="426" t="str">
        <f>IF($B32="","",IF('Prop DUOS'!H31="",0,'Prop DUOS'!H31))</f>
        <v/>
      </c>
      <c r="W32" s="426" t="str">
        <f>IF($B32="","",IF('Prop DUOS'!I31="",0,'Prop DUOS'!I31))</f>
        <v/>
      </c>
      <c r="X32" s="426" t="str">
        <f>IF($B32="","",IF('Prop DUOS'!J31="",0,'Prop DUOS'!J31))</f>
        <v/>
      </c>
      <c r="Y32" s="426" t="str">
        <f>IF($B32="","",IF('Prop DUOS'!K31="",0,'Prop DUOS'!K31))</f>
        <v/>
      </c>
      <c r="Z32" s="426" t="str">
        <f>IF($B32="","",IF('Prop DUOS'!L31="",0,'Prop DUOS'!L31))</f>
        <v/>
      </c>
      <c r="AA32" s="426" t="str">
        <f>IF($B32="","",IF('Prop DUOS'!M31="",0,'Prop DUOS'!M31))</f>
        <v/>
      </c>
      <c r="AB32" s="426" t="str">
        <f>IF($B32="","",IF('Prop DUOS'!N31="",0,'Prop DUOS'!N31))</f>
        <v/>
      </c>
      <c r="AC32" s="426" t="str">
        <f>IF($B32="","",IF('Prop DUOS'!O31="",0,'Prop DUOS'!O31))</f>
        <v/>
      </c>
      <c r="AD32" s="426" t="str">
        <f>IF($B32="","",IF('Prop DUOS'!P31="",0,'Prop DUOS'!P31))</f>
        <v/>
      </c>
      <c r="AE32" s="426" t="str">
        <f>IF($B32="","",IF('Prop DUOS'!Q31="",0,'Prop DUOS'!Q31))</f>
        <v/>
      </c>
      <c r="AF32" s="606" t="str">
        <f>IF($B32="","",IF('Prop DUOS'!R31="",0,'Prop DUOS'!R31))</f>
        <v/>
      </c>
      <c r="AG32" s="427" t="str">
        <f>IF($B32="","",IF('Prop DUOS'!S31="",0,'Prop DUOS'!S31))</f>
        <v/>
      </c>
      <c r="AH32" s="425" t="str">
        <f>IF($B32="","",IF('Prop TUOS'!D31="",0,'Prop TUOS'!D31))</f>
        <v/>
      </c>
      <c r="AI32" s="426" t="str">
        <f>IF($B32="","",IF('Prop TUOS'!E31="",0,'Prop TUOS'!E31))</f>
        <v/>
      </c>
      <c r="AJ32" s="426" t="str">
        <f>IF($B32="","",IF('Prop TUOS'!F31="",0,'Prop TUOS'!F31))</f>
        <v/>
      </c>
      <c r="AK32" s="426" t="str">
        <f>IF($B32="","",IF('Prop TUOS'!G31="",0,'Prop TUOS'!G31))</f>
        <v/>
      </c>
      <c r="AL32" s="426" t="str">
        <f>IF($B32="","",IF('Prop TUOS'!H31="",0,'Prop TUOS'!H31))</f>
        <v/>
      </c>
      <c r="AM32" s="426" t="str">
        <f>IF($B32="","",IF('Prop TUOS'!I31="",0,'Prop TUOS'!I31))</f>
        <v/>
      </c>
      <c r="AN32" s="426" t="str">
        <f>IF($B32="","",IF('Prop TUOS'!J31="",0,'Prop TUOS'!J31))</f>
        <v/>
      </c>
      <c r="AO32" s="426" t="str">
        <f>IF($B32="","",IF('Prop TUOS'!K31="",0,'Prop TUOS'!K31))</f>
        <v/>
      </c>
      <c r="AP32" s="426" t="str">
        <f>IF($B32="","",IF('Prop TUOS'!L31="",0,'Prop TUOS'!L31))</f>
        <v/>
      </c>
      <c r="AQ32" s="426" t="str">
        <f>IF($B32="","",IF('Prop TUOS'!M31="",0,'Prop TUOS'!M31))</f>
        <v/>
      </c>
      <c r="AR32" s="426" t="str">
        <f>IF($B32="","",IF('Prop TUOS'!N31="",0,'Prop TUOS'!N31))</f>
        <v/>
      </c>
      <c r="AS32" s="426" t="str">
        <f>IF($B32="","",IF('Prop TUOS'!O31="",0,'Prop TUOS'!O31))</f>
        <v/>
      </c>
      <c r="AT32" s="426" t="str">
        <f>IF($B32="","",IF('Prop TUOS'!P31="",0,'Prop TUOS'!P31))</f>
        <v/>
      </c>
      <c r="AU32" s="606" t="str">
        <f>IF($B32="","",IF('Prop TUOS'!Q31="",0,'Prop TUOS'!Q31))</f>
        <v/>
      </c>
      <c r="AV32" s="427" t="str">
        <f>IF($B32="","",IF('Prop TUOS'!R31="",0,'Prop TUOS'!R31))</f>
        <v/>
      </c>
      <c r="AW32" s="425" t="str">
        <f>IF($B32="","",IF('Prop JUOS'!D31="",0,'Prop JUOS'!D31))</f>
        <v/>
      </c>
      <c r="AX32" s="426" t="str">
        <f>IF($B32="","",IF('Prop JUOS'!E31="",0,'Prop JUOS'!E31))</f>
        <v/>
      </c>
      <c r="AY32" s="426" t="str">
        <f>IF($B32="","",IF('Prop JUOS'!F31="",0,'Prop JUOS'!F31))</f>
        <v/>
      </c>
      <c r="AZ32" s="426" t="str">
        <f>IF($B32="","",IF('Prop JUOS'!G31="",0,'Prop JUOS'!G31))</f>
        <v/>
      </c>
      <c r="BA32" s="426" t="str">
        <f>IF($B32="","",IF('Prop JUOS'!H31="",0,'Prop JUOS'!H31))</f>
        <v/>
      </c>
      <c r="BB32" s="426" t="str">
        <f>IF($B32="","",IF('Prop JUOS'!I31="",0,'Prop JUOS'!I31))</f>
        <v/>
      </c>
      <c r="BC32" s="426" t="str">
        <f>IF($B32="","",IF('Prop JUOS'!J31="",0,'Prop JUOS'!J31))</f>
        <v/>
      </c>
      <c r="BD32" s="426" t="str">
        <f>IF($B32="","",IF('Prop JUOS'!K31="",0,'Prop JUOS'!K31))</f>
        <v/>
      </c>
      <c r="BE32" s="426" t="str">
        <f>IF($B32="","",IF('Prop JUOS'!L31="",0,'Prop JUOS'!L31))</f>
        <v/>
      </c>
      <c r="BF32" s="426" t="str">
        <f>IF($B32="","",IF('Prop JUOS'!M31="",0,'Prop JUOS'!M31))</f>
        <v/>
      </c>
      <c r="BG32" s="426" t="str">
        <f>IF($B32="","",IF('Prop JUOS'!N31="",0,'Prop JUOS'!N31))</f>
        <v/>
      </c>
      <c r="BH32" s="426" t="str">
        <f>IF($B32="","",IF('Prop JUOS'!O31="",0,'Prop JUOS'!O31))</f>
        <v/>
      </c>
      <c r="BI32" s="426" t="str">
        <f>IF($B32="","",IF('Prop JUOS'!P31="",0,'Prop JUOS'!P31))</f>
        <v/>
      </c>
      <c r="BJ32" s="606" t="str">
        <f>IF($B32="","",IF('Prop JUOS'!Q31="",0,'Prop JUOS'!Q31))</f>
        <v/>
      </c>
      <c r="BK32" s="427" t="str">
        <f>IF($B32="","",IF('Prop JUOS'!R31="",0,'Prop JUOS'!R31))</f>
        <v/>
      </c>
    </row>
    <row r="33" spans="2:63">
      <c r="B33" s="416" t="str">
        <f>IF('Prop DUOS'!B32="","",'Prop DUOS'!B32)</f>
        <v/>
      </c>
      <c r="C33" s="376" t="str">
        <f>IF(B33="","",INDEX('Side constraints'!$C$33:$C$92,MATCH('Prop DUOS'!B32,'Side constraints'!$D$33:$D$92,0),1))</f>
        <v/>
      </c>
      <c r="D33" s="425" t="str">
        <f t="shared" si="4"/>
        <v/>
      </c>
      <c r="E33" s="426" t="str">
        <f t="shared" si="5"/>
        <v/>
      </c>
      <c r="F33" s="426" t="str">
        <f t="shared" si="6"/>
        <v/>
      </c>
      <c r="G33" s="426" t="str">
        <f t="shared" si="7"/>
        <v/>
      </c>
      <c r="H33" s="426" t="str">
        <f t="shared" si="8"/>
        <v/>
      </c>
      <c r="I33" s="426" t="str">
        <f t="shared" si="9"/>
        <v/>
      </c>
      <c r="J33" s="426" t="str">
        <f t="shared" si="10"/>
        <v/>
      </c>
      <c r="K33" s="426" t="str">
        <f t="shared" si="11"/>
        <v/>
      </c>
      <c r="L33" s="426" t="str">
        <f t="shared" si="12"/>
        <v/>
      </c>
      <c r="M33" s="426" t="str">
        <f t="shared" si="13"/>
        <v/>
      </c>
      <c r="N33" s="426" t="str">
        <f t="shared" si="14"/>
        <v/>
      </c>
      <c r="O33" s="426" t="str">
        <f t="shared" si="15"/>
        <v/>
      </c>
      <c r="P33" s="426" t="str">
        <f t="shared" si="16"/>
        <v/>
      </c>
      <c r="Q33" s="606" t="str">
        <f t="shared" si="17"/>
        <v/>
      </c>
      <c r="R33" s="427" t="str">
        <f t="shared" si="18"/>
        <v/>
      </c>
      <c r="S33" s="425" t="str">
        <f>IF($B33="","",IF('Prop DUOS'!E32="",0,'Prop DUOS'!E32))</f>
        <v/>
      </c>
      <c r="T33" s="426" t="str">
        <f>IF($B33="","",IF('Prop DUOS'!F32="",0,'Prop DUOS'!F32))</f>
        <v/>
      </c>
      <c r="U33" s="426" t="str">
        <f>IF($B33="","",IF('Prop DUOS'!G32="",0,'Prop DUOS'!G32))</f>
        <v/>
      </c>
      <c r="V33" s="426" t="str">
        <f>IF($B33="","",IF('Prop DUOS'!H32="",0,'Prop DUOS'!H32))</f>
        <v/>
      </c>
      <c r="W33" s="426" t="str">
        <f>IF($B33="","",IF('Prop DUOS'!I32="",0,'Prop DUOS'!I32))</f>
        <v/>
      </c>
      <c r="X33" s="426" t="str">
        <f>IF($B33="","",IF('Prop DUOS'!J32="",0,'Prop DUOS'!J32))</f>
        <v/>
      </c>
      <c r="Y33" s="426" t="str">
        <f>IF($B33="","",IF('Prop DUOS'!K32="",0,'Prop DUOS'!K32))</f>
        <v/>
      </c>
      <c r="Z33" s="426" t="str">
        <f>IF($B33="","",IF('Prop DUOS'!L32="",0,'Prop DUOS'!L32))</f>
        <v/>
      </c>
      <c r="AA33" s="426" t="str">
        <f>IF($B33="","",IF('Prop DUOS'!M32="",0,'Prop DUOS'!M32))</f>
        <v/>
      </c>
      <c r="AB33" s="426" t="str">
        <f>IF($B33="","",IF('Prop DUOS'!N32="",0,'Prop DUOS'!N32))</f>
        <v/>
      </c>
      <c r="AC33" s="426" t="str">
        <f>IF($B33="","",IF('Prop DUOS'!O32="",0,'Prop DUOS'!O32))</f>
        <v/>
      </c>
      <c r="AD33" s="426" t="str">
        <f>IF($B33="","",IF('Prop DUOS'!P32="",0,'Prop DUOS'!P32))</f>
        <v/>
      </c>
      <c r="AE33" s="426" t="str">
        <f>IF($B33="","",IF('Prop DUOS'!Q32="",0,'Prop DUOS'!Q32))</f>
        <v/>
      </c>
      <c r="AF33" s="606" t="str">
        <f>IF($B33="","",IF('Prop DUOS'!R32="",0,'Prop DUOS'!R32))</f>
        <v/>
      </c>
      <c r="AG33" s="427" t="str">
        <f>IF($B33="","",IF('Prop DUOS'!S32="",0,'Prop DUOS'!S32))</f>
        <v/>
      </c>
      <c r="AH33" s="425" t="str">
        <f>IF($B33="","",IF('Prop TUOS'!D32="",0,'Prop TUOS'!D32))</f>
        <v/>
      </c>
      <c r="AI33" s="426" t="str">
        <f>IF($B33="","",IF('Prop TUOS'!E32="",0,'Prop TUOS'!E32))</f>
        <v/>
      </c>
      <c r="AJ33" s="426" t="str">
        <f>IF($B33="","",IF('Prop TUOS'!F32="",0,'Prop TUOS'!F32))</f>
        <v/>
      </c>
      <c r="AK33" s="426" t="str">
        <f>IF($B33="","",IF('Prop TUOS'!G32="",0,'Prop TUOS'!G32))</f>
        <v/>
      </c>
      <c r="AL33" s="426" t="str">
        <f>IF($B33="","",IF('Prop TUOS'!H32="",0,'Prop TUOS'!H32))</f>
        <v/>
      </c>
      <c r="AM33" s="426" t="str">
        <f>IF($B33="","",IF('Prop TUOS'!I32="",0,'Prop TUOS'!I32))</f>
        <v/>
      </c>
      <c r="AN33" s="426" t="str">
        <f>IF($B33="","",IF('Prop TUOS'!J32="",0,'Prop TUOS'!J32))</f>
        <v/>
      </c>
      <c r="AO33" s="426" t="str">
        <f>IF($B33="","",IF('Prop TUOS'!K32="",0,'Prop TUOS'!K32))</f>
        <v/>
      </c>
      <c r="AP33" s="426" t="str">
        <f>IF($B33="","",IF('Prop TUOS'!L32="",0,'Prop TUOS'!L32))</f>
        <v/>
      </c>
      <c r="AQ33" s="426" t="str">
        <f>IF($B33="","",IF('Prop TUOS'!M32="",0,'Prop TUOS'!M32))</f>
        <v/>
      </c>
      <c r="AR33" s="426" t="str">
        <f>IF($B33="","",IF('Prop TUOS'!N32="",0,'Prop TUOS'!N32))</f>
        <v/>
      </c>
      <c r="AS33" s="426" t="str">
        <f>IF($B33="","",IF('Prop TUOS'!O32="",0,'Prop TUOS'!O32))</f>
        <v/>
      </c>
      <c r="AT33" s="426" t="str">
        <f>IF($B33="","",IF('Prop TUOS'!P32="",0,'Prop TUOS'!P32))</f>
        <v/>
      </c>
      <c r="AU33" s="606" t="str">
        <f>IF($B33="","",IF('Prop TUOS'!Q32="",0,'Prop TUOS'!Q32))</f>
        <v/>
      </c>
      <c r="AV33" s="427" t="str">
        <f>IF($B33="","",IF('Prop TUOS'!R32="",0,'Prop TUOS'!R32))</f>
        <v/>
      </c>
      <c r="AW33" s="425" t="str">
        <f>IF($B33="","",IF('Prop JUOS'!D32="",0,'Prop JUOS'!D32))</f>
        <v/>
      </c>
      <c r="AX33" s="426" t="str">
        <f>IF($B33="","",IF('Prop JUOS'!E32="",0,'Prop JUOS'!E32))</f>
        <v/>
      </c>
      <c r="AY33" s="426" t="str">
        <f>IF($B33="","",IF('Prop JUOS'!F32="",0,'Prop JUOS'!F32))</f>
        <v/>
      </c>
      <c r="AZ33" s="426" t="str">
        <f>IF($B33="","",IF('Prop JUOS'!G32="",0,'Prop JUOS'!G32))</f>
        <v/>
      </c>
      <c r="BA33" s="426" t="str">
        <f>IF($B33="","",IF('Prop JUOS'!H32="",0,'Prop JUOS'!H32))</f>
        <v/>
      </c>
      <c r="BB33" s="426" t="str">
        <f>IF($B33="","",IF('Prop JUOS'!I32="",0,'Prop JUOS'!I32))</f>
        <v/>
      </c>
      <c r="BC33" s="426" t="str">
        <f>IF($B33="","",IF('Prop JUOS'!J32="",0,'Prop JUOS'!J32))</f>
        <v/>
      </c>
      <c r="BD33" s="426" t="str">
        <f>IF($B33="","",IF('Prop JUOS'!K32="",0,'Prop JUOS'!K32))</f>
        <v/>
      </c>
      <c r="BE33" s="426" t="str">
        <f>IF($B33="","",IF('Prop JUOS'!L32="",0,'Prop JUOS'!L32))</f>
        <v/>
      </c>
      <c r="BF33" s="426" t="str">
        <f>IF($B33="","",IF('Prop JUOS'!M32="",0,'Prop JUOS'!M32))</f>
        <v/>
      </c>
      <c r="BG33" s="426" t="str">
        <f>IF($B33="","",IF('Prop JUOS'!N32="",0,'Prop JUOS'!N32))</f>
        <v/>
      </c>
      <c r="BH33" s="426" t="str">
        <f>IF($B33="","",IF('Prop JUOS'!O32="",0,'Prop JUOS'!O32))</f>
        <v/>
      </c>
      <c r="BI33" s="426" t="str">
        <f>IF($B33="","",IF('Prop JUOS'!P32="",0,'Prop JUOS'!P32))</f>
        <v/>
      </c>
      <c r="BJ33" s="606" t="str">
        <f>IF($B33="","",IF('Prop JUOS'!Q32="",0,'Prop JUOS'!Q32))</f>
        <v/>
      </c>
      <c r="BK33" s="427" t="str">
        <f>IF($B33="","",IF('Prop JUOS'!R32="",0,'Prop JUOS'!R32))</f>
        <v/>
      </c>
    </row>
    <row r="34" spans="2:63">
      <c r="B34" s="416" t="str">
        <f>IF('Prop DUOS'!B33="","",'Prop DUOS'!B33)</f>
        <v/>
      </c>
      <c r="C34" s="376" t="str">
        <f>IF(B34="","",INDEX('Side constraints'!$C$33:$C$92,MATCH('Prop DUOS'!B33,'Side constraints'!$D$33:$D$92,0),1))</f>
        <v/>
      </c>
      <c r="D34" s="425" t="str">
        <f t="shared" si="4"/>
        <v/>
      </c>
      <c r="E34" s="426" t="str">
        <f t="shared" si="5"/>
        <v/>
      </c>
      <c r="F34" s="426" t="str">
        <f t="shared" si="6"/>
        <v/>
      </c>
      <c r="G34" s="426" t="str">
        <f t="shared" si="7"/>
        <v/>
      </c>
      <c r="H34" s="426" t="str">
        <f t="shared" si="8"/>
        <v/>
      </c>
      <c r="I34" s="426" t="str">
        <f t="shared" si="9"/>
        <v/>
      </c>
      <c r="J34" s="426" t="str">
        <f t="shared" si="10"/>
        <v/>
      </c>
      <c r="K34" s="426" t="str">
        <f t="shared" si="11"/>
        <v/>
      </c>
      <c r="L34" s="426" t="str">
        <f t="shared" si="12"/>
        <v/>
      </c>
      <c r="M34" s="426" t="str">
        <f t="shared" si="13"/>
        <v/>
      </c>
      <c r="N34" s="426" t="str">
        <f t="shared" si="14"/>
        <v/>
      </c>
      <c r="O34" s="426" t="str">
        <f t="shared" si="15"/>
        <v/>
      </c>
      <c r="P34" s="426" t="str">
        <f t="shared" si="16"/>
        <v/>
      </c>
      <c r="Q34" s="606" t="str">
        <f t="shared" si="17"/>
        <v/>
      </c>
      <c r="R34" s="427" t="str">
        <f t="shared" si="18"/>
        <v/>
      </c>
      <c r="S34" s="425" t="str">
        <f>IF($B34="","",IF('Prop DUOS'!E33="",0,'Prop DUOS'!E33))</f>
        <v/>
      </c>
      <c r="T34" s="426" t="str">
        <f>IF($B34="","",IF('Prop DUOS'!F33="",0,'Prop DUOS'!F33))</f>
        <v/>
      </c>
      <c r="U34" s="426" t="str">
        <f>IF($B34="","",IF('Prop DUOS'!G33="",0,'Prop DUOS'!G33))</f>
        <v/>
      </c>
      <c r="V34" s="426" t="str">
        <f>IF($B34="","",IF('Prop DUOS'!H33="",0,'Prop DUOS'!H33))</f>
        <v/>
      </c>
      <c r="W34" s="426" t="str">
        <f>IF($B34="","",IF('Prop DUOS'!I33="",0,'Prop DUOS'!I33))</f>
        <v/>
      </c>
      <c r="X34" s="426" t="str">
        <f>IF($B34="","",IF('Prop DUOS'!J33="",0,'Prop DUOS'!J33))</f>
        <v/>
      </c>
      <c r="Y34" s="426" t="str">
        <f>IF($B34="","",IF('Prop DUOS'!K33="",0,'Prop DUOS'!K33))</f>
        <v/>
      </c>
      <c r="Z34" s="426" t="str">
        <f>IF($B34="","",IF('Prop DUOS'!L33="",0,'Prop DUOS'!L33))</f>
        <v/>
      </c>
      <c r="AA34" s="426" t="str">
        <f>IF($B34="","",IF('Prop DUOS'!M33="",0,'Prop DUOS'!M33))</f>
        <v/>
      </c>
      <c r="AB34" s="426" t="str">
        <f>IF($B34="","",IF('Prop DUOS'!N33="",0,'Prop DUOS'!N33))</f>
        <v/>
      </c>
      <c r="AC34" s="426" t="str">
        <f>IF($B34="","",IF('Prop DUOS'!O33="",0,'Prop DUOS'!O33))</f>
        <v/>
      </c>
      <c r="AD34" s="426" t="str">
        <f>IF($B34="","",IF('Prop DUOS'!P33="",0,'Prop DUOS'!P33))</f>
        <v/>
      </c>
      <c r="AE34" s="426" t="str">
        <f>IF($B34="","",IF('Prop DUOS'!Q33="",0,'Prop DUOS'!Q33))</f>
        <v/>
      </c>
      <c r="AF34" s="606" t="str">
        <f>IF($B34="","",IF('Prop DUOS'!R33="",0,'Prop DUOS'!R33))</f>
        <v/>
      </c>
      <c r="AG34" s="427" t="str">
        <f>IF($B34="","",IF('Prop DUOS'!S33="",0,'Prop DUOS'!S33))</f>
        <v/>
      </c>
      <c r="AH34" s="425" t="str">
        <f>IF($B34="","",IF('Prop TUOS'!D33="",0,'Prop TUOS'!D33))</f>
        <v/>
      </c>
      <c r="AI34" s="426" t="str">
        <f>IF($B34="","",IF('Prop TUOS'!E33="",0,'Prop TUOS'!E33))</f>
        <v/>
      </c>
      <c r="AJ34" s="426" t="str">
        <f>IF($B34="","",IF('Prop TUOS'!F33="",0,'Prop TUOS'!F33))</f>
        <v/>
      </c>
      <c r="AK34" s="426" t="str">
        <f>IF($B34="","",IF('Prop TUOS'!G33="",0,'Prop TUOS'!G33))</f>
        <v/>
      </c>
      <c r="AL34" s="426" t="str">
        <f>IF($B34="","",IF('Prop TUOS'!H33="",0,'Prop TUOS'!H33))</f>
        <v/>
      </c>
      <c r="AM34" s="426" t="str">
        <f>IF($B34="","",IF('Prop TUOS'!I33="",0,'Prop TUOS'!I33))</f>
        <v/>
      </c>
      <c r="AN34" s="426" t="str">
        <f>IF($B34="","",IF('Prop TUOS'!J33="",0,'Prop TUOS'!J33))</f>
        <v/>
      </c>
      <c r="AO34" s="426" t="str">
        <f>IF($B34="","",IF('Prop TUOS'!K33="",0,'Prop TUOS'!K33))</f>
        <v/>
      </c>
      <c r="AP34" s="426" t="str">
        <f>IF($B34="","",IF('Prop TUOS'!L33="",0,'Prop TUOS'!L33))</f>
        <v/>
      </c>
      <c r="AQ34" s="426" t="str">
        <f>IF($B34="","",IF('Prop TUOS'!M33="",0,'Prop TUOS'!M33))</f>
        <v/>
      </c>
      <c r="AR34" s="426" t="str">
        <f>IF($B34="","",IF('Prop TUOS'!N33="",0,'Prop TUOS'!N33))</f>
        <v/>
      </c>
      <c r="AS34" s="426" t="str">
        <f>IF($B34="","",IF('Prop TUOS'!O33="",0,'Prop TUOS'!O33))</f>
        <v/>
      </c>
      <c r="AT34" s="426" t="str">
        <f>IF($B34="","",IF('Prop TUOS'!P33="",0,'Prop TUOS'!P33))</f>
        <v/>
      </c>
      <c r="AU34" s="606" t="str">
        <f>IF($B34="","",IF('Prop TUOS'!Q33="",0,'Prop TUOS'!Q33))</f>
        <v/>
      </c>
      <c r="AV34" s="427" t="str">
        <f>IF($B34="","",IF('Prop TUOS'!R33="",0,'Prop TUOS'!R33))</f>
        <v/>
      </c>
      <c r="AW34" s="425" t="str">
        <f>IF($B34="","",IF('Prop JUOS'!D33="",0,'Prop JUOS'!D33))</f>
        <v/>
      </c>
      <c r="AX34" s="426" t="str">
        <f>IF($B34="","",IF('Prop JUOS'!E33="",0,'Prop JUOS'!E33))</f>
        <v/>
      </c>
      <c r="AY34" s="426" t="str">
        <f>IF($B34="","",IF('Prop JUOS'!F33="",0,'Prop JUOS'!F33))</f>
        <v/>
      </c>
      <c r="AZ34" s="426" t="str">
        <f>IF($B34="","",IF('Prop JUOS'!G33="",0,'Prop JUOS'!G33))</f>
        <v/>
      </c>
      <c r="BA34" s="426" t="str">
        <f>IF($B34="","",IF('Prop JUOS'!H33="",0,'Prop JUOS'!H33))</f>
        <v/>
      </c>
      <c r="BB34" s="426" t="str">
        <f>IF($B34="","",IF('Prop JUOS'!I33="",0,'Prop JUOS'!I33))</f>
        <v/>
      </c>
      <c r="BC34" s="426" t="str">
        <f>IF($B34="","",IF('Prop JUOS'!J33="",0,'Prop JUOS'!J33))</f>
        <v/>
      </c>
      <c r="BD34" s="426" t="str">
        <f>IF($B34="","",IF('Prop JUOS'!K33="",0,'Prop JUOS'!K33))</f>
        <v/>
      </c>
      <c r="BE34" s="426" t="str">
        <f>IF($B34="","",IF('Prop JUOS'!L33="",0,'Prop JUOS'!L33))</f>
        <v/>
      </c>
      <c r="BF34" s="426" t="str">
        <f>IF($B34="","",IF('Prop JUOS'!M33="",0,'Prop JUOS'!M33))</f>
        <v/>
      </c>
      <c r="BG34" s="426" t="str">
        <f>IF($B34="","",IF('Prop JUOS'!N33="",0,'Prop JUOS'!N33))</f>
        <v/>
      </c>
      <c r="BH34" s="426" t="str">
        <f>IF($B34="","",IF('Prop JUOS'!O33="",0,'Prop JUOS'!O33))</f>
        <v/>
      </c>
      <c r="BI34" s="426" t="str">
        <f>IF($B34="","",IF('Prop JUOS'!P33="",0,'Prop JUOS'!P33))</f>
        <v/>
      </c>
      <c r="BJ34" s="606" t="str">
        <f>IF($B34="","",IF('Prop JUOS'!Q33="",0,'Prop JUOS'!Q33))</f>
        <v/>
      </c>
      <c r="BK34" s="427" t="str">
        <f>IF($B34="","",IF('Prop JUOS'!R33="",0,'Prop JUOS'!R33))</f>
        <v/>
      </c>
    </row>
    <row r="35" spans="2:63">
      <c r="B35" s="416" t="str">
        <f>IF('Prop DUOS'!B34="","",'Prop DUOS'!B34)</f>
        <v/>
      </c>
      <c r="C35" s="376" t="str">
        <f>IF(B35="","",INDEX('Side constraints'!$C$33:$C$92,MATCH('Prop DUOS'!B34,'Side constraints'!$D$33:$D$92,0),1))</f>
        <v/>
      </c>
      <c r="D35" s="425" t="str">
        <f t="shared" si="4"/>
        <v/>
      </c>
      <c r="E35" s="426" t="str">
        <f t="shared" si="5"/>
        <v/>
      </c>
      <c r="F35" s="426" t="str">
        <f t="shared" si="6"/>
        <v/>
      </c>
      <c r="G35" s="426" t="str">
        <f t="shared" si="7"/>
        <v/>
      </c>
      <c r="H35" s="426" t="str">
        <f t="shared" si="8"/>
        <v/>
      </c>
      <c r="I35" s="426" t="str">
        <f t="shared" si="9"/>
        <v/>
      </c>
      <c r="J35" s="426" t="str">
        <f t="shared" si="10"/>
        <v/>
      </c>
      <c r="K35" s="426" t="str">
        <f t="shared" si="11"/>
        <v/>
      </c>
      <c r="L35" s="426" t="str">
        <f t="shared" si="12"/>
        <v/>
      </c>
      <c r="M35" s="426" t="str">
        <f t="shared" si="13"/>
        <v/>
      </c>
      <c r="N35" s="426" t="str">
        <f t="shared" si="14"/>
        <v/>
      </c>
      <c r="O35" s="426" t="str">
        <f t="shared" si="15"/>
        <v/>
      </c>
      <c r="P35" s="426" t="str">
        <f t="shared" si="16"/>
        <v/>
      </c>
      <c r="Q35" s="606" t="str">
        <f t="shared" si="17"/>
        <v/>
      </c>
      <c r="R35" s="427" t="str">
        <f t="shared" si="18"/>
        <v/>
      </c>
      <c r="S35" s="425" t="str">
        <f>IF($B35="","",IF('Prop DUOS'!E34="",0,'Prop DUOS'!E34))</f>
        <v/>
      </c>
      <c r="T35" s="426" t="str">
        <f>IF($B35="","",IF('Prop DUOS'!F34="",0,'Prop DUOS'!F34))</f>
        <v/>
      </c>
      <c r="U35" s="426" t="str">
        <f>IF($B35="","",IF('Prop DUOS'!G34="",0,'Prop DUOS'!G34))</f>
        <v/>
      </c>
      <c r="V35" s="426" t="str">
        <f>IF($B35="","",IF('Prop DUOS'!H34="",0,'Prop DUOS'!H34))</f>
        <v/>
      </c>
      <c r="W35" s="426" t="str">
        <f>IF($B35="","",IF('Prop DUOS'!I34="",0,'Prop DUOS'!I34))</f>
        <v/>
      </c>
      <c r="X35" s="426" t="str">
        <f>IF($B35="","",IF('Prop DUOS'!J34="",0,'Prop DUOS'!J34))</f>
        <v/>
      </c>
      <c r="Y35" s="426" t="str">
        <f>IF($B35="","",IF('Prop DUOS'!K34="",0,'Prop DUOS'!K34))</f>
        <v/>
      </c>
      <c r="Z35" s="426" t="str">
        <f>IF($B35="","",IF('Prop DUOS'!L34="",0,'Prop DUOS'!L34))</f>
        <v/>
      </c>
      <c r="AA35" s="426" t="str">
        <f>IF($B35="","",IF('Prop DUOS'!M34="",0,'Prop DUOS'!M34))</f>
        <v/>
      </c>
      <c r="AB35" s="426" t="str">
        <f>IF($B35="","",IF('Prop DUOS'!N34="",0,'Prop DUOS'!N34))</f>
        <v/>
      </c>
      <c r="AC35" s="426" t="str">
        <f>IF($B35="","",IF('Prop DUOS'!O34="",0,'Prop DUOS'!O34))</f>
        <v/>
      </c>
      <c r="AD35" s="426" t="str">
        <f>IF($B35="","",IF('Prop DUOS'!P34="",0,'Prop DUOS'!P34))</f>
        <v/>
      </c>
      <c r="AE35" s="426" t="str">
        <f>IF($B35="","",IF('Prop DUOS'!Q34="",0,'Prop DUOS'!Q34))</f>
        <v/>
      </c>
      <c r="AF35" s="606" t="str">
        <f>IF($B35="","",IF('Prop DUOS'!R34="",0,'Prop DUOS'!R34))</f>
        <v/>
      </c>
      <c r="AG35" s="427" t="str">
        <f>IF($B35="","",IF('Prop DUOS'!S34="",0,'Prop DUOS'!S34))</f>
        <v/>
      </c>
      <c r="AH35" s="425" t="str">
        <f>IF($B35="","",IF('Prop TUOS'!D34="",0,'Prop TUOS'!D34))</f>
        <v/>
      </c>
      <c r="AI35" s="426" t="str">
        <f>IF($B35="","",IF('Prop TUOS'!E34="",0,'Prop TUOS'!E34))</f>
        <v/>
      </c>
      <c r="AJ35" s="426" t="str">
        <f>IF($B35="","",IF('Prop TUOS'!F34="",0,'Prop TUOS'!F34))</f>
        <v/>
      </c>
      <c r="AK35" s="426" t="str">
        <f>IF($B35="","",IF('Prop TUOS'!G34="",0,'Prop TUOS'!G34))</f>
        <v/>
      </c>
      <c r="AL35" s="426" t="str">
        <f>IF($B35="","",IF('Prop TUOS'!H34="",0,'Prop TUOS'!H34))</f>
        <v/>
      </c>
      <c r="AM35" s="426" t="str">
        <f>IF($B35="","",IF('Prop TUOS'!I34="",0,'Prop TUOS'!I34))</f>
        <v/>
      </c>
      <c r="AN35" s="426" t="str">
        <f>IF($B35="","",IF('Prop TUOS'!J34="",0,'Prop TUOS'!J34))</f>
        <v/>
      </c>
      <c r="AO35" s="426" t="str">
        <f>IF($B35="","",IF('Prop TUOS'!K34="",0,'Prop TUOS'!K34))</f>
        <v/>
      </c>
      <c r="AP35" s="426" t="str">
        <f>IF($B35="","",IF('Prop TUOS'!L34="",0,'Prop TUOS'!L34))</f>
        <v/>
      </c>
      <c r="AQ35" s="426" t="str">
        <f>IF($B35="","",IF('Prop TUOS'!M34="",0,'Prop TUOS'!M34))</f>
        <v/>
      </c>
      <c r="AR35" s="426" t="str">
        <f>IF($B35="","",IF('Prop TUOS'!N34="",0,'Prop TUOS'!N34))</f>
        <v/>
      </c>
      <c r="AS35" s="426" t="str">
        <f>IF($B35="","",IF('Prop TUOS'!O34="",0,'Prop TUOS'!O34))</f>
        <v/>
      </c>
      <c r="AT35" s="426" t="str">
        <f>IF($B35="","",IF('Prop TUOS'!P34="",0,'Prop TUOS'!P34))</f>
        <v/>
      </c>
      <c r="AU35" s="606" t="str">
        <f>IF($B35="","",IF('Prop TUOS'!Q34="",0,'Prop TUOS'!Q34))</f>
        <v/>
      </c>
      <c r="AV35" s="427" t="str">
        <f>IF($B35="","",IF('Prop TUOS'!R34="",0,'Prop TUOS'!R34))</f>
        <v/>
      </c>
      <c r="AW35" s="425" t="str">
        <f>IF($B35="","",IF('Prop JUOS'!D34="",0,'Prop JUOS'!D34))</f>
        <v/>
      </c>
      <c r="AX35" s="426" t="str">
        <f>IF($B35="","",IF('Prop JUOS'!E34="",0,'Prop JUOS'!E34))</f>
        <v/>
      </c>
      <c r="AY35" s="426" t="str">
        <f>IF($B35="","",IF('Prop JUOS'!F34="",0,'Prop JUOS'!F34))</f>
        <v/>
      </c>
      <c r="AZ35" s="426" t="str">
        <f>IF($B35="","",IF('Prop JUOS'!G34="",0,'Prop JUOS'!G34))</f>
        <v/>
      </c>
      <c r="BA35" s="426" t="str">
        <f>IF($B35="","",IF('Prop JUOS'!H34="",0,'Prop JUOS'!H34))</f>
        <v/>
      </c>
      <c r="BB35" s="426" t="str">
        <f>IF($B35="","",IF('Prop JUOS'!I34="",0,'Prop JUOS'!I34))</f>
        <v/>
      </c>
      <c r="BC35" s="426" t="str">
        <f>IF($B35="","",IF('Prop JUOS'!J34="",0,'Prop JUOS'!J34))</f>
        <v/>
      </c>
      <c r="BD35" s="426" t="str">
        <f>IF($B35="","",IF('Prop JUOS'!K34="",0,'Prop JUOS'!K34))</f>
        <v/>
      </c>
      <c r="BE35" s="426" t="str">
        <f>IF($B35="","",IF('Prop JUOS'!L34="",0,'Prop JUOS'!L34))</f>
        <v/>
      </c>
      <c r="BF35" s="426" t="str">
        <f>IF($B35="","",IF('Prop JUOS'!M34="",0,'Prop JUOS'!M34))</f>
        <v/>
      </c>
      <c r="BG35" s="426" t="str">
        <f>IF($B35="","",IF('Prop JUOS'!N34="",0,'Prop JUOS'!N34))</f>
        <v/>
      </c>
      <c r="BH35" s="426" t="str">
        <f>IF($B35="","",IF('Prop JUOS'!O34="",0,'Prop JUOS'!O34))</f>
        <v/>
      </c>
      <c r="BI35" s="426" t="str">
        <f>IF($B35="","",IF('Prop JUOS'!P34="",0,'Prop JUOS'!P34))</f>
        <v/>
      </c>
      <c r="BJ35" s="606" t="str">
        <f>IF($B35="","",IF('Prop JUOS'!Q34="",0,'Prop JUOS'!Q34))</f>
        <v/>
      </c>
      <c r="BK35" s="427" t="str">
        <f>IF($B35="","",IF('Prop JUOS'!R34="",0,'Prop JUOS'!R34))</f>
        <v/>
      </c>
    </row>
    <row r="36" spans="2:63">
      <c r="B36" s="416" t="str">
        <f>IF('Prop DUOS'!B35="","",'Prop DUOS'!B35)</f>
        <v/>
      </c>
      <c r="C36" s="376" t="str">
        <f>IF(B36="","",INDEX('Side constraints'!$C$33:$C$92,MATCH('Prop DUOS'!B35,'Side constraints'!$D$33:$D$92,0),1))</f>
        <v/>
      </c>
      <c r="D36" s="425" t="str">
        <f t="shared" si="4"/>
        <v/>
      </c>
      <c r="E36" s="426" t="str">
        <f t="shared" si="5"/>
        <v/>
      </c>
      <c r="F36" s="426" t="str">
        <f t="shared" si="6"/>
        <v/>
      </c>
      <c r="G36" s="426" t="str">
        <f t="shared" si="7"/>
        <v/>
      </c>
      <c r="H36" s="426" t="str">
        <f t="shared" si="8"/>
        <v/>
      </c>
      <c r="I36" s="426" t="str">
        <f t="shared" si="9"/>
        <v/>
      </c>
      <c r="J36" s="426" t="str">
        <f t="shared" si="10"/>
        <v/>
      </c>
      <c r="K36" s="426" t="str">
        <f t="shared" si="11"/>
        <v/>
      </c>
      <c r="L36" s="426" t="str">
        <f t="shared" si="12"/>
        <v/>
      </c>
      <c r="M36" s="426" t="str">
        <f t="shared" si="13"/>
        <v/>
      </c>
      <c r="N36" s="426" t="str">
        <f t="shared" si="14"/>
        <v/>
      </c>
      <c r="O36" s="426" t="str">
        <f t="shared" si="15"/>
        <v/>
      </c>
      <c r="P36" s="426" t="str">
        <f t="shared" si="16"/>
        <v/>
      </c>
      <c r="Q36" s="606" t="str">
        <f t="shared" si="17"/>
        <v/>
      </c>
      <c r="R36" s="427" t="str">
        <f t="shared" si="18"/>
        <v/>
      </c>
      <c r="S36" s="425" t="str">
        <f>IF($B36="","",IF('Prop DUOS'!E35="",0,'Prop DUOS'!E35))</f>
        <v/>
      </c>
      <c r="T36" s="426" t="str">
        <f>IF($B36="","",IF('Prop DUOS'!F35="",0,'Prop DUOS'!F35))</f>
        <v/>
      </c>
      <c r="U36" s="426" t="str">
        <f>IF($B36="","",IF('Prop DUOS'!G35="",0,'Prop DUOS'!G35))</f>
        <v/>
      </c>
      <c r="V36" s="426" t="str">
        <f>IF($B36="","",IF('Prop DUOS'!H35="",0,'Prop DUOS'!H35))</f>
        <v/>
      </c>
      <c r="W36" s="426" t="str">
        <f>IF($B36="","",IF('Prop DUOS'!I35="",0,'Prop DUOS'!I35))</f>
        <v/>
      </c>
      <c r="X36" s="426" t="str">
        <f>IF($B36="","",IF('Prop DUOS'!J35="",0,'Prop DUOS'!J35))</f>
        <v/>
      </c>
      <c r="Y36" s="426" t="str">
        <f>IF($B36="","",IF('Prop DUOS'!K35="",0,'Prop DUOS'!K35))</f>
        <v/>
      </c>
      <c r="Z36" s="426" t="str">
        <f>IF($B36="","",IF('Prop DUOS'!L35="",0,'Prop DUOS'!L35))</f>
        <v/>
      </c>
      <c r="AA36" s="426" t="str">
        <f>IF($B36="","",IF('Prop DUOS'!M35="",0,'Prop DUOS'!M35))</f>
        <v/>
      </c>
      <c r="AB36" s="426" t="str">
        <f>IF($B36="","",IF('Prop DUOS'!N35="",0,'Prop DUOS'!N35))</f>
        <v/>
      </c>
      <c r="AC36" s="426" t="str">
        <f>IF($B36="","",IF('Prop DUOS'!O35="",0,'Prop DUOS'!O35))</f>
        <v/>
      </c>
      <c r="AD36" s="426" t="str">
        <f>IF($B36="","",IF('Prop DUOS'!P35="",0,'Prop DUOS'!P35))</f>
        <v/>
      </c>
      <c r="AE36" s="426" t="str">
        <f>IF($B36="","",IF('Prop DUOS'!Q35="",0,'Prop DUOS'!Q35))</f>
        <v/>
      </c>
      <c r="AF36" s="606" t="str">
        <f>IF($B36="","",IF('Prop DUOS'!R35="",0,'Prop DUOS'!R35))</f>
        <v/>
      </c>
      <c r="AG36" s="427" t="str">
        <f>IF($B36="","",IF('Prop DUOS'!S35="",0,'Prop DUOS'!S35))</f>
        <v/>
      </c>
      <c r="AH36" s="425" t="str">
        <f>IF($B36="","",IF('Prop TUOS'!D35="",0,'Prop TUOS'!D35))</f>
        <v/>
      </c>
      <c r="AI36" s="426" t="str">
        <f>IF($B36="","",IF('Prop TUOS'!E35="",0,'Prop TUOS'!E35))</f>
        <v/>
      </c>
      <c r="AJ36" s="426" t="str">
        <f>IF($B36="","",IF('Prop TUOS'!F35="",0,'Prop TUOS'!F35))</f>
        <v/>
      </c>
      <c r="AK36" s="426" t="str">
        <f>IF($B36="","",IF('Prop TUOS'!G35="",0,'Prop TUOS'!G35))</f>
        <v/>
      </c>
      <c r="AL36" s="426" t="str">
        <f>IF($B36="","",IF('Prop TUOS'!H35="",0,'Prop TUOS'!H35))</f>
        <v/>
      </c>
      <c r="AM36" s="426" t="str">
        <f>IF($B36="","",IF('Prop TUOS'!I35="",0,'Prop TUOS'!I35))</f>
        <v/>
      </c>
      <c r="AN36" s="426" t="str">
        <f>IF($B36="","",IF('Prop TUOS'!J35="",0,'Prop TUOS'!J35))</f>
        <v/>
      </c>
      <c r="AO36" s="426" t="str">
        <f>IF($B36="","",IF('Prop TUOS'!K35="",0,'Prop TUOS'!K35))</f>
        <v/>
      </c>
      <c r="AP36" s="426" t="str">
        <f>IF($B36="","",IF('Prop TUOS'!L35="",0,'Prop TUOS'!L35))</f>
        <v/>
      </c>
      <c r="AQ36" s="426" t="str">
        <f>IF($B36="","",IF('Prop TUOS'!M35="",0,'Prop TUOS'!M35))</f>
        <v/>
      </c>
      <c r="AR36" s="426" t="str">
        <f>IF($B36="","",IF('Prop TUOS'!N35="",0,'Prop TUOS'!N35))</f>
        <v/>
      </c>
      <c r="AS36" s="426" t="str">
        <f>IF($B36="","",IF('Prop TUOS'!O35="",0,'Prop TUOS'!O35))</f>
        <v/>
      </c>
      <c r="AT36" s="426" t="str">
        <f>IF($B36="","",IF('Prop TUOS'!P35="",0,'Prop TUOS'!P35))</f>
        <v/>
      </c>
      <c r="AU36" s="606" t="str">
        <f>IF($B36="","",IF('Prop TUOS'!Q35="",0,'Prop TUOS'!Q35))</f>
        <v/>
      </c>
      <c r="AV36" s="427" t="str">
        <f>IF($B36="","",IF('Prop TUOS'!R35="",0,'Prop TUOS'!R35))</f>
        <v/>
      </c>
      <c r="AW36" s="425" t="str">
        <f>IF($B36="","",IF('Prop JUOS'!D35="",0,'Prop JUOS'!D35))</f>
        <v/>
      </c>
      <c r="AX36" s="426" t="str">
        <f>IF($B36="","",IF('Prop JUOS'!E35="",0,'Prop JUOS'!E35))</f>
        <v/>
      </c>
      <c r="AY36" s="426" t="str">
        <f>IF($B36="","",IF('Prop JUOS'!F35="",0,'Prop JUOS'!F35))</f>
        <v/>
      </c>
      <c r="AZ36" s="426" t="str">
        <f>IF($B36="","",IF('Prop JUOS'!G35="",0,'Prop JUOS'!G35))</f>
        <v/>
      </c>
      <c r="BA36" s="426" t="str">
        <f>IF($B36="","",IF('Prop JUOS'!H35="",0,'Prop JUOS'!H35))</f>
        <v/>
      </c>
      <c r="BB36" s="426" t="str">
        <f>IF($B36="","",IF('Prop JUOS'!I35="",0,'Prop JUOS'!I35))</f>
        <v/>
      </c>
      <c r="BC36" s="426" t="str">
        <f>IF($B36="","",IF('Prop JUOS'!J35="",0,'Prop JUOS'!J35))</f>
        <v/>
      </c>
      <c r="BD36" s="426" t="str">
        <f>IF($B36="","",IF('Prop JUOS'!K35="",0,'Prop JUOS'!K35))</f>
        <v/>
      </c>
      <c r="BE36" s="426" t="str">
        <f>IF($B36="","",IF('Prop JUOS'!L35="",0,'Prop JUOS'!L35))</f>
        <v/>
      </c>
      <c r="BF36" s="426" t="str">
        <f>IF($B36="","",IF('Prop JUOS'!M35="",0,'Prop JUOS'!M35))</f>
        <v/>
      </c>
      <c r="BG36" s="426" t="str">
        <f>IF($B36="","",IF('Prop JUOS'!N35="",0,'Prop JUOS'!N35))</f>
        <v/>
      </c>
      <c r="BH36" s="426" t="str">
        <f>IF($B36="","",IF('Prop JUOS'!O35="",0,'Prop JUOS'!O35))</f>
        <v/>
      </c>
      <c r="BI36" s="426" t="str">
        <f>IF($B36="","",IF('Prop JUOS'!P35="",0,'Prop JUOS'!P35))</f>
        <v/>
      </c>
      <c r="BJ36" s="606" t="str">
        <f>IF($B36="","",IF('Prop JUOS'!Q35="",0,'Prop JUOS'!Q35))</f>
        <v/>
      </c>
      <c r="BK36" s="427" t="str">
        <f>IF($B36="","",IF('Prop JUOS'!R35="",0,'Prop JUOS'!R35))</f>
        <v/>
      </c>
    </row>
    <row r="37" spans="2:63">
      <c r="B37" s="416" t="str">
        <f>IF('Prop DUOS'!B36="","",'Prop DUOS'!B36)</f>
        <v/>
      </c>
      <c r="C37" s="376" t="str">
        <f>IF(B37="","",INDEX('Side constraints'!$C$33:$C$92,MATCH('Prop DUOS'!B36,'Side constraints'!$D$33:$D$92,0),1))</f>
        <v/>
      </c>
      <c r="D37" s="425" t="str">
        <f t="shared" si="4"/>
        <v/>
      </c>
      <c r="E37" s="426" t="str">
        <f t="shared" si="5"/>
        <v/>
      </c>
      <c r="F37" s="426" t="str">
        <f t="shared" si="6"/>
        <v/>
      </c>
      <c r="G37" s="426" t="str">
        <f t="shared" si="7"/>
        <v/>
      </c>
      <c r="H37" s="426" t="str">
        <f t="shared" si="8"/>
        <v/>
      </c>
      <c r="I37" s="426" t="str">
        <f t="shared" si="9"/>
        <v/>
      </c>
      <c r="J37" s="426" t="str">
        <f t="shared" si="10"/>
        <v/>
      </c>
      <c r="K37" s="426" t="str">
        <f t="shared" si="11"/>
        <v/>
      </c>
      <c r="L37" s="426" t="str">
        <f t="shared" si="12"/>
        <v/>
      </c>
      <c r="M37" s="426" t="str">
        <f t="shared" si="13"/>
        <v/>
      </c>
      <c r="N37" s="426" t="str">
        <f t="shared" si="14"/>
        <v/>
      </c>
      <c r="O37" s="426" t="str">
        <f t="shared" si="15"/>
        <v/>
      </c>
      <c r="P37" s="426" t="str">
        <f t="shared" si="16"/>
        <v/>
      </c>
      <c r="Q37" s="606" t="str">
        <f t="shared" si="17"/>
        <v/>
      </c>
      <c r="R37" s="427" t="str">
        <f t="shared" si="18"/>
        <v/>
      </c>
      <c r="S37" s="425" t="str">
        <f>IF($B37="","",IF('Prop DUOS'!E36="",0,'Prop DUOS'!E36))</f>
        <v/>
      </c>
      <c r="T37" s="426" t="str">
        <f>IF($B37="","",IF('Prop DUOS'!F36="",0,'Prop DUOS'!F36))</f>
        <v/>
      </c>
      <c r="U37" s="426" t="str">
        <f>IF($B37="","",IF('Prop DUOS'!G36="",0,'Prop DUOS'!G36))</f>
        <v/>
      </c>
      <c r="V37" s="426" t="str">
        <f>IF($B37="","",IF('Prop DUOS'!H36="",0,'Prop DUOS'!H36))</f>
        <v/>
      </c>
      <c r="W37" s="426" t="str">
        <f>IF($B37="","",IF('Prop DUOS'!I36="",0,'Prop DUOS'!I36))</f>
        <v/>
      </c>
      <c r="X37" s="426" t="str">
        <f>IF($B37="","",IF('Prop DUOS'!J36="",0,'Prop DUOS'!J36))</f>
        <v/>
      </c>
      <c r="Y37" s="426" t="str">
        <f>IF($B37="","",IF('Prop DUOS'!K36="",0,'Prop DUOS'!K36))</f>
        <v/>
      </c>
      <c r="Z37" s="426" t="str">
        <f>IF($B37="","",IF('Prop DUOS'!L36="",0,'Prop DUOS'!L36))</f>
        <v/>
      </c>
      <c r="AA37" s="426" t="str">
        <f>IF($B37="","",IF('Prop DUOS'!M36="",0,'Prop DUOS'!M36))</f>
        <v/>
      </c>
      <c r="AB37" s="426" t="str">
        <f>IF($B37="","",IF('Prop DUOS'!N36="",0,'Prop DUOS'!N36))</f>
        <v/>
      </c>
      <c r="AC37" s="426" t="str">
        <f>IF($B37="","",IF('Prop DUOS'!O36="",0,'Prop DUOS'!O36))</f>
        <v/>
      </c>
      <c r="AD37" s="426" t="str">
        <f>IF($B37="","",IF('Prop DUOS'!P36="",0,'Prop DUOS'!P36))</f>
        <v/>
      </c>
      <c r="AE37" s="426" t="str">
        <f>IF($B37="","",IF('Prop DUOS'!Q36="",0,'Prop DUOS'!Q36))</f>
        <v/>
      </c>
      <c r="AF37" s="606" t="str">
        <f>IF($B37="","",IF('Prop DUOS'!R36="",0,'Prop DUOS'!R36))</f>
        <v/>
      </c>
      <c r="AG37" s="427" t="str">
        <f>IF($B37="","",IF('Prop DUOS'!S36="",0,'Prop DUOS'!S36))</f>
        <v/>
      </c>
      <c r="AH37" s="425" t="str">
        <f>IF($B37="","",IF('Prop TUOS'!D36="",0,'Prop TUOS'!D36))</f>
        <v/>
      </c>
      <c r="AI37" s="426" t="str">
        <f>IF($B37="","",IF('Prop TUOS'!E36="",0,'Prop TUOS'!E36))</f>
        <v/>
      </c>
      <c r="AJ37" s="426" t="str">
        <f>IF($B37="","",IF('Prop TUOS'!F36="",0,'Prop TUOS'!F36))</f>
        <v/>
      </c>
      <c r="AK37" s="426" t="str">
        <f>IF($B37="","",IF('Prop TUOS'!G36="",0,'Prop TUOS'!G36))</f>
        <v/>
      </c>
      <c r="AL37" s="426" t="str">
        <f>IF($B37="","",IF('Prop TUOS'!H36="",0,'Prop TUOS'!H36))</f>
        <v/>
      </c>
      <c r="AM37" s="426" t="str">
        <f>IF($B37="","",IF('Prop TUOS'!I36="",0,'Prop TUOS'!I36))</f>
        <v/>
      </c>
      <c r="AN37" s="426" t="str">
        <f>IF($B37="","",IF('Prop TUOS'!J36="",0,'Prop TUOS'!J36))</f>
        <v/>
      </c>
      <c r="AO37" s="426" t="str">
        <f>IF($B37="","",IF('Prop TUOS'!K36="",0,'Prop TUOS'!K36))</f>
        <v/>
      </c>
      <c r="AP37" s="426" t="str">
        <f>IF($B37="","",IF('Prop TUOS'!L36="",0,'Prop TUOS'!L36))</f>
        <v/>
      </c>
      <c r="AQ37" s="426" t="str">
        <f>IF($B37="","",IF('Prop TUOS'!M36="",0,'Prop TUOS'!M36))</f>
        <v/>
      </c>
      <c r="AR37" s="426" t="str">
        <f>IF($B37="","",IF('Prop TUOS'!N36="",0,'Prop TUOS'!N36))</f>
        <v/>
      </c>
      <c r="AS37" s="426" t="str">
        <f>IF($B37="","",IF('Prop TUOS'!O36="",0,'Prop TUOS'!O36))</f>
        <v/>
      </c>
      <c r="AT37" s="426" t="str">
        <f>IF($B37="","",IF('Prop TUOS'!P36="",0,'Prop TUOS'!P36))</f>
        <v/>
      </c>
      <c r="AU37" s="606" t="str">
        <f>IF($B37="","",IF('Prop TUOS'!Q36="",0,'Prop TUOS'!Q36))</f>
        <v/>
      </c>
      <c r="AV37" s="427" t="str">
        <f>IF($B37="","",IF('Prop TUOS'!R36="",0,'Prop TUOS'!R36))</f>
        <v/>
      </c>
      <c r="AW37" s="425" t="str">
        <f>IF($B37="","",IF('Prop JUOS'!D36="",0,'Prop JUOS'!D36))</f>
        <v/>
      </c>
      <c r="AX37" s="426" t="str">
        <f>IF($B37="","",IF('Prop JUOS'!E36="",0,'Prop JUOS'!E36))</f>
        <v/>
      </c>
      <c r="AY37" s="426" t="str">
        <f>IF($B37="","",IF('Prop JUOS'!F36="",0,'Prop JUOS'!F36))</f>
        <v/>
      </c>
      <c r="AZ37" s="426" t="str">
        <f>IF($B37="","",IF('Prop JUOS'!G36="",0,'Prop JUOS'!G36))</f>
        <v/>
      </c>
      <c r="BA37" s="426" t="str">
        <f>IF($B37="","",IF('Prop JUOS'!H36="",0,'Prop JUOS'!H36))</f>
        <v/>
      </c>
      <c r="BB37" s="426" t="str">
        <f>IF($B37="","",IF('Prop JUOS'!I36="",0,'Prop JUOS'!I36))</f>
        <v/>
      </c>
      <c r="BC37" s="426" t="str">
        <f>IF($B37="","",IF('Prop JUOS'!J36="",0,'Prop JUOS'!J36))</f>
        <v/>
      </c>
      <c r="BD37" s="426" t="str">
        <f>IF($B37="","",IF('Prop JUOS'!K36="",0,'Prop JUOS'!K36))</f>
        <v/>
      </c>
      <c r="BE37" s="426" t="str">
        <f>IF($B37="","",IF('Prop JUOS'!L36="",0,'Prop JUOS'!L36))</f>
        <v/>
      </c>
      <c r="BF37" s="426" t="str">
        <f>IF($B37="","",IF('Prop JUOS'!M36="",0,'Prop JUOS'!M36))</f>
        <v/>
      </c>
      <c r="BG37" s="426" t="str">
        <f>IF($B37="","",IF('Prop JUOS'!N36="",0,'Prop JUOS'!N36))</f>
        <v/>
      </c>
      <c r="BH37" s="426" t="str">
        <f>IF($B37="","",IF('Prop JUOS'!O36="",0,'Prop JUOS'!O36))</f>
        <v/>
      </c>
      <c r="BI37" s="426" t="str">
        <f>IF($B37="","",IF('Prop JUOS'!P36="",0,'Prop JUOS'!P36))</f>
        <v/>
      </c>
      <c r="BJ37" s="606" t="str">
        <f>IF($B37="","",IF('Prop JUOS'!Q36="",0,'Prop JUOS'!Q36))</f>
        <v/>
      </c>
      <c r="BK37" s="427" t="str">
        <f>IF($B37="","",IF('Prop JUOS'!R36="",0,'Prop JUOS'!R36))</f>
        <v/>
      </c>
    </row>
    <row r="38" spans="2:63">
      <c r="B38" s="416" t="str">
        <f>IF('Prop DUOS'!B37="","",'Prop DUOS'!B37)</f>
        <v/>
      </c>
      <c r="C38" s="376" t="str">
        <f>IF(B38="","",INDEX('Side constraints'!$C$33:$C$92,MATCH('Prop DUOS'!B37,'Side constraints'!$D$33:$D$92,0),1))</f>
        <v/>
      </c>
      <c r="D38" s="425" t="str">
        <f t="shared" si="4"/>
        <v/>
      </c>
      <c r="E38" s="426" t="str">
        <f t="shared" si="5"/>
        <v/>
      </c>
      <c r="F38" s="426" t="str">
        <f t="shared" si="6"/>
        <v/>
      </c>
      <c r="G38" s="426" t="str">
        <f t="shared" si="7"/>
        <v/>
      </c>
      <c r="H38" s="426" t="str">
        <f t="shared" si="8"/>
        <v/>
      </c>
      <c r="I38" s="426" t="str">
        <f t="shared" si="9"/>
        <v/>
      </c>
      <c r="J38" s="426" t="str">
        <f t="shared" si="10"/>
        <v/>
      </c>
      <c r="K38" s="426" t="str">
        <f t="shared" si="11"/>
        <v/>
      </c>
      <c r="L38" s="426" t="str">
        <f t="shared" si="12"/>
        <v/>
      </c>
      <c r="M38" s="426" t="str">
        <f t="shared" si="13"/>
        <v/>
      </c>
      <c r="N38" s="426" t="str">
        <f t="shared" si="14"/>
        <v/>
      </c>
      <c r="O38" s="426" t="str">
        <f t="shared" si="15"/>
        <v/>
      </c>
      <c r="P38" s="426" t="str">
        <f t="shared" si="16"/>
        <v/>
      </c>
      <c r="Q38" s="606" t="str">
        <f t="shared" si="17"/>
        <v/>
      </c>
      <c r="R38" s="427" t="str">
        <f t="shared" si="18"/>
        <v/>
      </c>
      <c r="S38" s="425" t="str">
        <f>IF($B38="","",IF('Prop DUOS'!E37="",0,'Prop DUOS'!E37))</f>
        <v/>
      </c>
      <c r="T38" s="426" t="str">
        <f>IF($B38="","",IF('Prop DUOS'!F37="",0,'Prop DUOS'!F37))</f>
        <v/>
      </c>
      <c r="U38" s="426" t="str">
        <f>IF($B38="","",IF('Prop DUOS'!G37="",0,'Prop DUOS'!G37))</f>
        <v/>
      </c>
      <c r="V38" s="426" t="str">
        <f>IF($B38="","",IF('Prop DUOS'!H37="",0,'Prop DUOS'!H37))</f>
        <v/>
      </c>
      <c r="W38" s="426" t="str">
        <f>IF($B38="","",IF('Prop DUOS'!I37="",0,'Prop DUOS'!I37))</f>
        <v/>
      </c>
      <c r="X38" s="426" t="str">
        <f>IF($B38="","",IF('Prop DUOS'!J37="",0,'Prop DUOS'!J37))</f>
        <v/>
      </c>
      <c r="Y38" s="426" t="str">
        <f>IF($B38="","",IF('Prop DUOS'!K37="",0,'Prop DUOS'!K37))</f>
        <v/>
      </c>
      <c r="Z38" s="426" t="str">
        <f>IF($B38="","",IF('Prop DUOS'!L37="",0,'Prop DUOS'!L37))</f>
        <v/>
      </c>
      <c r="AA38" s="426" t="str">
        <f>IF($B38="","",IF('Prop DUOS'!M37="",0,'Prop DUOS'!M37))</f>
        <v/>
      </c>
      <c r="AB38" s="426" t="str">
        <f>IF($B38="","",IF('Prop DUOS'!N37="",0,'Prop DUOS'!N37))</f>
        <v/>
      </c>
      <c r="AC38" s="426" t="str">
        <f>IF($B38="","",IF('Prop DUOS'!O37="",0,'Prop DUOS'!O37))</f>
        <v/>
      </c>
      <c r="AD38" s="426" t="str">
        <f>IF($B38="","",IF('Prop DUOS'!P37="",0,'Prop DUOS'!P37))</f>
        <v/>
      </c>
      <c r="AE38" s="426" t="str">
        <f>IF($B38="","",IF('Prop DUOS'!Q37="",0,'Prop DUOS'!Q37))</f>
        <v/>
      </c>
      <c r="AF38" s="606" t="str">
        <f>IF($B38="","",IF('Prop DUOS'!R37="",0,'Prop DUOS'!R37))</f>
        <v/>
      </c>
      <c r="AG38" s="427" t="str">
        <f>IF($B38="","",IF('Prop DUOS'!S37="",0,'Prop DUOS'!S37))</f>
        <v/>
      </c>
      <c r="AH38" s="425" t="str">
        <f>IF($B38="","",IF('Prop TUOS'!D37="",0,'Prop TUOS'!D37))</f>
        <v/>
      </c>
      <c r="AI38" s="426" t="str">
        <f>IF($B38="","",IF('Prop TUOS'!E37="",0,'Prop TUOS'!E37))</f>
        <v/>
      </c>
      <c r="AJ38" s="426" t="str">
        <f>IF($B38="","",IF('Prop TUOS'!F37="",0,'Prop TUOS'!F37))</f>
        <v/>
      </c>
      <c r="AK38" s="426" t="str">
        <f>IF($B38="","",IF('Prop TUOS'!G37="",0,'Prop TUOS'!G37))</f>
        <v/>
      </c>
      <c r="AL38" s="426" t="str">
        <f>IF($B38="","",IF('Prop TUOS'!H37="",0,'Prop TUOS'!H37))</f>
        <v/>
      </c>
      <c r="AM38" s="426" t="str">
        <f>IF($B38="","",IF('Prop TUOS'!I37="",0,'Prop TUOS'!I37))</f>
        <v/>
      </c>
      <c r="AN38" s="426" t="str">
        <f>IF($B38="","",IF('Prop TUOS'!J37="",0,'Prop TUOS'!J37))</f>
        <v/>
      </c>
      <c r="AO38" s="426" t="str">
        <f>IF($B38="","",IF('Prop TUOS'!K37="",0,'Prop TUOS'!K37))</f>
        <v/>
      </c>
      <c r="AP38" s="426" t="str">
        <f>IF($B38="","",IF('Prop TUOS'!L37="",0,'Prop TUOS'!L37))</f>
        <v/>
      </c>
      <c r="AQ38" s="426" t="str">
        <f>IF($B38="","",IF('Prop TUOS'!M37="",0,'Prop TUOS'!M37))</f>
        <v/>
      </c>
      <c r="AR38" s="426" t="str">
        <f>IF($B38="","",IF('Prop TUOS'!N37="",0,'Prop TUOS'!N37))</f>
        <v/>
      </c>
      <c r="AS38" s="426" t="str">
        <f>IF($B38="","",IF('Prop TUOS'!O37="",0,'Prop TUOS'!O37))</f>
        <v/>
      </c>
      <c r="AT38" s="426" t="str">
        <f>IF($B38="","",IF('Prop TUOS'!P37="",0,'Prop TUOS'!P37))</f>
        <v/>
      </c>
      <c r="AU38" s="606" t="str">
        <f>IF($B38="","",IF('Prop TUOS'!Q37="",0,'Prop TUOS'!Q37))</f>
        <v/>
      </c>
      <c r="AV38" s="427" t="str">
        <f>IF($B38="","",IF('Prop TUOS'!R37="",0,'Prop TUOS'!R37))</f>
        <v/>
      </c>
      <c r="AW38" s="425" t="str">
        <f>IF($B38="","",IF('Prop JUOS'!D37="",0,'Prop JUOS'!D37))</f>
        <v/>
      </c>
      <c r="AX38" s="426" t="str">
        <f>IF($B38="","",IF('Prop JUOS'!E37="",0,'Prop JUOS'!E37))</f>
        <v/>
      </c>
      <c r="AY38" s="426" t="str">
        <f>IF($B38="","",IF('Prop JUOS'!F37="",0,'Prop JUOS'!F37))</f>
        <v/>
      </c>
      <c r="AZ38" s="426" t="str">
        <f>IF($B38="","",IF('Prop JUOS'!G37="",0,'Prop JUOS'!G37))</f>
        <v/>
      </c>
      <c r="BA38" s="426" t="str">
        <f>IF($B38="","",IF('Prop JUOS'!H37="",0,'Prop JUOS'!H37))</f>
        <v/>
      </c>
      <c r="BB38" s="426" t="str">
        <f>IF($B38="","",IF('Prop JUOS'!I37="",0,'Prop JUOS'!I37))</f>
        <v/>
      </c>
      <c r="BC38" s="426" t="str">
        <f>IF($B38="","",IF('Prop JUOS'!J37="",0,'Prop JUOS'!J37))</f>
        <v/>
      </c>
      <c r="BD38" s="426" t="str">
        <f>IF($B38="","",IF('Prop JUOS'!K37="",0,'Prop JUOS'!K37))</f>
        <v/>
      </c>
      <c r="BE38" s="426" t="str">
        <f>IF($B38="","",IF('Prop JUOS'!L37="",0,'Prop JUOS'!L37))</f>
        <v/>
      </c>
      <c r="BF38" s="426" t="str">
        <f>IF($B38="","",IF('Prop JUOS'!M37="",0,'Prop JUOS'!M37))</f>
        <v/>
      </c>
      <c r="BG38" s="426" t="str">
        <f>IF($B38="","",IF('Prop JUOS'!N37="",0,'Prop JUOS'!N37))</f>
        <v/>
      </c>
      <c r="BH38" s="426" t="str">
        <f>IF($B38="","",IF('Prop JUOS'!O37="",0,'Prop JUOS'!O37))</f>
        <v/>
      </c>
      <c r="BI38" s="426" t="str">
        <f>IF($B38="","",IF('Prop JUOS'!P37="",0,'Prop JUOS'!P37))</f>
        <v/>
      </c>
      <c r="BJ38" s="606" t="str">
        <f>IF($B38="","",IF('Prop JUOS'!Q37="",0,'Prop JUOS'!Q37))</f>
        <v/>
      </c>
      <c r="BK38" s="427" t="str">
        <f>IF($B38="","",IF('Prop JUOS'!R37="",0,'Prop JUOS'!R37))</f>
        <v/>
      </c>
    </row>
    <row r="39" spans="2:63">
      <c r="B39" s="416" t="str">
        <f>IF('Prop DUOS'!B38="","",'Prop DUOS'!B38)</f>
        <v/>
      </c>
      <c r="C39" s="376" t="str">
        <f>IF(B39="","",INDEX('Side constraints'!$C$33:$C$92,MATCH('Prop DUOS'!B38,'Side constraints'!$D$33:$D$92,0),1))</f>
        <v/>
      </c>
      <c r="D39" s="425" t="str">
        <f t="shared" si="4"/>
        <v/>
      </c>
      <c r="E39" s="426" t="str">
        <f t="shared" si="5"/>
        <v/>
      </c>
      <c r="F39" s="426" t="str">
        <f t="shared" si="6"/>
        <v/>
      </c>
      <c r="G39" s="426" t="str">
        <f t="shared" si="7"/>
        <v/>
      </c>
      <c r="H39" s="426" t="str">
        <f t="shared" si="8"/>
        <v/>
      </c>
      <c r="I39" s="426" t="str">
        <f t="shared" si="9"/>
        <v/>
      </c>
      <c r="J39" s="426" t="str">
        <f t="shared" si="10"/>
        <v/>
      </c>
      <c r="K39" s="426" t="str">
        <f t="shared" si="11"/>
        <v/>
      </c>
      <c r="L39" s="426" t="str">
        <f t="shared" si="12"/>
        <v/>
      </c>
      <c r="M39" s="426" t="str">
        <f t="shared" si="13"/>
        <v/>
      </c>
      <c r="N39" s="426" t="str">
        <f t="shared" si="14"/>
        <v/>
      </c>
      <c r="O39" s="426" t="str">
        <f t="shared" si="15"/>
        <v/>
      </c>
      <c r="P39" s="426" t="str">
        <f t="shared" si="16"/>
        <v/>
      </c>
      <c r="Q39" s="606" t="str">
        <f t="shared" si="17"/>
        <v/>
      </c>
      <c r="R39" s="427" t="str">
        <f t="shared" si="18"/>
        <v/>
      </c>
      <c r="S39" s="425" t="str">
        <f>IF($B39="","",IF('Prop DUOS'!E38="",0,'Prop DUOS'!E38))</f>
        <v/>
      </c>
      <c r="T39" s="426" t="str">
        <f>IF($B39="","",IF('Prop DUOS'!F38="",0,'Prop DUOS'!F38))</f>
        <v/>
      </c>
      <c r="U39" s="426" t="str">
        <f>IF($B39="","",IF('Prop DUOS'!G38="",0,'Prop DUOS'!G38))</f>
        <v/>
      </c>
      <c r="V39" s="426" t="str">
        <f>IF($B39="","",IF('Prop DUOS'!H38="",0,'Prop DUOS'!H38))</f>
        <v/>
      </c>
      <c r="W39" s="426" t="str">
        <f>IF($B39="","",IF('Prop DUOS'!I38="",0,'Prop DUOS'!I38))</f>
        <v/>
      </c>
      <c r="X39" s="426" t="str">
        <f>IF($B39="","",IF('Prop DUOS'!J38="",0,'Prop DUOS'!J38))</f>
        <v/>
      </c>
      <c r="Y39" s="426" t="str">
        <f>IF($B39="","",IF('Prop DUOS'!K38="",0,'Prop DUOS'!K38))</f>
        <v/>
      </c>
      <c r="Z39" s="426" t="str">
        <f>IF($B39="","",IF('Prop DUOS'!L38="",0,'Prop DUOS'!L38))</f>
        <v/>
      </c>
      <c r="AA39" s="426" t="str">
        <f>IF($B39="","",IF('Prop DUOS'!M38="",0,'Prop DUOS'!M38))</f>
        <v/>
      </c>
      <c r="AB39" s="426" t="str">
        <f>IF($B39="","",IF('Prop DUOS'!N38="",0,'Prop DUOS'!N38))</f>
        <v/>
      </c>
      <c r="AC39" s="426" t="str">
        <f>IF($B39="","",IF('Prop DUOS'!O38="",0,'Prop DUOS'!O38))</f>
        <v/>
      </c>
      <c r="AD39" s="426" t="str">
        <f>IF($B39="","",IF('Prop DUOS'!P38="",0,'Prop DUOS'!P38))</f>
        <v/>
      </c>
      <c r="AE39" s="426" t="str">
        <f>IF($B39="","",IF('Prop DUOS'!Q38="",0,'Prop DUOS'!Q38))</f>
        <v/>
      </c>
      <c r="AF39" s="606" t="str">
        <f>IF($B39="","",IF('Prop DUOS'!R38="",0,'Prop DUOS'!R38))</f>
        <v/>
      </c>
      <c r="AG39" s="427" t="str">
        <f>IF($B39="","",IF('Prop DUOS'!S38="",0,'Prop DUOS'!S38))</f>
        <v/>
      </c>
      <c r="AH39" s="425" t="str">
        <f>IF($B39="","",IF('Prop TUOS'!D38="",0,'Prop TUOS'!D38))</f>
        <v/>
      </c>
      <c r="AI39" s="426" t="str">
        <f>IF($B39="","",IF('Prop TUOS'!E38="",0,'Prop TUOS'!E38))</f>
        <v/>
      </c>
      <c r="AJ39" s="426" t="str">
        <f>IF($B39="","",IF('Prop TUOS'!F38="",0,'Prop TUOS'!F38))</f>
        <v/>
      </c>
      <c r="AK39" s="426" t="str">
        <f>IF($B39="","",IF('Prop TUOS'!G38="",0,'Prop TUOS'!G38))</f>
        <v/>
      </c>
      <c r="AL39" s="426" t="str">
        <f>IF($B39="","",IF('Prop TUOS'!H38="",0,'Prop TUOS'!H38))</f>
        <v/>
      </c>
      <c r="AM39" s="426" t="str">
        <f>IF($B39="","",IF('Prop TUOS'!I38="",0,'Prop TUOS'!I38))</f>
        <v/>
      </c>
      <c r="AN39" s="426" t="str">
        <f>IF($B39="","",IF('Prop TUOS'!J38="",0,'Prop TUOS'!J38))</f>
        <v/>
      </c>
      <c r="AO39" s="426" t="str">
        <f>IF($B39="","",IF('Prop TUOS'!K38="",0,'Prop TUOS'!K38))</f>
        <v/>
      </c>
      <c r="AP39" s="426" t="str">
        <f>IF($B39="","",IF('Prop TUOS'!L38="",0,'Prop TUOS'!L38))</f>
        <v/>
      </c>
      <c r="AQ39" s="426" t="str">
        <f>IF($B39="","",IF('Prop TUOS'!M38="",0,'Prop TUOS'!M38))</f>
        <v/>
      </c>
      <c r="AR39" s="426" t="str">
        <f>IF($B39="","",IF('Prop TUOS'!N38="",0,'Prop TUOS'!N38))</f>
        <v/>
      </c>
      <c r="AS39" s="426" t="str">
        <f>IF($B39="","",IF('Prop TUOS'!O38="",0,'Prop TUOS'!O38))</f>
        <v/>
      </c>
      <c r="AT39" s="426" t="str">
        <f>IF($B39="","",IF('Prop TUOS'!P38="",0,'Prop TUOS'!P38))</f>
        <v/>
      </c>
      <c r="AU39" s="606" t="str">
        <f>IF($B39="","",IF('Prop TUOS'!Q38="",0,'Prop TUOS'!Q38))</f>
        <v/>
      </c>
      <c r="AV39" s="427" t="str">
        <f>IF($B39="","",IF('Prop TUOS'!R38="",0,'Prop TUOS'!R38))</f>
        <v/>
      </c>
      <c r="AW39" s="425" t="str">
        <f>IF($B39="","",IF('Prop JUOS'!D38="",0,'Prop JUOS'!D38))</f>
        <v/>
      </c>
      <c r="AX39" s="426" t="str">
        <f>IF($B39="","",IF('Prop JUOS'!E38="",0,'Prop JUOS'!E38))</f>
        <v/>
      </c>
      <c r="AY39" s="426" t="str">
        <f>IF($B39="","",IF('Prop JUOS'!F38="",0,'Prop JUOS'!F38))</f>
        <v/>
      </c>
      <c r="AZ39" s="426" t="str">
        <f>IF($B39="","",IF('Prop JUOS'!G38="",0,'Prop JUOS'!G38))</f>
        <v/>
      </c>
      <c r="BA39" s="426" t="str">
        <f>IF($B39="","",IF('Prop JUOS'!H38="",0,'Prop JUOS'!H38))</f>
        <v/>
      </c>
      <c r="BB39" s="426" t="str">
        <f>IF($B39="","",IF('Prop JUOS'!I38="",0,'Prop JUOS'!I38))</f>
        <v/>
      </c>
      <c r="BC39" s="426" t="str">
        <f>IF($B39="","",IF('Prop JUOS'!J38="",0,'Prop JUOS'!J38))</f>
        <v/>
      </c>
      <c r="BD39" s="426" t="str">
        <f>IF($B39="","",IF('Prop JUOS'!K38="",0,'Prop JUOS'!K38))</f>
        <v/>
      </c>
      <c r="BE39" s="426" t="str">
        <f>IF($B39="","",IF('Prop JUOS'!L38="",0,'Prop JUOS'!L38))</f>
        <v/>
      </c>
      <c r="BF39" s="426" t="str">
        <f>IF($B39="","",IF('Prop JUOS'!M38="",0,'Prop JUOS'!M38))</f>
        <v/>
      </c>
      <c r="BG39" s="426" t="str">
        <f>IF($B39="","",IF('Prop JUOS'!N38="",0,'Prop JUOS'!N38))</f>
        <v/>
      </c>
      <c r="BH39" s="426" t="str">
        <f>IF($B39="","",IF('Prop JUOS'!O38="",0,'Prop JUOS'!O38))</f>
        <v/>
      </c>
      <c r="BI39" s="426" t="str">
        <f>IF($B39="","",IF('Prop JUOS'!P38="",0,'Prop JUOS'!P38))</f>
        <v/>
      </c>
      <c r="BJ39" s="606" t="str">
        <f>IF($B39="","",IF('Prop JUOS'!Q38="",0,'Prop JUOS'!Q38))</f>
        <v/>
      </c>
      <c r="BK39" s="427" t="str">
        <f>IF($B39="","",IF('Prop JUOS'!R38="",0,'Prop JUOS'!R38))</f>
        <v/>
      </c>
    </row>
    <row r="40" spans="2:63">
      <c r="B40" s="416" t="str">
        <f>IF('Prop DUOS'!B39="","",'Prop DUOS'!B39)</f>
        <v/>
      </c>
      <c r="C40" s="376" t="str">
        <f>IF(B40="","",INDEX('Side constraints'!$C$33:$C$92,MATCH('Prop DUOS'!B39,'Side constraints'!$D$33:$D$92,0),1))</f>
        <v/>
      </c>
      <c r="D40" s="425" t="str">
        <f t="shared" si="4"/>
        <v/>
      </c>
      <c r="E40" s="426" t="str">
        <f t="shared" si="5"/>
        <v/>
      </c>
      <c r="F40" s="426" t="str">
        <f t="shared" si="6"/>
        <v/>
      </c>
      <c r="G40" s="426" t="str">
        <f t="shared" si="7"/>
        <v/>
      </c>
      <c r="H40" s="426" t="str">
        <f t="shared" si="8"/>
        <v/>
      </c>
      <c r="I40" s="426" t="str">
        <f t="shared" si="9"/>
        <v/>
      </c>
      <c r="J40" s="426" t="str">
        <f t="shared" si="10"/>
        <v/>
      </c>
      <c r="K40" s="426" t="str">
        <f t="shared" si="11"/>
        <v/>
      </c>
      <c r="L40" s="426" t="str">
        <f t="shared" si="12"/>
        <v/>
      </c>
      <c r="M40" s="426" t="str">
        <f t="shared" si="13"/>
        <v/>
      </c>
      <c r="N40" s="426" t="str">
        <f t="shared" si="14"/>
        <v/>
      </c>
      <c r="O40" s="426" t="str">
        <f t="shared" si="15"/>
        <v/>
      </c>
      <c r="P40" s="426" t="str">
        <f t="shared" si="16"/>
        <v/>
      </c>
      <c r="Q40" s="606" t="str">
        <f t="shared" si="17"/>
        <v/>
      </c>
      <c r="R40" s="427" t="str">
        <f t="shared" si="18"/>
        <v/>
      </c>
      <c r="S40" s="425" t="str">
        <f>IF($B40="","",IF('Prop DUOS'!E39="",0,'Prop DUOS'!E39))</f>
        <v/>
      </c>
      <c r="T40" s="426" t="str">
        <f>IF($B40="","",IF('Prop DUOS'!F39="",0,'Prop DUOS'!F39))</f>
        <v/>
      </c>
      <c r="U40" s="426" t="str">
        <f>IF($B40="","",IF('Prop DUOS'!G39="",0,'Prop DUOS'!G39))</f>
        <v/>
      </c>
      <c r="V40" s="426" t="str">
        <f>IF($B40="","",IF('Prop DUOS'!H39="",0,'Prop DUOS'!H39))</f>
        <v/>
      </c>
      <c r="W40" s="426" t="str">
        <f>IF($B40="","",IF('Prop DUOS'!I39="",0,'Prop DUOS'!I39))</f>
        <v/>
      </c>
      <c r="X40" s="426" t="str">
        <f>IF($B40="","",IF('Prop DUOS'!J39="",0,'Prop DUOS'!J39))</f>
        <v/>
      </c>
      <c r="Y40" s="426" t="str">
        <f>IF($B40="","",IF('Prop DUOS'!K39="",0,'Prop DUOS'!K39))</f>
        <v/>
      </c>
      <c r="Z40" s="426" t="str">
        <f>IF($B40="","",IF('Prop DUOS'!L39="",0,'Prop DUOS'!L39))</f>
        <v/>
      </c>
      <c r="AA40" s="426" t="str">
        <f>IF($B40="","",IF('Prop DUOS'!M39="",0,'Prop DUOS'!M39))</f>
        <v/>
      </c>
      <c r="AB40" s="426" t="str">
        <f>IF($B40="","",IF('Prop DUOS'!N39="",0,'Prop DUOS'!N39))</f>
        <v/>
      </c>
      <c r="AC40" s="426" t="str">
        <f>IF($B40="","",IF('Prop DUOS'!O39="",0,'Prop DUOS'!O39))</f>
        <v/>
      </c>
      <c r="AD40" s="426" t="str">
        <f>IF($B40="","",IF('Prop DUOS'!P39="",0,'Prop DUOS'!P39))</f>
        <v/>
      </c>
      <c r="AE40" s="426" t="str">
        <f>IF($B40="","",IF('Prop DUOS'!Q39="",0,'Prop DUOS'!Q39))</f>
        <v/>
      </c>
      <c r="AF40" s="606" t="str">
        <f>IF($B40="","",IF('Prop DUOS'!R39="",0,'Prop DUOS'!R39))</f>
        <v/>
      </c>
      <c r="AG40" s="427" t="str">
        <f>IF($B40="","",IF('Prop DUOS'!S39="",0,'Prop DUOS'!S39))</f>
        <v/>
      </c>
      <c r="AH40" s="425" t="str">
        <f>IF($B40="","",IF('Prop TUOS'!D39="",0,'Prop TUOS'!D39))</f>
        <v/>
      </c>
      <c r="AI40" s="426" t="str">
        <f>IF($B40="","",IF('Prop TUOS'!E39="",0,'Prop TUOS'!E39))</f>
        <v/>
      </c>
      <c r="AJ40" s="426" t="str">
        <f>IF($B40="","",IF('Prop TUOS'!F39="",0,'Prop TUOS'!F39))</f>
        <v/>
      </c>
      <c r="AK40" s="426" t="str">
        <f>IF($B40="","",IF('Prop TUOS'!G39="",0,'Prop TUOS'!G39))</f>
        <v/>
      </c>
      <c r="AL40" s="426" t="str">
        <f>IF($B40="","",IF('Prop TUOS'!H39="",0,'Prop TUOS'!H39))</f>
        <v/>
      </c>
      <c r="AM40" s="426" t="str">
        <f>IF($B40="","",IF('Prop TUOS'!I39="",0,'Prop TUOS'!I39))</f>
        <v/>
      </c>
      <c r="AN40" s="426" t="str">
        <f>IF($B40="","",IF('Prop TUOS'!J39="",0,'Prop TUOS'!J39))</f>
        <v/>
      </c>
      <c r="AO40" s="426" t="str">
        <f>IF($B40="","",IF('Prop TUOS'!K39="",0,'Prop TUOS'!K39))</f>
        <v/>
      </c>
      <c r="AP40" s="426" t="str">
        <f>IF($B40="","",IF('Prop TUOS'!L39="",0,'Prop TUOS'!L39))</f>
        <v/>
      </c>
      <c r="AQ40" s="426" t="str">
        <f>IF($B40="","",IF('Prop TUOS'!M39="",0,'Prop TUOS'!M39))</f>
        <v/>
      </c>
      <c r="AR40" s="426" t="str">
        <f>IF($B40="","",IF('Prop TUOS'!N39="",0,'Prop TUOS'!N39))</f>
        <v/>
      </c>
      <c r="AS40" s="426" t="str">
        <f>IF($B40="","",IF('Prop TUOS'!O39="",0,'Prop TUOS'!O39))</f>
        <v/>
      </c>
      <c r="AT40" s="426" t="str">
        <f>IF($B40="","",IF('Prop TUOS'!P39="",0,'Prop TUOS'!P39))</f>
        <v/>
      </c>
      <c r="AU40" s="606" t="str">
        <f>IF($B40="","",IF('Prop TUOS'!Q39="",0,'Prop TUOS'!Q39))</f>
        <v/>
      </c>
      <c r="AV40" s="427" t="str">
        <f>IF($B40="","",IF('Prop TUOS'!R39="",0,'Prop TUOS'!R39))</f>
        <v/>
      </c>
      <c r="AW40" s="425" t="str">
        <f>IF($B40="","",IF('Prop JUOS'!D39="",0,'Prop JUOS'!D39))</f>
        <v/>
      </c>
      <c r="AX40" s="426" t="str">
        <f>IF($B40="","",IF('Prop JUOS'!E39="",0,'Prop JUOS'!E39))</f>
        <v/>
      </c>
      <c r="AY40" s="426" t="str">
        <f>IF($B40="","",IF('Prop JUOS'!F39="",0,'Prop JUOS'!F39))</f>
        <v/>
      </c>
      <c r="AZ40" s="426" t="str">
        <f>IF($B40="","",IF('Prop JUOS'!G39="",0,'Prop JUOS'!G39))</f>
        <v/>
      </c>
      <c r="BA40" s="426" t="str">
        <f>IF($B40="","",IF('Prop JUOS'!H39="",0,'Prop JUOS'!H39))</f>
        <v/>
      </c>
      <c r="BB40" s="426" t="str">
        <f>IF($B40="","",IF('Prop JUOS'!I39="",0,'Prop JUOS'!I39))</f>
        <v/>
      </c>
      <c r="BC40" s="426" t="str">
        <f>IF($B40="","",IF('Prop JUOS'!J39="",0,'Prop JUOS'!J39))</f>
        <v/>
      </c>
      <c r="BD40" s="426" t="str">
        <f>IF($B40="","",IF('Prop JUOS'!K39="",0,'Prop JUOS'!K39))</f>
        <v/>
      </c>
      <c r="BE40" s="426" t="str">
        <f>IF($B40="","",IF('Prop JUOS'!L39="",0,'Prop JUOS'!L39))</f>
        <v/>
      </c>
      <c r="BF40" s="426" t="str">
        <f>IF($B40="","",IF('Prop JUOS'!M39="",0,'Prop JUOS'!M39))</f>
        <v/>
      </c>
      <c r="BG40" s="426" t="str">
        <f>IF($B40="","",IF('Prop JUOS'!N39="",0,'Prop JUOS'!N39))</f>
        <v/>
      </c>
      <c r="BH40" s="426" t="str">
        <f>IF($B40="","",IF('Prop JUOS'!O39="",0,'Prop JUOS'!O39))</f>
        <v/>
      </c>
      <c r="BI40" s="426" t="str">
        <f>IF($B40="","",IF('Prop JUOS'!P39="",0,'Prop JUOS'!P39))</f>
        <v/>
      </c>
      <c r="BJ40" s="606" t="str">
        <f>IF($B40="","",IF('Prop JUOS'!Q39="",0,'Prop JUOS'!Q39))</f>
        <v/>
      </c>
      <c r="BK40" s="427" t="str">
        <f>IF($B40="","",IF('Prop JUOS'!R39="",0,'Prop JUOS'!R39))</f>
        <v/>
      </c>
    </row>
    <row r="41" spans="2:63">
      <c r="B41" s="416" t="str">
        <f>IF('Prop DUOS'!B40="","",'Prop DUOS'!B40)</f>
        <v/>
      </c>
      <c r="C41" s="376" t="str">
        <f>IF(B41="","",INDEX('Side constraints'!$C$33:$C$92,MATCH('Prop DUOS'!B40,'Side constraints'!$D$33:$D$92,0),1))</f>
        <v/>
      </c>
      <c r="D41" s="425" t="str">
        <f t="shared" ref="D41:D67" si="19">IF($B41="","",IF(S41="", IF(AH41="", IF(AW41-"","",S41+AH41+AW41),S41+AH41+AW41),S41+AH41+AW41))</f>
        <v/>
      </c>
      <c r="E41" s="426" t="str">
        <f t="shared" ref="E41:E67" si="20">IF($B41="","",IF(T41="", IF(AI41="", IF(AX41-"","",T41+AI41+AX41),T41+AI41+AX41),T41+AI41+AX41))</f>
        <v/>
      </c>
      <c r="F41" s="426" t="str">
        <f t="shared" ref="F41:F67" si="21">IF($B41="","",IF(U41="", IF(AJ41="", IF(AY41-"","",U41+AJ41+AY41),U41+AJ41+AY41),U41+AJ41+AY41))</f>
        <v/>
      </c>
      <c r="G41" s="426" t="str">
        <f t="shared" ref="G41:G67" si="22">IF($B41="","",IF(V41="", IF(AK41="", IF(AZ41-"","",V41+AK41+AZ41),V41+AK41+AZ41),V41+AK41+AZ41))</f>
        <v/>
      </c>
      <c r="H41" s="426" t="str">
        <f t="shared" ref="H41:H67" si="23">IF($B41="","",IF(W41="", IF(AL41="", IF(BA41-"","",W41+AL41+BA41),W41+AL41+BA41),W41+AL41+BA41))</f>
        <v/>
      </c>
      <c r="I41" s="426" t="str">
        <f t="shared" ref="I41:I67" si="24">IF($B41="","",IF(X41="", IF(AM41="", IF(BB41-"","",X41+AM41+BB41),X41+AM41+BB41),X41+AM41+BB41))</f>
        <v/>
      </c>
      <c r="J41" s="426" t="str">
        <f t="shared" ref="J41:J67" si="25">IF($B41="","",IF(Y41="", IF(AN41="", IF(BC41-"","",Y41+AN41+BC41),Y41+AN41+BC41),Y41+AN41+BC41))</f>
        <v/>
      </c>
      <c r="K41" s="426" t="str">
        <f t="shared" ref="K41:K67" si="26">IF($B41="","",IF(Z41="", IF(AO41="", IF(BD41-"","",Z41+AO41+BD41),Z41+AO41+BD41),Z41+AO41+BD41))</f>
        <v/>
      </c>
      <c r="L41" s="426" t="str">
        <f t="shared" ref="L41:L67" si="27">IF($B41="","",IF(AA41="", IF(AP41="", IF(BE41-"","",AA41+AP41+BE41),AA41+AP41+BE41),AA41+AP41+BE41))</f>
        <v/>
      </c>
      <c r="M41" s="426" t="str">
        <f t="shared" si="13"/>
        <v/>
      </c>
      <c r="N41" s="426" t="str">
        <f t="shared" si="14"/>
        <v/>
      </c>
      <c r="O41" s="426" t="str">
        <f t="shared" si="15"/>
        <v/>
      </c>
      <c r="P41" s="426" t="str">
        <f t="shared" si="16"/>
        <v/>
      </c>
      <c r="Q41" s="606" t="str">
        <f t="shared" si="17"/>
        <v/>
      </c>
      <c r="R41" s="427" t="str">
        <f t="shared" si="18"/>
        <v/>
      </c>
      <c r="S41" s="425" t="str">
        <f>IF($B41="","",IF('Prop DUOS'!E40="",0,'Prop DUOS'!E40))</f>
        <v/>
      </c>
      <c r="T41" s="426" t="str">
        <f>IF($B41="","",IF('Prop DUOS'!F40="",0,'Prop DUOS'!F40))</f>
        <v/>
      </c>
      <c r="U41" s="426" t="str">
        <f>IF($B41="","",IF('Prop DUOS'!G40="",0,'Prop DUOS'!G40))</f>
        <v/>
      </c>
      <c r="V41" s="426" t="str">
        <f>IF($B41="","",IF('Prop DUOS'!H40="",0,'Prop DUOS'!H40))</f>
        <v/>
      </c>
      <c r="W41" s="426" t="str">
        <f>IF($B41="","",IF('Prop DUOS'!I40="",0,'Prop DUOS'!I40))</f>
        <v/>
      </c>
      <c r="X41" s="426" t="str">
        <f>IF($B41="","",IF('Prop DUOS'!J40="",0,'Prop DUOS'!J40))</f>
        <v/>
      </c>
      <c r="Y41" s="426" t="str">
        <f>IF($B41="","",IF('Prop DUOS'!K40="",0,'Prop DUOS'!K40))</f>
        <v/>
      </c>
      <c r="Z41" s="426" t="str">
        <f>IF($B41="","",IF('Prop DUOS'!L40="",0,'Prop DUOS'!L40))</f>
        <v/>
      </c>
      <c r="AA41" s="426" t="str">
        <f>IF($B41="","",IF('Prop DUOS'!M40="",0,'Prop DUOS'!M40))</f>
        <v/>
      </c>
      <c r="AB41" s="426" t="str">
        <f>IF($B41="","",IF('Prop DUOS'!N40="",0,'Prop DUOS'!N40))</f>
        <v/>
      </c>
      <c r="AC41" s="426" t="str">
        <f>IF($B41="","",IF('Prop DUOS'!O40="",0,'Prop DUOS'!O40))</f>
        <v/>
      </c>
      <c r="AD41" s="426" t="str">
        <f>IF($B41="","",IF('Prop DUOS'!P40="",0,'Prop DUOS'!P40))</f>
        <v/>
      </c>
      <c r="AE41" s="426" t="str">
        <f>IF($B41="","",IF('Prop DUOS'!Q40="",0,'Prop DUOS'!Q40))</f>
        <v/>
      </c>
      <c r="AF41" s="606" t="str">
        <f>IF($B41="","",IF('Prop DUOS'!R40="",0,'Prop DUOS'!R40))</f>
        <v/>
      </c>
      <c r="AG41" s="427" t="str">
        <f>IF($B41="","",IF('Prop DUOS'!S40="",0,'Prop DUOS'!S40))</f>
        <v/>
      </c>
      <c r="AH41" s="425" t="str">
        <f>IF($B41="","",IF('Prop TUOS'!D40="",0,'Prop TUOS'!D40))</f>
        <v/>
      </c>
      <c r="AI41" s="426" t="str">
        <f>IF($B41="","",IF('Prop TUOS'!E40="",0,'Prop TUOS'!E40))</f>
        <v/>
      </c>
      <c r="AJ41" s="426" t="str">
        <f>IF($B41="","",IF('Prop TUOS'!F40="",0,'Prop TUOS'!F40))</f>
        <v/>
      </c>
      <c r="AK41" s="426" t="str">
        <f>IF($B41="","",IF('Prop TUOS'!G40="",0,'Prop TUOS'!G40))</f>
        <v/>
      </c>
      <c r="AL41" s="426" t="str">
        <f>IF($B41="","",IF('Prop TUOS'!H40="",0,'Prop TUOS'!H40))</f>
        <v/>
      </c>
      <c r="AM41" s="426" t="str">
        <f>IF($B41="","",IF('Prop TUOS'!I40="",0,'Prop TUOS'!I40))</f>
        <v/>
      </c>
      <c r="AN41" s="426" t="str">
        <f>IF($B41="","",IF('Prop TUOS'!J40="",0,'Prop TUOS'!J40))</f>
        <v/>
      </c>
      <c r="AO41" s="426" t="str">
        <f>IF($B41="","",IF('Prop TUOS'!K40="",0,'Prop TUOS'!K40))</f>
        <v/>
      </c>
      <c r="AP41" s="426" t="str">
        <f>IF($B41="","",IF('Prop TUOS'!L40="",0,'Prop TUOS'!L40))</f>
        <v/>
      </c>
      <c r="AQ41" s="426" t="str">
        <f>IF($B41="","",IF('Prop TUOS'!M40="",0,'Prop TUOS'!M40))</f>
        <v/>
      </c>
      <c r="AR41" s="426" t="str">
        <f>IF($B41="","",IF('Prop TUOS'!N40="",0,'Prop TUOS'!N40))</f>
        <v/>
      </c>
      <c r="AS41" s="426" t="str">
        <f>IF($B41="","",IF('Prop TUOS'!O40="",0,'Prop TUOS'!O40))</f>
        <v/>
      </c>
      <c r="AT41" s="426" t="str">
        <f>IF($B41="","",IF('Prop TUOS'!P40="",0,'Prop TUOS'!P40))</f>
        <v/>
      </c>
      <c r="AU41" s="606" t="str">
        <f>IF($B41="","",IF('Prop TUOS'!Q40="",0,'Prop TUOS'!Q40))</f>
        <v/>
      </c>
      <c r="AV41" s="427" t="str">
        <f>IF($B41="","",IF('Prop TUOS'!R40="",0,'Prop TUOS'!R40))</f>
        <v/>
      </c>
      <c r="AW41" s="425" t="str">
        <f>IF($B41="","",IF('Prop JUOS'!D40="",0,'Prop JUOS'!D40))</f>
        <v/>
      </c>
      <c r="AX41" s="426" t="str">
        <f>IF($B41="","",IF('Prop JUOS'!E40="",0,'Prop JUOS'!E40))</f>
        <v/>
      </c>
      <c r="AY41" s="426" t="str">
        <f>IF($B41="","",IF('Prop JUOS'!F40="",0,'Prop JUOS'!F40))</f>
        <v/>
      </c>
      <c r="AZ41" s="426" t="str">
        <f>IF($B41="","",IF('Prop JUOS'!G40="",0,'Prop JUOS'!G40))</f>
        <v/>
      </c>
      <c r="BA41" s="426" t="str">
        <f>IF($B41="","",IF('Prop JUOS'!H40="",0,'Prop JUOS'!H40))</f>
        <v/>
      </c>
      <c r="BB41" s="426" t="str">
        <f>IF($B41="","",IF('Prop JUOS'!I40="",0,'Prop JUOS'!I40))</f>
        <v/>
      </c>
      <c r="BC41" s="426" t="str">
        <f>IF($B41="","",IF('Prop JUOS'!J40="",0,'Prop JUOS'!J40))</f>
        <v/>
      </c>
      <c r="BD41" s="426" t="str">
        <f>IF($B41="","",IF('Prop JUOS'!K40="",0,'Prop JUOS'!K40))</f>
        <v/>
      </c>
      <c r="BE41" s="426" t="str">
        <f>IF($B41="","",IF('Prop JUOS'!L40="",0,'Prop JUOS'!L40))</f>
        <v/>
      </c>
      <c r="BF41" s="426" t="str">
        <f>IF($B41="","",IF('Prop JUOS'!M40="",0,'Prop JUOS'!M40))</f>
        <v/>
      </c>
      <c r="BG41" s="426" t="str">
        <f>IF($B41="","",IF('Prop JUOS'!N40="",0,'Prop JUOS'!N40))</f>
        <v/>
      </c>
      <c r="BH41" s="426" t="str">
        <f>IF($B41="","",IF('Prop JUOS'!O40="",0,'Prop JUOS'!O40))</f>
        <v/>
      </c>
      <c r="BI41" s="426" t="str">
        <f>IF($B41="","",IF('Prop JUOS'!P40="",0,'Prop JUOS'!P40))</f>
        <v/>
      </c>
      <c r="BJ41" s="606" t="str">
        <f>IF($B41="","",IF('Prop JUOS'!Q40="",0,'Prop JUOS'!Q40))</f>
        <v/>
      </c>
      <c r="BK41" s="427" t="str">
        <f>IF($B41="","",IF('Prop JUOS'!R40="",0,'Prop JUOS'!R40))</f>
        <v/>
      </c>
    </row>
    <row r="42" spans="2:63">
      <c r="B42" s="416" t="str">
        <f>IF('Prop DUOS'!B41="","",'Prop DUOS'!B41)</f>
        <v/>
      </c>
      <c r="C42" s="376" t="str">
        <f>IF(B42="","",INDEX('Side constraints'!$C$33:$C$92,MATCH('Prop DUOS'!B41,'Side constraints'!$D$33:$D$92,0),1))</f>
        <v/>
      </c>
      <c r="D42" s="425" t="str">
        <f t="shared" si="19"/>
        <v/>
      </c>
      <c r="E42" s="426" t="str">
        <f t="shared" si="20"/>
        <v/>
      </c>
      <c r="F42" s="426" t="str">
        <f t="shared" si="21"/>
        <v/>
      </c>
      <c r="G42" s="426" t="str">
        <f t="shared" si="22"/>
        <v/>
      </c>
      <c r="H42" s="426" t="str">
        <f t="shared" si="23"/>
        <v/>
      </c>
      <c r="I42" s="426" t="str">
        <f t="shared" si="24"/>
        <v/>
      </c>
      <c r="J42" s="426" t="str">
        <f t="shared" si="25"/>
        <v/>
      </c>
      <c r="K42" s="426" t="str">
        <f t="shared" si="26"/>
        <v/>
      </c>
      <c r="L42" s="426" t="str">
        <f t="shared" si="27"/>
        <v/>
      </c>
      <c r="M42" s="426" t="str">
        <f t="shared" si="13"/>
        <v/>
      </c>
      <c r="N42" s="426" t="str">
        <f t="shared" si="14"/>
        <v/>
      </c>
      <c r="O42" s="426" t="str">
        <f t="shared" si="15"/>
        <v/>
      </c>
      <c r="P42" s="426" t="str">
        <f t="shared" si="16"/>
        <v/>
      </c>
      <c r="Q42" s="606" t="str">
        <f t="shared" si="17"/>
        <v/>
      </c>
      <c r="R42" s="427" t="str">
        <f t="shared" si="18"/>
        <v/>
      </c>
      <c r="S42" s="425" t="str">
        <f>IF($B42="","",IF('Prop DUOS'!E41="",0,'Prop DUOS'!E41))</f>
        <v/>
      </c>
      <c r="T42" s="426" t="str">
        <f>IF($B42="","",IF('Prop DUOS'!F41="",0,'Prop DUOS'!F41))</f>
        <v/>
      </c>
      <c r="U42" s="426" t="str">
        <f>IF($B42="","",IF('Prop DUOS'!G41="",0,'Prop DUOS'!G41))</f>
        <v/>
      </c>
      <c r="V42" s="426" t="str">
        <f>IF($B42="","",IF('Prop DUOS'!H41="",0,'Prop DUOS'!H41))</f>
        <v/>
      </c>
      <c r="W42" s="426" t="str">
        <f>IF($B42="","",IF('Prop DUOS'!I41="",0,'Prop DUOS'!I41))</f>
        <v/>
      </c>
      <c r="X42" s="426" t="str">
        <f>IF($B42="","",IF('Prop DUOS'!J41="",0,'Prop DUOS'!J41))</f>
        <v/>
      </c>
      <c r="Y42" s="426" t="str">
        <f>IF($B42="","",IF('Prop DUOS'!K41="",0,'Prop DUOS'!K41))</f>
        <v/>
      </c>
      <c r="Z42" s="426" t="str">
        <f>IF($B42="","",IF('Prop DUOS'!L41="",0,'Prop DUOS'!L41))</f>
        <v/>
      </c>
      <c r="AA42" s="426" t="str">
        <f>IF($B42="","",IF('Prop DUOS'!M41="",0,'Prop DUOS'!M41))</f>
        <v/>
      </c>
      <c r="AB42" s="426" t="str">
        <f>IF($B42="","",IF('Prop DUOS'!N41="",0,'Prop DUOS'!N41))</f>
        <v/>
      </c>
      <c r="AC42" s="426" t="str">
        <f>IF($B42="","",IF('Prop DUOS'!O41="",0,'Prop DUOS'!O41))</f>
        <v/>
      </c>
      <c r="AD42" s="426" t="str">
        <f>IF($B42="","",IF('Prop DUOS'!P41="",0,'Prop DUOS'!P41))</f>
        <v/>
      </c>
      <c r="AE42" s="426" t="str">
        <f>IF($B42="","",IF('Prop DUOS'!Q41="",0,'Prop DUOS'!Q41))</f>
        <v/>
      </c>
      <c r="AF42" s="606" t="str">
        <f>IF($B42="","",IF('Prop DUOS'!R41="",0,'Prop DUOS'!R41))</f>
        <v/>
      </c>
      <c r="AG42" s="427" t="str">
        <f>IF($B42="","",IF('Prop DUOS'!S41="",0,'Prop DUOS'!S41))</f>
        <v/>
      </c>
      <c r="AH42" s="425" t="str">
        <f>IF($B42="","",IF('Prop TUOS'!D41="",0,'Prop TUOS'!D41))</f>
        <v/>
      </c>
      <c r="AI42" s="426" t="str">
        <f>IF($B42="","",IF('Prop TUOS'!E41="",0,'Prop TUOS'!E41))</f>
        <v/>
      </c>
      <c r="AJ42" s="426" t="str">
        <f>IF($B42="","",IF('Prop TUOS'!F41="",0,'Prop TUOS'!F41))</f>
        <v/>
      </c>
      <c r="AK42" s="426" t="str">
        <f>IF($B42="","",IF('Prop TUOS'!G41="",0,'Prop TUOS'!G41))</f>
        <v/>
      </c>
      <c r="AL42" s="426" t="str">
        <f>IF($B42="","",IF('Prop TUOS'!H41="",0,'Prop TUOS'!H41))</f>
        <v/>
      </c>
      <c r="AM42" s="426" t="str">
        <f>IF($B42="","",IF('Prop TUOS'!I41="",0,'Prop TUOS'!I41))</f>
        <v/>
      </c>
      <c r="AN42" s="426" t="str">
        <f>IF($B42="","",IF('Prop TUOS'!J41="",0,'Prop TUOS'!J41))</f>
        <v/>
      </c>
      <c r="AO42" s="426" t="str">
        <f>IF($B42="","",IF('Prop TUOS'!K41="",0,'Prop TUOS'!K41))</f>
        <v/>
      </c>
      <c r="AP42" s="426" t="str">
        <f>IF($B42="","",IF('Prop TUOS'!L41="",0,'Prop TUOS'!L41))</f>
        <v/>
      </c>
      <c r="AQ42" s="426" t="str">
        <f>IF($B42="","",IF('Prop TUOS'!M41="",0,'Prop TUOS'!M41))</f>
        <v/>
      </c>
      <c r="AR42" s="426" t="str">
        <f>IF($B42="","",IF('Prop TUOS'!N41="",0,'Prop TUOS'!N41))</f>
        <v/>
      </c>
      <c r="AS42" s="426" t="str">
        <f>IF($B42="","",IF('Prop TUOS'!O41="",0,'Prop TUOS'!O41))</f>
        <v/>
      </c>
      <c r="AT42" s="426" t="str">
        <f>IF($B42="","",IF('Prop TUOS'!P41="",0,'Prop TUOS'!P41))</f>
        <v/>
      </c>
      <c r="AU42" s="606" t="str">
        <f>IF($B42="","",IF('Prop TUOS'!Q41="",0,'Prop TUOS'!Q41))</f>
        <v/>
      </c>
      <c r="AV42" s="427" t="str">
        <f>IF($B42="","",IF('Prop TUOS'!R41="",0,'Prop TUOS'!R41))</f>
        <v/>
      </c>
      <c r="AW42" s="425" t="str">
        <f>IF($B42="","",IF('Prop JUOS'!D41="",0,'Prop JUOS'!D41))</f>
        <v/>
      </c>
      <c r="AX42" s="426" t="str">
        <f>IF($B42="","",IF('Prop JUOS'!E41="",0,'Prop JUOS'!E41))</f>
        <v/>
      </c>
      <c r="AY42" s="426" t="str">
        <f>IF($B42="","",IF('Prop JUOS'!F41="",0,'Prop JUOS'!F41))</f>
        <v/>
      </c>
      <c r="AZ42" s="426" t="str">
        <f>IF($B42="","",IF('Prop JUOS'!G41="",0,'Prop JUOS'!G41))</f>
        <v/>
      </c>
      <c r="BA42" s="426" t="str">
        <f>IF($B42="","",IF('Prop JUOS'!H41="",0,'Prop JUOS'!H41))</f>
        <v/>
      </c>
      <c r="BB42" s="426" t="str">
        <f>IF($B42="","",IF('Prop JUOS'!I41="",0,'Prop JUOS'!I41))</f>
        <v/>
      </c>
      <c r="BC42" s="426" t="str">
        <f>IF($B42="","",IF('Prop JUOS'!J41="",0,'Prop JUOS'!J41))</f>
        <v/>
      </c>
      <c r="BD42" s="426" t="str">
        <f>IF($B42="","",IF('Prop JUOS'!K41="",0,'Prop JUOS'!K41))</f>
        <v/>
      </c>
      <c r="BE42" s="426" t="str">
        <f>IF($B42="","",IF('Prop JUOS'!L41="",0,'Prop JUOS'!L41))</f>
        <v/>
      </c>
      <c r="BF42" s="426" t="str">
        <f>IF($B42="","",IF('Prop JUOS'!M41="",0,'Prop JUOS'!M41))</f>
        <v/>
      </c>
      <c r="BG42" s="426" t="str">
        <f>IF($B42="","",IF('Prop JUOS'!N41="",0,'Prop JUOS'!N41))</f>
        <v/>
      </c>
      <c r="BH42" s="426" t="str">
        <f>IF($B42="","",IF('Prop JUOS'!O41="",0,'Prop JUOS'!O41))</f>
        <v/>
      </c>
      <c r="BI42" s="426" t="str">
        <f>IF($B42="","",IF('Prop JUOS'!P41="",0,'Prop JUOS'!P41))</f>
        <v/>
      </c>
      <c r="BJ42" s="606" t="str">
        <f>IF($B42="","",IF('Prop JUOS'!Q41="",0,'Prop JUOS'!Q41))</f>
        <v/>
      </c>
      <c r="BK42" s="427" t="str">
        <f>IF($B42="","",IF('Prop JUOS'!R41="",0,'Prop JUOS'!R41))</f>
        <v/>
      </c>
    </row>
    <row r="43" spans="2:63">
      <c r="B43" s="416" t="str">
        <f>IF('Prop DUOS'!B42="","",'Prop DUOS'!B42)</f>
        <v/>
      </c>
      <c r="C43" s="376" t="str">
        <f>IF(B43="","",INDEX('Side constraints'!$C$33:$C$92,MATCH('Prop DUOS'!B42,'Side constraints'!$D$33:$D$92,0),1))</f>
        <v/>
      </c>
      <c r="D43" s="425" t="str">
        <f t="shared" si="19"/>
        <v/>
      </c>
      <c r="E43" s="426" t="str">
        <f t="shared" si="20"/>
        <v/>
      </c>
      <c r="F43" s="426" t="str">
        <f t="shared" si="21"/>
        <v/>
      </c>
      <c r="G43" s="426" t="str">
        <f t="shared" si="22"/>
        <v/>
      </c>
      <c r="H43" s="426" t="str">
        <f t="shared" si="23"/>
        <v/>
      </c>
      <c r="I43" s="426" t="str">
        <f t="shared" si="24"/>
        <v/>
      </c>
      <c r="J43" s="426" t="str">
        <f t="shared" si="25"/>
        <v/>
      </c>
      <c r="K43" s="426" t="str">
        <f t="shared" si="26"/>
        <v/>
      </c>
      <c r="L43" s="426" t="str">
        <f t="shared" si="27"/>
        <v/>
      </c>
      <c r="M43" s="426" t="str">
        <f t="shared" si="13"/>
        <v/>
      </c>
      <c r="N43" s="426" t="str">
        <f t="shared" si="14"/>
        <v/>
      </c>
      <c r="O43" s="426" t="str">
        <f t="shared" si="15"/>
        <v/>
      </c>
      <c r="P43" s="426" t="str">
        <f t="shared" si="16"/>
        <v/>
      </c>
      <c r="Q43" s="606" t="str">
        <f t="shared" si="17"/>
        <v/>
      </c>
      <c r="R43" s="427" t="str">
        <f t="shared" si="18"/>
        <v/>
      </c>
      <c r="S43" s="425" t="str">
        <f>IF($B43="","",IF('Prop DUOS'!E42="",0,'Prop DUOS'!E42))</f>
        <v/>
      </c>
      <c r="T43" s="426" t="str">
        <f>IF($B43="","",IF('Prop DUOS'!F42="",0,'Prop DUOS'!F42))</f>
        <v/>
      </c>
      <c r="U43" s="426" t="str">
        <f>IF($B43="","",IF('Prop DUOS'!G42="",0,'Prop DUOS'!G42))</f>
        <v/>
      </c>
      <c r="V43" s="426" t="str">
        <f>IF($B43="","",IF('Prop DUOS'!H42="",0,'Prop DUOS'!H42))</f>
        <v/>
      </c>
      <c r="W43" s="426" t="str">
        <f>IF($B43="","",IF('Prop DUOS'!I42="",0,'Prop DUOS'!I42))</f>
        <v/>
      </c>
      <c r="X43" s="426" t="str">
        <f>IF($B43="","",IF('Prop DUOS'!J42="",0,'Prop DUOS'!J42))</f>
        <v/>
      </c>
      <c r="Y43" s="426" t="str">
        <f>IF($B43="","",IF('Prop DUOS'!K42="",0,'Prop DUOS'!K42))</f>
        <v/>
      </c>
      <c r="Z43" s="426" t="str">
        <f>IF($B43="","",IF('Prop DUOS'!L42="",0,'Prop DUOS'!L42))</f>
        <v/>
      </c>
      <c r="AA43" s="426" t="str">
        <f>IF($B43="","",IF('Prop DUOS'!M42="",0,'Prop DUOS'!M42))</f>
        <v/>
      </c>
      <c r="AB43" s="426" t="str">
        <f>IF($B43="","",IF('Prop DUOS'!N42="",0,'Prop DUOS'!N42))</f>
        <v/>
      </c>
      <c r="AC43" s="426" t="str">
        <f>IF($B43="","",IF('Prop DUOS'!O42="",0,'Prop DUOS'!O42))</f>
        <v/>
      </c>
      <c r="AD43" s="426" t="str">
        <f>IF($B43="","",IF('Prop DUOS'!P42="",0,'Prop DUOS'!P42))</f>
        <v/>
      </c>
      <c r="AE43" s="426" t="str">
        <f>IF($B43="","",IF('Prop DUOS'!Q42="",0,'Prop DUOS'!Q42))</f>
        <v/>
      </c>
      <c r="AF43" s="606" t="str">
        <f>IF($B43="","",IF('Prop DUOS'!R42="",0,'Prop DUOS'!R42))</f>
        <v/>
      </c>
      <c r="AG43" s="427" t="str">
        <f>IF($B43="","",IF('Prop DUOS'!S42="",0,'Prop DUOS'!S42))</f>
        <v/>
      </c>
      <c r="AH43" s="425" t="str">
        <f>IF($B43="","",IF('Prop TUOS'!D42="",0,'Prop TUOS'!D42))</f>
        <v/>
      </c>
      <c r="AI43" s="426" t="str">
        <f>IF($B43="","",IF('Prop TUOS'!E42="",0,'Prop TUOS'!E42))</f>
        <v/>
      </c>
      <c r="AJ43" s="426" t="str">
        <f>IF($B43="","",IF('Prop TUOS'!F42="",0,'Prop TUOS'!F42))</f>
        <v/>
      </c>
      <c r="AK43" s="426" t="str">
        <f>IF($B43="","",IF('Prop TUOS'!G42="",0,'Prop TUOS'!G42))</f>
        <v/>
      </c>
      <c r="AL43" s="426" t="str">
        <f>IF($B43="","",IF('Prop TUOS'!H42="",0,'Prop TUOS'!H42))</f>
        <v/>
      </c>
      <c r="AM43" s="426" t="str">
        <f>IF($B43="","",IF('Prop TUOS'!I42="",0,'Prop TUOS'!I42))</f>
        <v/>
      </c>
      <c r="AN43" s="426" t="str">
        <f>IF($B43="","",IF('Prop TUOS'!J42="",0,'Prop TUOS'!J42))</f>
        <v/>
      </c>
      <c r="AO43" s="426" t="str">
        <f>IF($B43="","",IF('Prop TUOS'!K42="",0,'Prop TUOS'!K42))</f>
        <v/>
      </c>
      <c r="AP43" s="426" t="str">
        <f>IF($B43="","",IF('Prop TUOS'!L42="",0,'Prop TUOS'!L42))</f>
        <v/>
      </c>
      <c r="AQ43" s="426" t="str">
        <f>IF($B43="","",IF('Prop TUOS'!M42="",0,'Prop TUOS'!M42))</f>
        <v/>
      </c>
      <c r="AR43" s="426" t="str">
        <f>IF($B43="","",IF('Prop TUOS'!N42="",0,'Prop TUOS'!N42))</f>
        <v/>
      </c>
      <c r="AS43" s="426" t="str">
        <f>IF($B43="","",IF('Prop TUOS'!O42="",0,'Prop TUOS'!O42))</f>
        <v/>
      </c>
      <c r="AT43" s="426" t="str">
        <f>IF($B43="","",IF('Prop TUOS'!P42="",0,'Prop TUOS'!P42))</f>
        <v/>
      </c>
      <c r="AU43" s="606" t="str">
        <f>IF($B43="","",IF('Prop TUOS'!Q42="",0,'Prop TUOS'!Q42))</f>
        <v/>
      </c>
      <c r="AV43" s="427" t="str">
        <f>IF($B43="","",IF('Prop TUOS'!R42="",0,'Prop TUOS'!R42))</f>
        <v/>
      </c>
      <c r="AW43" s="425" t="str">
        <f>IF($B43="","",IF('Prop JUOS'!D42="",0,'Prop JUOS'!D42))</f>
        <v/>
      </c>
      <c r="AX43" s="426" t="str">
        <f>IF($B43="","",IF('Prop JUOS'!E42="",0,'Prop JUOS'!E42))</f>
        <v/>
      </c>
      <c r="AY43" s="426" t="str">
        <f>IF($B43="","",IF('Prop JUOS'!F42="",0,'Prop JUOS'!F42))</f>
        <v/>
      </c>
      <c r="AZ43" s="426" t="str">
        <f>IF($B43="","",IF('Prop JUOS'!G42="",0,'Prop JUOS'!G42))</f>
        <v/>
      </c>
      <c r="BA43" s="426" t="str">
        <f>IF($B43="","",IF('Prop JUOS'!H42="",0,'Prop JUOS'!H42))</f>
        <v/>
      </c>
      <c r="BB43" s="426" t="str">
        <f>IF($B43="","",IF('Prop JUOS'!I42="",0,'Prop JUOS'!I42))</f>
        <v/>
      </c>
      <c r="BC43" s="426" t="str">
        <f>IF($B43="","",IF('Prop JUOS'!J42="",0,'Prop JUOS'!J42))</f>
        <v/>
      </c>
      <c r="BD43" s="426" t="str">
        <f>IF($B43="","",IF('Prop JUOS'!K42="",0,'Prop JUOS'!K42))</f>
        <v/>
      </c>
      <c r="BE43" s="426" t="str">
        <f>IF($B43="","",IF('Prop JUOS'!L42="",0,'Prop JUOS'!L42))</f>
        <v/>
      </c>
      <c r="BF43" s="426" t="str">
        <f>IF($B43="","",IF('Prop JUOS'!M42="",0,'Prop JUOS'!M42))</f>
        <v/>
      </c>
      <c r="BG43" s="426" t="str">
        <f>IF($B43="","",IF('Prop JUOS'!N42="",0,'Prop JUOS'!N42))</f>
        <v/>
      </c>
      <c r="BH43" s="426" t="str">
        <f>IF($B43="","",IF('Prop JUOS'!O42="",0,'Prop JUOS'!O42))</f>
        <v/>
      </c>
      <c r="BI43" s="426" t="str">
        <f>IF($B43="","",IF('Prop JUOS'!P42="",0,'Prop JUOS'!P42))</f>
        <v/>
      </c>
      <c r="BJ43" s="606" t="str">
        <f>IF($B43="","",IF('Prop JUOS'!Q42="",0,'Prop JUOS'!Q42))</f>
        <v/>
      </c>
      <c r="BK43" s="427" t="str">
        <f>IF($B43="","",IF('Prop JUOS'!R42="",0,'Prop JUOS'!R42))</f>
        <v/>
      </c>
    </row>
    <row r="44" spans="2:63">
      <c r="B44" s="416" t="str">
        <f>IF('Prop DUOS'!B43="","",'Prop DUOS'!B43)</f>
        <v/>
      </c>
      <c r="C44" s="376" t="str">
        <f>IF(B44="","",INDEX('Side constraints'!$C$33:$C$92,MATCH('Prop DUOS'!B43,'Side constraints'!$D$33:$D$92,0),1))</f>
        <v/>
      </c>
      <c r="D44" s="425" t="str">
        <f t="shared" si="19"/>
        <v/>
      </c>
      <c r="E44" s="426" t="str">
        <f t="shared" si="20"/>
        <v/>
      </c>
      <c r="F44" s="426" t="str">
        <f t="shared" si="21"/>
        <v/>
      </c>
      <c r="G44" s="426" t="str">
        <f t="shared" si="22"/>
        <v/>
      </c>
      <c r="H44" s="426" t="str">
        <f t="shared" si="23"/>
        <v/>
      </c>
      <c r="I44" s="426" t="str">
        <f t="shared" si="24"/>
        <v/>
      </c>
      <c r="J44" s="426" t="str">
        <f t="shared" si="25"/>
        <v/>
      </c>
      <c r="K44" s="426" t="str">
        <f t="shared" si="26"/>
        <v/>
      </c>
      <c r="L44" s="426" t="str">
        <f t="shared" si="27"/>
        <v/>
      </c>
      <c r="M44" s="426" t="str">
        <f t="shared" si="13"/>
        <v/>
      </c>
      <c r="N44" s="426" t="str">
        <f t="shared" si="14"/>
        <v/>
      </c>
      <c r="O44" s="426" t="str">
        <f t="shared" si="15"/>
        <v/>
      </c>
      <c r="P44" s="426" t="str">
        <f t="shared" si="16"/>
        <v/>
      </c>
      <c r="Q44" s="606" t="str">
        <f t="shared" si="17"/>
        <v/>
      </c>
      <c r="R44" s="427" t="str">
        <f t="shared" si="18"/>
        <v/>
      </c>
      <c r="S44" s="425" t="str">
        <f>IF($B44="","",IF('Prop DUOS'!E43="",0,'Prop DUOS'!E43))</f>
        <v/>
      </c>
      <c r="T44" s="426" t="str">
        <f>IF($B44="","",IF('Prop DUOS'!F43="",0,'Prop DUOS'!F43))</f>
        <v/>
      </c>
      <c r="U44" s="426" t="str">
        <f>IF($B44="","",IF('Prop DUOS'!G43="",0,'Prop DUOS'!G43))</f>
        <v/>
      </c>
      <c r="V44" s="426" t="str">
        <f>IF($B44="","",IF('Prop DUOS'!H43="",0,'Prop DUOS'!H43))</f>
        <v/>
      </c>
      <c r="W44" s="426" t="str">
        <f>IF($B44="","",IF('Prop DUOS'!I43="",0,'Prop DUOS'!I43))</f>
        <v/>
      </c>
      <c r="X44" s="426" t="str">
        <f>IF($B44="","",IF('Prop DUOS'!J43="",0,'Prop DUOS'!J43))</f>
        <v/>
      </c>
      <c r="Y44" s="426" t="str">
        <f>IF($B44="","",IF('Prop DUOS'!K43="",0,'Prop DUOS'!K43))</f>
        <v/>
      </c>
      <c r="Z44" s="426" t="str">
        <f>IF($B44="","",IF('Prop DUOS'!L43="",0,'Prop DUOS'!L43))</f>
        <v/>
      </c>
      <c r="AA44" s="426" t="str">
        <f>IF($B44="","",IF('Prop DUOS'!M43="",0,'Prop DUOS'!M43))</f>
        <v/>
      </c>
      <c r="AB44" s="426" t="str">
        <f>IF($B44="","",IF('Prop DUOS'!N43="",0,'Prop DUOS'!N43))</f>
        <v/>
      </c>
      <c r="AC44" s="426" t="str">
        <f>IF($B44="","",IF('Prop DUOS'!O43="",0,'Prop DUOS'!O43))</f>
        <v/>
      </c>
      <c r="AD44" s="426" t="str">
        <f>IF($B44="","",IF('Prop DUOS'!P43="",0,'Prop DUOS'!P43))</f>
        <v/>
      </c>
      <c r="AE44" s="426" t="str">
        <f>IF($B44="","",IF('Prop DUOS'!Q43="",0,'Prop DUOS'!Q43))</f>
        <v/>
      </c>
      <c r="AF44" s="606" t="str">
        <f>IF($B44="","",IF('Prop DUOS'!R43="",0,'Prop DUOS'!R43))</f>
        <v/>
      </c>
      <c r="AG44" s="427" t="str">
        <f>IF($B44="","",IF('Prop DUOS'!S43="",0,'Prop DUOS'!S43))</f>
        <v/>
      </c>
      <c r="AH44" s="425" t="str">
        <f>IF($B44="","",IF('Prop TUOS'!D43="",0,'Prop TUOS'!D43))</f>
        <v/>
      </c>
      <c r="AI44" s="426" t="str">
        <f>IF($B44="","",IF('Prop TUOS'!E43="",0,'Prop TUOS'!E43))</f>
        <v/>
      </c>
      <c r="AJ44" s="426" t="str">
        <f>IF($B44="","",IF('Prop TUOS'!F43="",0,'Prop TUOS'!F43))</f>
        <v/>
      </c>
      <c r="AK44" s="426" t="str">
        <f>IF($B44="","",IF('Prop TUOS'!G43="",0,'Prop TUOS'!G43))</f>
        <v/>
      </c>
      <c r="AL44" s="426" t="str">
        <f>IF($B44="","",IF('Prop TUOS'!H43="",0,'Prop TUOS'!H43))</f>
        <v/>
      </c>
      <c r="AM44" s="426" t="str">
        <f>IF($B44="","",IF('Prop TUOS'!I43="",0,'Prop TUOS'!I43))</f>
        <v/>
      </c>
      <c r="AN44" s="426" t="str">
        <f>IF($B44="","",IF('Prop TUOS'!J43="",0,'Prop TUOS'!J43))</f>
        <v/>
      </c>
      <c r="AO44" s="426" t="str">
        <f>IF($B44="","",IF('Prop TUOS'!K43="",0,'Prop TUOS'!K43))</f>
        <v/>
      </c>
      <c r="AP44" s="426" t="str">
        <f>IF($B44="","",IF('Prop TUOS'!L43="",0,'Prop TUOS'!L43))</f>
        <v/>
      </c>
      <c r="AQ44" s="426" t="str">
        <f>IF($B44="","",IF('Prop TUOS'!M43="",0,'Prop TUOS'!M43))</f>
        <v/>
      </c>
      <c r="AR44" s="426" t="str">
        <f>IF($B44="","",IF('Prop TUOS'!N43="",0,'Prop TUOS'!N43))</f>
        <v/>
      </c>
      <c r="AS44" s="426" t="str">
        <f>IF($B44="","",IF('Prop TUOS'!O43="",0,'Prop TUOS'!O43))</f>
        <v/>
      </c>
      <c r="AT44" s="426" t="str">
        <f>IF($B44="","",IF('Prop TUOS'!P43="",0,'Prop TUOS'!P43))</f>
        <v/>
      </c>
      <c r="AU44" s="606" t="str">
        <f>IF($B44="","",IF('Prop TUOS'!Q43="",0,'Prop TUOS'!Q43))</f>
        <v/>
      </c>
      <c r="AV44" s="427" t="str">
        <f>IF($B44="","",IF('Prop TUOS'!R43="",0,'Prop TUOS'!R43))</f>
        <v/>
      </c>
      <c r="AW44" s="425" t="str">
        <f>IF($B44="","",IF('Prop JUOS'!D43="",0,'Prop JUOS'!D43))</f>
        <v/>
      </c>
      <c r="AX44" s="426" t="str">
        <f>IF($B44="","",IF('Prop JUOS'!E43="",0,'Prop JUOS'!E43))</f>
        <v/>
      </c>
      <c r="AY44" s="426" t="str">
        <f>IF($B44="","",IF('Prop JUOS'!F43="",0,'Prop JUOS'!F43))</f>
        <v/>
      </c>
      <c r="AZ44" s="426" t="str">
        <f>IF($B44="","",IF('Prop JUOS'!G43="",0,'Prop JUOS'!G43))</f>
        <v/>
      </c>
      <c r="BA44" s="426" t="str">
        <f>IF($B44="","",IF('Prop JUOS'!H43="",0,'Prop JUOS'!H43))</f>
        <v/>
      </c>
      <c r="BB44" s="426" t="str">
        <f>IF($B44="","",IF('Prop JUOS'!I43="",0,'Prop JUOS'!I43))</f>
        <v/>
      </c>
      <c r="BC44" s="426" t="str">
        <f>IF($B44="","",IF('Prop JUOS'!J43="",0,'Prop JUOS'!J43))</f>
        <v/>
      </c>
      <c r="BD44" s="426" t="str">
        <f>IF($B44="","",IF('Prop JUOS'!K43="",0,'Prop JUOS'!K43))</f>
        <v/>
      </c>
      <c r="BE44" s="426" t="str">
        <f>IF($B44="","",IF('Prop JUOS'!L43="",0,'Prop JUOS'!L43))</f>
        <v/>
      </c>
      <c r="BF44" s="426" t="str">
        <f>IF($B44="","",IF('Prop JUOS'!M43="",0,'Prop JUOS'!M43))</f>
        <v/>
      </c>
      <c r="BG44" s="426" t="str">
        <f>IF($B44="","",IF('Prop JUOS'!N43="",0,'Prop JUOS'!N43))</f>
        <v/>
      </c>
      <c r="BH44" s="426" t="str">
        <f>IF($B44="","",IF('Prop JUOS'!O43="",0,'Prop JUOS'!O43))</f>
        <v/>
      </c>
      <c r="BI44" s="426" t="str">
        <f>IF($B44="","",IF('Prop JUOS'!P43="",0,'Prop JUOS'!P43))</f>
        <v/>
      </c>
      <c r="BJ44" s="606" t="str">
        <f>IF($B44="","",IF('Prop JUOS'!Q43="",0,'Prop JUOS'!Q43))</f>
        <v/>
      </c>
      <c r="BK44" s="427" t="str">
        <f>IF($B44="","",IF('Prop JUOS'!R43="",0,'Prop JUOS'!R43))</f>
        <v/>
      </c>
    </row>
    <row r="45" spans="2:63">
      <c r="B45" s="416" t="str">
        <f>IF('Prop DUOS'!B44="","",'Prop DUOS'!B44)</f>
        <v/>
      </c>
      <c r="C45" s="376" t="str">
        <f>IF(B45="","",INDEX('Side constraints'!$C$33:$C$92,MATCH('Prop DUOS'!B44,'Side constraints'!$D$33:$D$92,0),1))</f>
        <v/>
      </c>
      <c r="D45" s="425" t="str">
        <f t="shared" si="19"/>
        <v/>
      </c>
      <c r="E45" s="426" t="str">
        <f t="shared" si="20"/>
        <v/>
      </c>
      <c r="F45" s="426" t="str">
        <f t="shared" si="21"/>
        <v/>
      </c>
      <c r="G45" s="426" t="str">
        <f t="shared" si="22"/>
        <v/>
      </c>
      <c r="H45" s="426" t="str">
        <f t="shared" si="23"/>
        <v/>
      </c>
      <c r="I45" s="426" t="str">
        <f t="shared" si="24"/>
        <v/>
      </c>
      <c r="J45" s="426" t="str">
        <f t="shared" si="25"/>
        <v/>
      </c>
      <c r="K45" s="426" t="str">
        <f t="shared" si="26"/>
        <v/>
      </c>
      <c r="L45" s="426" t="str">
        <f t="shared" si="27"/>
        <v/>
      </c>
      <c r="M45" s="426" t="str">
        <f t="shared" si="13"/>
        <v/>
      </c>
      <c r="N45" s="426" t="str">
        <f t="shared" si="14"/>
        <v/>
      </c>
      <c r="O45" s="426" t="str">
        <f t="shared" si="15"/>
        <v/>
      </c>
      <c r="P45" s="426" t="str">
        <f t="shared" si="16"/>
        <v/>
      </c>
      <c r="Q45" s="606" t="str">
        <f t="shared" si="17"/>
        <v/>
      </c>
      <c r="R45" s="427" t="str">
        <f t="shared" si="18"/>
        <v/>
      </c>
      <c r="S45" s="425" t="str">
        <f>IF($B45="","",IF('Prop DUOS'!E44="",0,'Prop DUOS'!E44))</f>
        <v/>
      </c>
      <c r="T45" s="426" t="str">
        <f>IF($B45="","",IF('Prop DUOS'!F44="",0,'Prop DUOS'!F44))</f>
        <v/>
      </c>
      <c r="U45" s="426" t="str">
        <f>IF($B45="","",IF('Prop DUOS'!G44="",0,'Prop DUOS'!G44))</f>
        <v/>
      </c>
      <c r="V45" s="426" t="str">
        <f>IF($B45="","",IF('Prop DUOS'!H44="",0,'Prop DUOS'!H44))</f>
        <v/>
      </c>
      <c r="W45" s="426" t="str">
        <f>IF($B45="","",IF('Prop DUOS'!I44="",0,'Prop DUOS'!I44))</f>
        <v/>
      </c>
      <c r="X45" s="426" t="str">
        <f>IF($B45="","",IF('Prop DUOS'!J44="",0,'Prop DUOS'!J44))</f>
        <v/>
      </c>
      <c r="Y45" s="426" t="str">
        <f>IF($B45="","",IF('Prop DUOS'!K44="",0,'Prop DUOS'!K44))</f>
        <v/>
      </c>
      <c r="Z45" s="426" t="str">
        <f>IF($B45="","",IF('Prop DUOS'!L44="",0,'Prop DUOS'!L44))</f>
        <v/>
      </c>
      <c r="AA45" s="426" t="str">
        <f>IF($B45="","",IF('Prop DUOS'!M44="",0,'Prop DUOS'!M44))</f>
        <v/>
      </c>
      <c r="AB45" s="426" t="str">
        <f>IF($B45="","",IF('Prop DUOS'!N44="",0,'Prop DUOS'!N44))</f>
        <v/>
      </c>
      <c r="AC45" s="426" t="str">
        <f>IF($B45="","",IF('Prop DUOS'!O44="",0,'Prop DUOS'!O44))</f>
        <v/>
      </c>
      <c r="AD45" s="426" t="str">
        <f>IF($B45="","",IF('Prop DUOS'!P44="",0,'Prop DUOS'!P44))</f>
        <v/>
      </c>
      <c r="AE45" s="426" t="str">
        <f>IF($B45="","",IF('Prop DUOS'!Q44="",0,'Prop DUOS'!Q44))</f>
        <v/>
      </c>
      <c r="AF45" s="606" t="str">
        <f>IF($B45="","",IF('Prop DUOS'!R44="",0,'Prop DUOS'!R44))</f>
        <v/>
      </c>
      <c r="AG45" s="427" t="str">
        <f>IF($B45="","",IF('Prop DUOS'!S44="",0,'Prop DUOS'!S44))</f>
        <v/>
      </c>
      <c r="AH45" s="425" t="str">
        <f>IF($B45="","",IF('Prop TUOS'!D44="",0,'Prop TUOS'!D44))</f>
        <v/>
      </c>
      <c r="AI45" s="426" t="str">
        <f>IF($B45="","",IF('Prop TUOS'!E44="",0,'Prop TUOS'!E44))</f>
        <v/>
      </c>
      <c r="AJ45" s="426" t="str">
        <f>IF($B45="","",IF('Prop TUOS'!F44="",0,'Prop TUOS'!F44))</f>
        <v/>
      </c>
      <c r="AK45" s="426" t="str">
        <f>IF($B45="","",IF('Prop TUOS'!G44="",0,'Prop TUOS'!G44))</f>
        <v/>
      </c>
      <c r="AL45" s="426" t="str">
        <f>IF($B45="","",IF('Prop TUOS'!H44="",0,'Prop TUOS'!H44))</f>
        <v/>
      </c>
      <c r="AM45" s="426" t="str">
        <f>IF($B45="","",IF('Prop TUOS'!I44="",0,'Prop TUOS'!I44))</f>
        <v/>
      </c>
      <c r="AN45" s="426" t="str">
        <f>IF($B45="","",IF('Prop TUOS'!J44="",0,'Prop TUOS'!J44))</f>
        <v/>
      </c>
      <c r="AO45" s="426" t="str">
        <f>IF($B45="","",IF('Prop TUOS'!K44="",0,'Prop TUOS'!K44))</f>
        <v/>
      </c>
      <c r="AP45" s="426" t="str">
        <f>IF($B45="","",IF('Prop TUOS'!L44="",0,'Prop TUOS'!L44))</f>
        <v/>
      </c>
      <c r="AQ45" s="426" t="str">
        <f>IF($B45="","",IF('Prop TUOS'!M44="",0,'Prop TUOS'!M44))</f>
        <v/>
      </c>
      <c r="AR45" s="426" t="str">
        <f>IF($B45="","",IF('Prop TUOS'!N44="",0,'Prop TUOS'!N44))</f>
        <v/>
      </c>
      <c r="AS45" s="426" t="str">
        <f>IF($B45="","",IF('Prop TUOS'!O44="",0,'Prop TUOS'!O44))</f>
        <v/>
      </c>
      <c r="AT45" s="426" t="str">
        <f>IF($B45="","",IF('Prop TUOS'!P44="",0,'Prop TUOS'!P44))</f>
        <v/>
      </c>
      <c r="AU45" s="606" t="str">
        <f>IF($B45="","",IF('Prop TUOS'!Q44="",0,'Prop TUOS'!Q44))</f>
        <v/>
      </c>
      <c r="AV45" s="427" t="str">
        <f>IF($B45="","",IF('Prop TUOS'!R44="",0,'Prop TUOS'!R44))</f>
        <v/>
      </c>
      <c r="AW45" s="425" t="str">
        <f>IF($B45="","",IF('Prop JUOS'!D44="",0,'Prop JUOS'!D44))</f>
        <v/>
      </c>
      <c r="AX45" s="426" t="str">
        <f>IF($B45="","",IF('Prop JUOS'!E44="",0,'Prop JUOS'!E44))</f>
        <v/>
      </c>
      <c r="AY45" s="426" t="str">
        <f>IF($B45="","",IF('Prop JUOS'!F44="",0,'Prop JUOS'!F44))</f>
        <v/>
      </c>
      <c r="AZ45" s="426" t="str">
        <f>IF($B45="","",IF('Prop JUOS'!G44="",0,'Prop JUOS'!G44))</f>
        <v/>
      </c>
      <c r="BA45" s="426" t="str">
        <f>IF($B45="","",IF('Prop JUOS'!H44="",0,'Prop JUOS'!H44))</f>
        <v/>
      </c>
      <c r="BB45" s="426" t="str">
        <f>IF($B45="","",IF('Prop JUOS'!I44="",0,'Prop JUOS'!I44))</f>
        <v/>
      </c>
      <c r="BC45" s="426" t="str">
        <f>IF($B45="","",IF('Prop JUOS'!J44="",0,'Prop JUOS'!J44))</f>
        <v/>
      </c>
      <c r="BD45" s="426" t="str">
        <f>IF($B45="","",IF('Prop JUOS'!K44="",0,'Prop JUOS'!K44))</f>
        <v/>
      </c>
      <c r="BE45" s="426" t="str">
        <f>IF($B45="","",IF('Prop JUOS'!L44="",0,'Prop JUOS'!L44))</f>
        <v/>
      </c>
      <c r="BF45" s="426" t="str">
        <f>IF($B45="","",IF('Prop JUOS'!M44="",0,'Prop JUOS'!M44))</f>
        <v/>
      </c>
      <c r="BG45" s="426" t="str">
        <f>IF($B45="","",IF('Prop JUOS'!N44="",0,'Prop JUOS'!N44))</f>
        <v/>
      </c>
      <c r="BH45" s="426" t="str">
        <f>IF($B45="","",IF('Prop JUOS'!O44="",0,'Prop JUOS'!O44))</f>
        <v/>
      </c>
      <c r="BI45" s="426" t="str">
        <f>IF($B45="","",IF('Prop JUOS'!P44="",0,'Prop JUOS'!P44))</f>
        <v/>
      </c>
      <c r="BJ45" s="606" t="str">
        <f>IF($B45="","",IF('Prop JUOS'!Q44="",0,'Prop JUOS'!Q44))</f>
        <v/>
      </c>
      <c r="BK45" s="427" t="str">
        <f>IF($B45="","",IF('Prop JUOS'!R44="",0,'Prop JUOS'!R44))</f>
        <v/>
      </c>
    </row>
    <row r="46" spans="2:63">
      <c r="B46" s="416" t="str">
        <f>IF('Prop DUOS'!B45="","",'Prop DUOS'!B45)</f>
        <v/>
      </c>
      <c r="C46" s="376" t="str">
        <f>IF(B46="","",INDEX('Side constraints'!$C$33:$C$92,MATCH('Prop DUOS'!B45,'Side constraints'!$D$33:$D$92,0),1))</f>
        <v/>
      </c>
      <c r="D46" s="425" t="str">
        <f t="shared" si="19"/>
        <v/>
      </c>
      <c r="E46" s="426" t="str">
        <f t="shared" si="20"/>
        <v/>
      </c>
      <c r="F46" s="426" t="str">
        <f t="shared" si="21"/>
        <v/>
      </c>
      <c r="G46" s="426" t="str">
        <f t="shared" si="22"/>
        <v/>
      </c>
      <c r="H46" s="426" t="str">
        <f t="shared" si="23"/>
        <v/>
      </c>
      <c r="I46" s="426" t="str">
        <f t="shared" si="24"/>
        <v/>
      </c>
      <c r="J46" s="426" t="str">
        <f t="shared" si="25"/>
        <v/>
      </c>
      <c r="K46" s="426" t="str">
        <f t="shared" si="26"/>
        <v/>
      </c>
      <c r="L46" s="426" t="str">
        <f t="shared" si="27"/>
        <v/>
      </c>
      <c r="M46" s="426" t="str">
        <f t="shared" si="13"/>
        <v/>
      </c>
      <c r="N46" s="426" t="str">
        <f t="shared" si="14"/>
        <v/>
      </c>
      <c r="O46" s="426" t="str">
        <f t="shared" si="15"/>
        <v/>
      </c>
      <c r="P46" s="426" t="str">
        <f t="shared" si="16"/>
        <v/>
      </c>
      <c r="Q46" s="606" t="str">
        <f t="shared" si="17"/>
        <v/>
      </c>
      <c r="R46" s="427" t="str">
        <f t="shared" si="18"/>
        <v/>
      </c>
      <c r="S46" s="425" t="str">
        <f>IF($B46="","",IF('Prop DUOS'!E45="",0,'Prop DUOS'!E45))</f>
        <v/>
      </c>
      <c r="T46" s="426" t="str">
        <f>IF($B46="","",IF('Prop DUOS'!F45="",0,'Prop DUOS'!F45))</f>
        <v/>
      </c>
      <c r="U46" s="426" t="str">
        <f>IF($B46="","",IF('Prop DUOS'!G45="",0,'Prop DUOS'!G45))</f>
        <v/>
      </c>
      <c r="V46" s="426" t="str">
        <f>IF($B46="","",IF('Prop DUOS'!H45="",0,'Prop DUOS'!H45))</f>
        <v/>
      </c>
      <c r="W46" s="426" t="str">
        <f>IF($B46="","",IF('Prop DUOS'!I45="",0,'Prop DUOS'!I45))</f>
        <v/>
      </c>
      <c r="X46" s="426" t="str">
        <f>IF($B46="","",IF('Prop DUOS'!J45="",0,'Prop DUOS'!J45))</f>
        <v/>
      </c>
      <c r="Y46" s="426" t="str">
        <f>IF($B46="","",IF('Prop DUOS'!K45="",0,'Prop DUOS'!K45))</f>
        <v/>
      </c>
      <c r="Z46" s="426" t="str">
        <f>IF($B46="","",IF('Prop DUOS'!L45="",0,'Prop DUOS'!L45))</f>
        <v/>
      </c>
      <c r="AA46" s="426" t="str">
        <f>IF($B46="","",IF('Prop DUOS'!M45="",0,'Prop DUOS'!M45))</f>
        <v/>
      </c>
      <c r="AB46" s="426" t="str">
        <f>IF($B46="","",IF('Prop DUOS'!N45="",0,'Prop DUOS'!N45))</f>
        <v/>
      </c>
      <c r="AC46" s="426" t="str">
        <f>IF($B46="","",IF('Prop DUOS'!O45="",0,'Prop DUOS'!O45))</f>
        <v/>
      </c>
      <c r="AD46" s="426" t="str">
        <f>IF($B46="","",IF('Prop DUOS'!P45="",0,'Prop DUOS'!P45))</f>
        <v/>
      </c>
      <c r="AE46" s="426" t="str">
        <f>IF($B46="","",IF('Prop DUOS'!Q45="",0,'Prop DUOS'!Q45))</f>
        <v/>
      </c>
      <c r="AF46" s="606" t="str">
        <f>IF($B46="","",IF('Prop DUOS'!R45="",0,'Prop DUOS'!R45))</f>
        <v/>
      </c>
      <c r="AG46" s="427" t="str">
        <f>IF($B46="","",IF('Prop DUOS'!S45="",0,'Prop DUOS'!S45))</f>
        <v/>
      </c>
      <c r="AH46" s="425" t="str">
        <f>IF($B46="","",IF('Prop TUOS'!D45="",0,'Prop TUOS'!D45))</f>
        <v/>
      </c>
      <c r="AI46" s="426" t="str">
        <f>IF($B46="","",IF('Prop TUOS'!E45="",0,'Prop TUOS'!E45))</f>
        <v/>
      </c>
      <c r="AJ46" s="426" t="str">
        <f>IF($B46="","",IF('Prop TUOS'!F45="",0,'Prop TUOS'!F45))</f>
        <v/>
      </c>
      <c r="AK46" s="426" t="str">
        <f>IF($B46="","",IF('Prop TUOS'!G45="",0,'Prop TUOS'!G45))</f>
        <v/>
      </c>
      <c r="AL46" s="426" t="str">
        <f>IF($B46="","",IF('Prop TUOS'!H45="",0,'Prop TUOS'!H45))</f>
        <v/>
      </c>
      <c r="AM46" s="426" t="str">
        <f>IF($B46="","",IF('Prop TUOS'!I45="",0,'Prop TUOS'!I45))</f>
        <v/>
      </c>
      <c r="AN46" s="426" t="str">
        <f>IF($B46="","",IF('Prop TUOS'!J45="",0,'Prop TUOS'!J45))</f>
        <v/>
      </c>
      <c r="AO46" s="426" t="str">
        <f>IF($B46="","",IF('Prop TUOS'!K45="",0,'Prop TUOS'!K45))</f>
        <v/>
      </c>
      <c r="AP46" s="426" t="str">
        <f>IF($B46="","",IF('Prop TUOS'!L45="",0,'Prop TUOS'!L45))</f>
        <v/>
      </c>
      <c r="AQ46" s="426" t="str">
        <f>IF($B46="","",IF('Prop TUOS'!M45="",0,'Prop TUOS'!M45))</f>
        <v/>
      </c>
      <c r="AR46" s="426" t="str">
        <f>IF($B46="","",IF('Prop TUOS'!N45="",0,'Prop TUOS'!N45))</f>
        <v/>
      </c>
      <c r="AS46" s="426" t="str">
        <f>IF($B46="","",IF('Prop TUOS'!O45="",0,'Prop TUOS'!O45))</f>
        <v/>
      </c>
      <c r="AT46" s="426" t="str">
        <f>IF($B46="","",IF('Prop TUOS'!P45="",0,'Prop TUOS'!P45))</f>
        <v/>
      </c>
      <c r="AU46" s="606" t="str">
        <f>IF($B46="","",IF('Prop TUOS'!Q45="",0,'Prop TUOS'!Q45))</f>
        <v/>
      </c>
      <c r="AV46" s="427" t="str">
        <f>IF($B46="","",IF('Prop TUOS'!R45="",0,'Prop TUOS'!R45))</f>
        <v/>
      </c>
      <c r="AW46" s="425" t="str">
        <f>IF($B46="","",IF('Prop JUOS'!D45="",0,'Prop JUOS'!D45))</f>
        <v/>
      </c>
      <c r="AX46" s="426" t="str">
        <f>IF($B46="","",IF('Prop JUOS'!E45="",0,'Prop JUOS'!E45))</f>
        <v/>
      </c>
      <c r="AY46" s="426" t="str">
        <f>IF($B46="","",IF('Prop JUOS'!F45="",0,'Prop JUOS'!F45))</f>
        <v/>
      </c>
      <c r="AZ46" s="426" t="str">
        <f>IF($B46="","",IF('Prop JUOS'!G45="",0,'Prop JUOS'!G45))</f>
        <v/>
      </c>
      <c r="BA46" s="426" t="str">
        <f>IF($B46="","",IF('Prop JUOS'!H45="",0,'Prop JUOS'!H45))</f>
        <v/>
      </c>
      <c r="BB46" s="426" t="str">
        <f>IF($B46="","",IF('Prop JUOS'!I45="",0,'Prop JUOS'!I45))</f>
        <v/>
      </c>
      <c r="BC46" s="426" t="str">
        <f>IF($B46="","",IF('Prop JUOS'!J45="",0,'Prop JUOS'!J45))</f>
        <v/>
      </c>
      <c r="BD46" s="426" t="str">
        <f>IF($B46="","",IF('Prop JUOS'!K45="",0,'Prop JUOS'!K45))</f>
        <v/>
      </c>
      <c r="BE46" s="426" t="str">
        <f>IF($B46="","",IF('Prop JUOS'!L45="",0,'Prop JUOS'!L45))</f>
        <v/>
      </c>
      <c r="BF46" s="426" t="str">
        <f>IF($B46="","",IF('Prop JUOS'!M45="",0,'Prop JUOS'!M45))</f>
        <v/>
      </c>
      <c r="BG46" s="426" t="str">
        <f>IF($B46="","",IF('Prop JUOS'!N45="",0,'Prop JUOS'!N45))</f>
        <v/>
      </c>
      <c r="BH46" s="426" t="str">
        <f>IF($B46="","",IF('Prop JUOS'!O45="",0,'Prop JUOS'!O45))</f>
        <v/>
      </c>
      <c r="BI46" s="426" t="str">
        <f>IF($B46="","",IF('Prop JUOS'!P45="",0,'Prop JUOS'!P45))</f>
        <v/>
      </c>
      <c r="BJ46" s="606" t="str">
        <f>IF($B46="","",IF('Prop JUOS'!Q45="",0,'Prop JUOS'!Q45))</f>
        <v/>
      </c>
      <c r="BK46" s="427" t="str">
        <f>IF($B46="","",IF('Prop JUOS'!R45="",0,'Prop JUOS'!R45))</f>
        <v/>
      </c>
    </row>
    <row r="47" spans="2:63">
      <c r="B47" s="416" t="str">
        <f>IF('Prop DUOS'!B46="","",'Prop DUOS'!B46)</f>
        <v/>
      </c>
      <c r="C47" s="376" t="str">
        <f>IF(B47="","",INDEX('Side constraints'!$C$33:$C$92,MATCH('Prop DUOS'!B46,'Side constraints'!$D$33:$D$92,0),1))</f>
        <v/>
      </c>
      <c r="D47" s="425" t="str">
        <f t="shared" si="19"/>
        <v/>
      </c>
      <c r="E47" s="426" t="str">
        <f t="shared" si="20"/>
        <v/>
      </c>
      <c r="F47" s="426" t="str">
        <f t="shared" si="21"/>
        <v/>
      </c>
      <c r="G47" s="426" t="str">
        <f t="shared" si="22"/>
        <v/>
      </c>
      <c r="H47" s="426" t="str">
        <f t="shared" si="23"/>
        <v/>
      </c>
      <c r="I47" s="426" t="str">
        <f t="shared" si="24"/>
        <v/>
      </c>
      <c r="J47" s="426" t="str">
        <f t="shared" si="25"/>
        <v/>
      </c>
      <c r="K47" s="426" t="str">
        <f t="shared" si="26"/>
        <v/>
      </c>
      <c r="L47" s="426" t="str">
        <f t="shared" si="27"/>
        <v/>
      </c>
      <c r="M47" s="426" t="str">
        <f t="shared" si="13"/>
        <v/>
      </c>
      <c r="N47" s="426" t="str">
        <f t="shared" si="14"/>
        <v/>
      </c>
      <c r="O47" s="426" t="str">
        <f t="shared" si="15"/>
        <v/>
      </c>
      <c r="P47" s="426" t="str">
        <f t="shared" si="16"/>
        <v/>
      </c>
      <c r="Q47" s="606" t="str">
        <f t="shared" si="17"/>
        <v/>
      </c>
      <c r="R47" s="427" t="str">
        <f t="shared" si="18"/>
        <v/>
      </c>
      <c r="S47" s="425" t="str">
        <f>IF($B47="","",IF('Prop DUOS'!E46="",0,'Prop DUOS'!E46))</f>
        <v/>
      </c>
      <c r="T47" s="426" t="str">
        <f>IF($B47="","",IF('Prop DUOS'!F46="",0,'Prop DUOS'!F46))</f>
        <v/>
      </c>
      <c r="U47" s="426" t="str">
        <f>IF($B47="","",IF('Prop DUOS'!G46="",0,'Prop DUOS'!G46))</f>
        <v/>
      </c>
      <c r="V47" s="426" t="str">
        <f>IF($B47="","",IF('Prop DUOS'!H46="",0,'Prop DUOS'!H46))</f>
        <v/>
      </c>
      <c r="W47" s="426" t="str">
        <f>IF($B47="","",IF('Prop DUOS'!I46="",0,'Prop DUOS'!I46))</f>
        <v/>
      </c>
      <c r="X47" s="426" t="str">
        <f>IF($B47="","",IF('Prop DUOS'!J46="",0,'Prop DUOS'!J46))</f>
        <v/>
      </c>
      <c r="Y47" s="426" t="str">
        <f>IF($B47="","",IF('Prop DUOS'!K46="",0,'Prop DUOS'!K46))</f>
        <v/>
      </c>
      <c r="Z47" s="426" t="str">
        <f>IF($B47="","",IF('Prop DUOS'!L46="",0,'Prop DUOS'!L46))</f>
        <v/>
      </c>
      <c r="AA47" s="426" t="str">
        <f>IF($B47="","",IF('Prop DUOS'!M46="",0,'Prop DUOS'!M46))</f>
        <v/>
      </c>
      <c r="AB47" s="426" t="str">
        <f>IF($B47="","",IF('Prop DUOS'!N46="",0,'Prop DUOS'!N46))</f>
        <v/>
      </c>
      <c r="AC47" s="426" t="str">
        <f>IF($B47="","",IF('Prop DUOS'!O46="",0,'Prop DUOS'!O46))</f>
        <v/>
      </c>
      <c r="AD47" s="426" t="str">
        <f>IF($B47="","",IF('Prop DUOS'!P46="",0,'Prop DUOS'!P46))</f>
        <v/>
      </c>
      <c r="AE47" s="426" t="str">
        <f>IF($B47="","",IF('Prop DUOS'!Q46="",0,'Prop DUOS'!Q46))</f>
        <v/>
      </c>
      <c r="AF47" s="606" t="str">
        <f>IF($B47="","",IF('Prop DUOS'!R46="",0,'Prop DUOS'!R46))</f>
        <v/>
      </c>
      <c r="AG47" s="427" t="str">
        <f>IF($B47="","",IF('Prop DUOS'!S46="",0,'Prop DUOS'!S46))</f>
        <v/>
      </c>
      <c r="AH47" s="425" t="str">
        <f>IF($B47="","",IF('Prop TUOS'!D46="",0,'Prop TUOS'!D46))</f>
        <v/>
      </c>
      <c r="AI47" s="426" t="str">
        <f>IF($B47="","",IF('Prop TUOS'!E46="",0,'Prop TUOS'!E46))</f>
        <v/>
      </c>
      <c r="AJ47" s="426" t="str">
        <f>IF($B47="","",IF('Prop TUOS'!F46="",0,'Prop TUOS'!F46))</f>
        <v/>
      </c>
      <c r="AK47" s="426" t="str">
        <f>IF($B47="","",IF('Prop TUOS'!G46="",0,'Prop TUOS'!G46))</f>
        <v/>
      </c>
      <c r="AL47" s="426" t="str">
        <f>IF($B47="","",IF('Prop TUOS'!H46="",0,'Prop TUOS'!H46))</f>
        <v/>
      </c>
      <c r="AM47" s="426" t="str">
        <f>IF($B47="","",IF('Prop TUOS'!I46="",0,'Prop TUOS'!I46))</f>
        <v/>
      </c>
      <c r="AN47" s="426" t="str">
        <f>IF($B47="","",IF('Prop TUOS'!J46="",0,'Prop TUOS'!J46))</f>
        <v/>
      </c>
      <c r="AO47" s="426" t="str">
        <f>IF($B47="","",IF('Prop TUOS'!K46="",0,'Prop TUOS'!K46))</f>
        <v/>
      </c>
      <c r="AP47" s="426" t="str">
        <f>IF($B47="","",IF('Prop TUOS'!L46="",0,'Prop TUOS'!L46))</f>
        <v/>
      </c>
      <c r="AQ47" s="426" t="str">
        <f>IF($B47="","",IF('Prop TUOS'!M46="",0,'Prop TUOS'!M46))</f>
        <v/>
      </c>
      <c r="AR47" s="426" t="str">
        <f>IF($B47="","",IF('Prop TUOS'!N46="",0,'Prop TUOS'!N46))</f>
        <v/>
      </c>
      <c r="AS47" s="426" t="str">
        <f>IF($B47="","",IF('Prop TUOS'!O46="",0,'Prop TUOS'!O46))</f>
        <v/>
      </c>
      <c r="AT47" s="426" t="str">
        <f>IF($B47="","",IF('Prop TUOS'!P46="",0,'Prop TUOS'!P46))</f>
        <v/>
      </c>
      <c r="AU47" s="606" t="str">
        <f>IF($B47="","",IF('Prop TUOS'!Q46="",0,'Prop TUOS'!Q46))</f>
        <v/>
      </c>
      <c r="AV47" s="427" t="str">
        <f>IF($B47="","",IF('Prop TUOS'!R46="",0,'Prop TUOS'!R46))</f>
        <v/>
      </c>
      <c r="AW47" s="425" t="str">
        <f>IF($B47="","",IF('Prop JUOS'!D46="",0,'Prop JUOS'!D46))</f>
        <v/>
      </c>
      <c r="AX47" s="426" t="str">
        <f>IF($B47="","",IF('Prop JUOS'!E46="",0,'Prop JUOS'!E46))</f>
        <v/>
      </c>
      <c r="AY47" s="426" t="str">
        <f>IF($B47="","",IF('Prop JUOS'!F46="",0,'Prop JUOS'!F46))</f>
        <v/>
      </c>
      <c r="AZ47" s="426" t="str">
        <f>IF($B47="","",IF('Prop JUOS'!G46="",0,'Prop JUOS'!G46))</f>
        <v/>
      </c>
      <c r="BA47" s="426" t="str">
        <f>IF($B47="","",IF('Prop JUOS'!H46="",0,'Prop JUOS'!H46))</f>
        <v/>
      </c>
      <c r="BB47" s="426" t="str">
        <f>IF($B47="","",IF('Prop JUOS'!I46="",0,'Prop JUOS'!I46))</f>
        <v/>
      </c>
      <c r="BC47" s="426" t="str">
        <f>IF($B47="","",IF('Prop JUOS'!J46="",0,'Prop JUOS'!J46))</f>
        <v/>
      </c>
      <c r="BD47" s="426" t="str">
        <f>IF($B47="","",IF('Prop JUOS'!K46="",0,'Prop JUOS'!K46))</f>
        <v/>
      </c>
      <c r="BE47" s="426" t="str">
        <f>IF($B47="","",IF('Prop JUOS'!L46="",0,'Prop JUOS'!L46))</f>
        <v/>
      </c>
      <c r="BF47" s="426" t="str">
        <f>IF($B47="","",IF('Prop JUOS'!M46="",0,'Prop JUOS'!M46))</f>
        <v/>
      </c>
      <c r="BG47" s="426" t="str">
        <f>IF($B47="","",IF('Prop JUOS'!N46="",0,'Prop JUOS'!N46))</f>
        <v/>
      </c>
      <c r="BH47" s="426" t="str">
        <f>IF($B47="","",IF('Prop JUOS'!O46="",0,'Prop JUOS'!O46))</f>
        <v/>
      </c>
      <c r="BI47" s="426" t="str">
        <f>IF($B47="","",IF('Prop JUOS'!P46="",0,'Prop JUOS'!P46))</f>
        <v/>
      </c>
      <c r="BJ47" s="606" t="str">
        <f>IF($B47="","",IF('Prop JUOS'!Q46="",0,'Prop JUOS'!Q46))</f>
        <v/>
      </c>
      <c r="BK47" s="427" t="str">
        <f>IF($B47="","",IF('Prop JUOS'!R46="",0,'Prop JUOS'!R46))</f>
        <v/>
      </c>
    </row>
    <row r="48" spans="2:63">
      <c r="B48" s="416" t="str">
        <f>IF('Prop DUOS'!B47="","",'Prop DUOS'!B47)</f>
        <v/>
      </c>
      <c r="C48" s="376" t="str">
        <f>IF(B48="","",INDEX('Side constraints'!$C$33:$C$92,MATCH('Prop DUOS'!B47,'Side constraints'!$D$33:$D$92,0),1))</f>
        <v/>
      </c>
      <c r="D48" s="425" t="str">
        <f t="shared" si="19"/>
        <v/>
      </c>
      <c r="E48" s="426" t="str">
        <f t="shared" si="20"/>
        <v/>
      </c>
      <c r="F48" s="426" t="str">
        <f t="shared" si="21"/>
        <v/>
      </c>
      <c r="G48" s="426" t="str">
        <f t="shared" si="22"/>
        <v/>
      </c>
      <c r="H48" s="426" t="str">
        <f t="shared" si="23"/>
        <v/>
      </c>
      <c r="I48" s="426" t="str">
        <f t="shared" si="24"/>
        <v/>
      </c>
      <c r="J48" s="426" t="str">
        <f t="shared" si="25"/>
        <v/>
      </c>
      <c r="K48" s="426" t="str">
        <f t="shared" si="26"/>
        <v/>
      </c>
      <c r="L48" s="426" t="str">
        <f t="shared" si="27"/>
        <v/>
      </c>
      <c r="M48" s="426" t="str">
        <f t="shared" si="13"/>
        <v/>
      </c>
      <c r="N48" s="426" t="str">
        <f t="shared" si="14"/>
        <v/>
      </c>
      <c r="O48" s="426" t="str">
        <f t="shared" si="15"/>
        <v/>
      </c>
      <c r="P48" s="426" t="str">
        <f t="shared" si="16"/>
        <v/>
      </c>
      <c r="Q48" s="606" t="str">
        <f t="shared" si="17"/>
        <v/>
      </c>
      <c r="R48" s="427" t="str">
        <f t="shared" si="18"/>
        <v/>
      </c>
      <c r="S48" s="425" t="str">
        <f>IF($B48="","",IF('Prop DUOS'!E47="",0,'Prop DUOS'!E47))</f>
        <v/>
      </c>
      <c r="T48" s="426" t="str">
        <f>IF($B48="","",IF('Prop DUOS'!F47="",0,'Prop DUOS'!F47))</f>
        <v/>
      </c>
      <c r="U48" s="426" t="str">
        <f>IF($B48="","",IF('Prop DUOS'!G47="",0,'Prop DUOS'!G47))</f>
        <v/>
      </c>
      <c r="V48" s="426" t="str">
        <f>IF($B48="","",IF('Prop DUOS'!H47="",0,'Prop DUOS'!H47))</f>
        <v/>
      </c>
      <c r="W48" s="426" t="str">
        <f>IF($B48="","",IF('Prop DUOS'!I47="",0,'Prop DUOS'!I47))</f>
        <v/>
      </c>
      <c r="X48" s="426" t="str">
        <f>IF($B48="","",IF('Prop DUOS'!J47="",0,'Prop DUOS'!J47))</f>
        <v/>
      </c>
      <c r="Y48" s="426" t="str">
        <f>IF($B48="","",IF('Prop DUOS'!K47="",0,'Prop DUOS'!K47))</f>
        <v/>
      </c>
      <c r="Z48" s="426" t="str">
        <f>IF($B48="","",IF('Prop DUOS'!L47="",0,'Prop DUOS'!L47))</f>
        <v/>
      </c>
      <c r="AA48" s="426" t="str">
        <f>IF($B48="","",IF('Prop DUOS'!M47="",0,'Prop DUOS'!M47))</f>
        <v/>
      </c>
      <c r="AB48" s="426" t="str">
        <f>IF($B48="","",IF('Prop DUOS'!N47="",0,'Prop DUOS'!N47))</f>
        <v/>
      </c>
      <c r="AC48" s="426" t="str">
        <f>IF($B48="","",IF('Prop DUOS'!O47="",0,'Prop DUOS'!O47))</f>
        <v/>
      </c>
      <c r="AD48" s="426" t="str">
        <f>IF($B48="","",IF('Prop DUOS'!P47="",0,'Prop DUOS'!P47))</f>
        <v/>
      </c>
      <c r="AE48" s="426" t="str">
        <f>IF($B48="","",IF('Prop DUOS'!Q47="",0,'Prop DUOS'!Q47))</f>
        <v/>
      </c>
      <c r="AF48" s="606" t="str">
        <f>IF($B48="","",IF('Prop DUOS'!R47="",0,'Prop DUOS'!R47))</f>
        <v/>
      </c>
      <c r="AG48" s="427" t="str">
        <f>IF($B48="","",IF('Prop DUOS'!S47="",0,'Prop DUOS'!S47))</f>
        <v/>
      </c>
      <c r="AH48" s="425" t="str">
        <f>IF($B48="","",IF('Prop TUOS'!D47="",0,'Prop TUOS'!D47))</f>
        <v/>
      </c>
      <c r="AI48" s="426" t="str">
        <f>IF($B48="","",IF('Prop TUOS'!E47="",0,'Prop TUOS'!E47))</f>
        <v/>
      </c>
      <c r="AJ48" s="426" t="str">
        <f>IF($B48="","",IF('Prop TUOS'!F47="",0,'Prop TUOS'!F47))</f>
        <v/>
      </c>
      <c r="AK48" s="426" t="str">
        <f>IF($B48="","",IF('Prop TUOS'!G47="",0,'Prop TUOS'!G47))</f>
        <v/>
      </c>
      <c r="AL48" s="426" t="str">
        <f>IF($B48="","",IF('Prop TUOS'!H47="",0,'Prop TUOS'!H47))</f>
        <v/>
      </c>
      <c r="AM48" s="426" t="str">
        <f>IF($B48="","",IF('Prop TUOS'!I47="",0,'Prop TUOS'!I47))</f>
        <v/>
      </c>
      <c r="AN48" s="426" t="str">
        <f>IF($B48="","",IF('Prop TUOS'!J47="",0,'Prop TUOS'!J47))</f>
        <v/>
      </c>
      <c r="AO48" s="426" t="str">
        <f>IF($B48="","",IF('Prop TUOS'!K47="",0,'Prop TUOS'!K47))</f>
        <v/>
      </c>
      <c r="AP48" s="426" t="str">
        <f>IF($B48="","",IF('Prop TUOS'!L47="",0,'Prop TUOS'!L47))</f>
        <v/>
      </c>
      <c r="AQ48" s="426" t="str">
        <f>IF($B48="","",IF('Prop TUOS'!M47="",0,'Prop TUOS'!M47))</f>
        <v/>
      </c>
      <c r="AR48" s="426" t="str">
        <f>IF($B48="","",IF('Prop TUOS'!N47="",0,'Prop TUOS'!N47))</f>
        <v/>
      </c>
      <c r="AS48" s="426" t="str">
        <f>IF($B48="","",IF('Prop TUOS'!O47="",0,'Prop TUOS'!O47))</f>
        <v/>
      </c>
      <c r="AT48" s="426" t="str">
        <f>IF($B48="","",IF('Prop TUOS'!P47="",0,'Prop TUOS'!P47))</f>
        <v/>
      </c>
      <c r="AU48" s="606" t="str">
        <f>IF($B48="","",IF('Prop TUOS'!Q47="",0,'Prop TUOS'!Q47))</f>
        <v/>
      </c>
      <c r="AV48" s="427" t="str">
        <f>IF($B48="","",IF('Prop TUOS'!R47="",0,'Prop TUOS'!R47))</f>
        <v/>
      </c>
      <c r="AW48" s="425" t="str">
        <f>IF($B48="","",IF('Prop JUOS'!D47="",0,'Prop JUOS'!D47))</f>
        <v/>
      </c>
      <c r="AX48" s="426" t="str">
        <f>IF($B48="","",IF('Prop JUOS'!E47="",0,'Prop JUOS'!E47))</f>
        <v/>
      </c>
      <c r="AY48" s="426" t="str">
        <f>IF($B48="","",IF('Prop JUOS'!F47="",0,'Prop JUOS'!F47))</f>
        <v/>
      </c>
      <c r="AZ48" s="426" t="str">
        <f>IF($B48="","",IF('Prop JUOS'!G47="",0,'Prop JUOS'!G47))</f>
        <v/>
      </c>
      <c r="BA48" s="426" t="str">
        <f>IF($B48="","",IF('Prop JUOS'!H47="",0,'Prop JUOS'!H47))</f>
        <v/>
      </c>
      <c r="BB48" s="426" t="str">
        <f>IF($B48="","",IF('Prop JUOS'!I47="",0,'Prop JUOS'!I47))</f>
        <v/>
      </c>
      <c r="BC48" s="426" t="str">
        <f>IF($B48="","",IF('Prop JUOS'!J47="",0,'Prop JUOS'!J47))</f>
        <v/>
      </c>
      <c r="BD48" s="426" t="str">
        <f>IF($B48="","",IF('Prop JUOS'!K47="",0,'Prop JUOS'!K47))</f>
        <v/>
      </c>
      <c r="BE48" s="426" t="str">
        <f>IF($B48="","",IF('Prop JUOS'!L47="",0,'Prop JUOS'!L47))</f>
        <v/>
      </c>
      <c r="BF48" s="426" t="str">
        <f>IF($B48="","",IF('Prop JUOS'!M47="",0,'Prop JUOS'!M47))</f>
        <v/>
      </c>
      <c r="BG48" s="426" t="str">
        <f>IF($B48="","",IF('Prop JUOS'!N47="",0,'Prop JUOS'!N47))</f>
        <v/>
      </c>
      <c r="BH48" s="426" t="str">
        <f>IF($B48="","",IF('Prop JUOS'!O47="",0,'Prop JUOS'!O47))</f>
        <v/>
      </c>
      <c r="BI48" s="426" t="str">
        <f>IF($B48="","",IF('Prop JUOS'!P47="",0,'Prop JUOS'!P47))</f>
        <v/>
      </c>
      <c r="BJ48" s="606" t="str">
        <f>IF($B48="","",IF('Prop JUOS'!Q47="",0,'Prop JUOS'!Q47))</f>
        <v/>
      </c>
      <c r="BK48" s="427" t="str">
        <f>IF($B48="","",IF('Prop JUOS'!R47="",0,'Prop JUOS'!R47))</f>
        <v/>
      </c>
    </row>
    <row r="49" spans="2:63">
      <c r="B49" s="416" t="str">
        <f>IF('Prop DUOS'!B48="","",'Prop DUOS'!B48)</f>
        <v/>
      </c>
      <c r="C49" s="376" t="str">
        <f>IF(B49="","",INDEX('Side constraints'!$C$33:$C$92,MATCH('Prop DUOS'!B48,'Side constraints'!$D$33:$D$92,0),1))</f>
        <v/>
      </c>
      <c r="D49" s="425" t="str">
        <f t="shared" si="19"/>
        <v/>
      </c>
      <c r="E49" s="426" t="str">
        <f t="shared" si="20"/>
        <v/>
      </c>
      <c r="F49" s="426" t="str">
        <f t="shared" si="21"/>
        <v/>
      </c>
      <c r="G49" s="426" t="str">
        <f t="shared" si="22"/>
        <v/>
      </c>
      <c r="H49" s="426" t="str">
        <f t="shared" si="23"/>
        <v/>
      </c>
      <c r="I49" s="426" t="str">
        <f t="shared" si="24"/>
        <v/>
      </c>
      <c r="J49" s="426" t="str">
        <f t="shared" si="25"/>
        <v/>
      </c>
      <c r="K49" s="426" t="str">
        <f t="shared" si="26"/>
        <v/>
      </c>
      <c r="L49" s="426" t="str">
        <f t="shared" si="27"/>
        <v/>
      </c>
      <c r="M49" s="426" t="str">
        <f t="shared" si="13"/>
        <v/>
      </c>
      <c r="N49" s="426" t="str">
        <f t="shared" si="14"/>
        <v/>
      </c>
      <c r="O49" s="426" t="str">
        <f t="shared" si="15"/>
        <v/>
      </c>
      <c r="P49" s="426" t="str">
        <f t="shared" si="16"/>
        <v/>
      </c>
      <c r="Q49" s="606" t="str">
        <f t="shared" si="17"/>
        <v/>
      </c>
      <c r="R49" s="427" t="str">
        <f t="shared" si="18"/>
        <v/>
      </c>
      <c r="S49" s="425" t="str">
        <f>IF($B49="","",IF('Prop DUOS'!E48="",0,'Prop DUOS'!E48))</f>
        <v/>
      </c>
      <c r="T49" s="426" t="str">
        <f>IF($B49="","",IF('Prop DUOS'!F48="",0,'Prop DUOS'!F48))</f>
        <v/>
      </c>
      <c r="U49" s="426" t="str">
        <f>IF($B49="","",IF('Prop DUOS'!G48="",0,'Prop DUOS'!G48))</f>
        <v/>
      </c>
      <c r="V49" s="426" t="str">
        <f>IF($B49="","",IF('Prop DUOS'!H48="",0,'Prop DUOS'!H48))</f>
        <v/>
      </c>
      <c r="W49" s="426" t="str">
        <f>IF($B49="","",IF('Prop DUOS'!I48="",0,'Prop DUOS'!I48))</f>
        <v/>
      </c>
      <c r="X49" s="426" t="str">
        <f>IF($B49="","",IF('Prop DUOS'!J48="",0,'Prop DUOS'!J48))</f>
        <v/>
      </c>
      <c r="Y49" s="426" t="str">
        <f>IF($B49="","",IF('Prop DUOS'!K48="",0,'Prop DUOS'!K48))</f>
        <v/>
      </c>
      <c r="Z49" s="426" t="str">
        <f>IF($B49="","",IF('Prop DUOS'!L48="",0,'Prop DUOS'!L48))</f>
        <v/>
      </c>
      <c r="AA49" s="426" t="str">
        <f>IF($B49="","",IF('Prop DUOS'!M48="",0,'Prop DUOS'!M48))</f>
        <v/>
      </c>
      <c r="AB49" s="426" t="str">
        <f>IF($B49="","",IF('Prop DUOS'!N48="",0,'Prop DUOS'!N48))</f>
        <v/>
      </c>
      <c r="AC49" s="426" t="str">
        <f>IF($B49="","",IF('Prop DUOS'!O48="",0,'Prop DUOS'!O48))</f>
        <v/>
      </c>
      <c r="AD49" s="426" t="str">
        <f>IF($B49="","",IF('Prop DUOS'!P48="",0,'Prop DUOS'!P48))</f>
        <v/>
      </c>
      <c r="AE49" s="426" t="str">
        <f>IF($B49="","",IF('Prop DUOS'!Q48="",0,'Prop DUOS'!Q48))</f>
        <v/>
      </c>
      <c r="AF49" s="606" t="str">
        <f>IF($B49="","",IF('Prop DUOS'!R48="",0,'Prop DUOS'!R48))</f>
        <v/>
      </c>
      <c r="AG49" s="427" t="str">
        <f>IF($B49="","",IF('Prop DUOS'!S48="",0,'Prop DUOS'!S48))</f>
        <v/>
      </c>
      <c r="AH49" s="425" t="str">
        <f>IF($B49="","",IF('Prop TUOS'!D48="",0,'Prop TUOS'!D48))</f>
        <v/>
      </c>
      <c r="AI49" s="426" t="str">
        <f>IF($B49="","",IF('Prop TUOS'!E48="",0,'Prop TUOS'!E48))</f>
        <v/>
      </c>
      <c r="AJ49" s="426" t="str">
        <f>IF($B49="","",IF('Prop TUOS'!F48="",0,'Prop TUOS'!F48))</f>
        <v/>
      </c>
      <c r="AK49" s="426" t="str">
        <f>IF($B49="","",IF('Prop TUOS'!G48="",0,'Prop TUOS'!G48))</f>
        <v/>
      </c>
      <c r="AL49" s="426" t="str">
        <f>IF($B49="","",IF('Prop TUOS'!H48="",0,'Prop TUOS'!H48))</f>
        <v/>
      </c>
      <c r="AM49" s="426" t="str">
        <f>IF($B49="","",IF('Prop TUOS'!I48="",0,'Prop TUOS'!I48))</f>
        <v/>
      </c>
      <c r="AN49" s="426" t="str">
        <f>IF($B49="","",IF('Prop TUOS'!J48="",0,'Prop TUOS'!J48))</f>
        <v/>
      </c>
      <c r="AO49" s="426" t="str">
        <f>IF($B49="","",IF('Prop TUOS'!K48="",0,'Prop TUOS'!K48))</f>
        <v/>
      </c>
      <c r="AP49" s="426" t="str">
        <f>IF($B49="","",IF('Prop TUOS'!L48="",0,'Prop TUOS'!L48))</f>
        <v/>
      </c>
      <c r="AQ49" s="426" t="str">
        <f>IF($B49="","",IF('Prop TUOS'!M48="",0,'Prop TUOS'!M48))</f>
        <v/>
      </c>
      <c r="AR49" s="426" t="str">
        <f>IF($B49="","",IF('Prop TUOS'!N48="",0,'Prop TUOS'!N48))</f>
        <v/>
      </c>
      <c r="AS49" s="426" t="str">
        <f>IF($B49="","",IF('Prop TUOS'!O48="",0,'Prop TUOS'!O48))</f>
        <v/>
      </c>
      <c r="AT49" s="426" t="str">
        <f>IF($B49="","",IF('Prop TUOS'!P48="",0,'Prop TUOS'!P48))</f>
        <v/>
      </c>
      <c r="AU49" s="606" t="str">
        <f>IF($B49="","",IF('Prop TUOS'!Q48="",0,'Prop TUOS'!Q48))</f>
        <v/>
      </c>
      <c r="AV49" s="427" t="str">
        <f>IF($B49="","",IF('Prop TUOS'!R48="",0,'Prop TUOS'!R48))</f>
        <v/>
      </c>
      <c r="AW49" s="425" t="str">
        <f>IF($B49="","",IF('Prop JUOS'!D48="",0,'Prop JUOS'!D48))</f>
        <v/>
      </c>
      <c r="AX49" s="426" t="str">
        <f>IF($B49="","",IF('Prop JUOS'!E48="",0,'Prop JUOS'!E48))</f>
        <v/>
      </c>
      <c r="AY49" s="426" t="str">
        <f>IF($B49="","",IF('Prop JUOS'!F48="",0,'Prop JUOS'!F48))</f>
        <v/>
      </c>
      <c r="AZ49" s="426" t="str">
        <f>IF($B49="","",IF('Prop JUOS'!G48="",0,'Prop JUOS'!G48))</f>
        <v/>
      </c>
      <c r="BA49" s="426" t="str">
        <f>IF($B49="","",IF('Prop JUOS'!H48="",0,'Prop JUOS'!H48))</f>
        <v/>
      </c>
      <c r="BB49" s="426" t="str">
        <f>IF($B49="","",IF('Prop JUOS'!I48="",0,'Prop JUOS'!I48))</f>
        <v/>
      </c>
      <c r="BC49" s="426" t="str">
        <f>IF($B49="","",IF('Prop JUOS'!J48="",0,'Prop JUOS'!J48))</f>
        <v/>
      </c>
      <c r="BD49" s="426" t="str">
        <f>IF($B49="","",IF('Prop JUOS'!K48="",0,'Prop JUOS'!K48))</f>
        <v/>
      </c>
      <c r="BE49" s="426" t="str">
        <f>IF($B49="","",IF('Prop JUOS'!L48="",0,'Prop JUOS'!L48))</f>
        <v/>
      </c>
      <c r="BF49" s="426" t="str">
        <f>IF($B49="","",IF('Prop JUOS'!M48="",0,'Prop JUOS'!M48))</f>
        <v/>
      </c>
      <c r="BG49" s="426" t="str">
        <f>IF($B49="","",IF('Prop JUOS'!N48="",0,'Prop JUOS'!N48))</f>
        <v/>
      </c>
      <c r="BH49" s="426" t="str">
        <f>IF($B49="","",IF('Prop JUOS'!O48="",0,'Prop JUOS'!O48))</f>
        <v/>
      </c>
      <c r="BI49" s="426" t="str">
        <f>IF($B49="","",IF('Prop JUOS'!P48="",0,'Prop JUOS'!P48))</f>
        <v/>
      </c>
      <c r="BJ49" s="606" t="str">
        <f>IF($B49="","",IF('Prop JUOS'!Q48="",0,'Prop JUOS'!Q48))</f>
        <v/>
      </c>
      <c r="BK49" s="427" t="str">
        <f>IF($B49="","",IF('Prop JUOS'!R48="",0,'Prop JUOS'!R48))</f>
        <v/>
      </c>
    </row>
    <row r="50" spans="2:63">
      <c r="B50" s="416" t="str">
        <f>IF('Prop DUOS'!B49="","",'Prop DUOS'!B49)</f>
        <v/>
      </c>
      <c r="C50" s="376" t="str">
        <f>IF(B50="","",INDEX('Side constraints'!$C$33:$C$92,MATCH('Prop DUOS'!B49,'Side constraints'!$D$33:$D$92,0),1))</f>
        <v/>
      </c>
      <c r="D50" s="425" t="str">
        <f t="shared" si="19"/>
        <v/>
      </c>
      <c r="E50" s="426" t="str">
        <f t="shared" si="20"/>
        <v/>
      </c>
      <c r="F50" s="426" t="str">
        <f t="shared" si="21"/>
        <v/>
      </c>
      <c r="G50" s="426" t="str">
        <f t="shared" si="22"/>
        <v/>
      </c>
      <c r="H50" s="426" t="str">
        <f t="shared" si="23"/>
        <v/>
      </c>
      <c r="I50" s="426" t="str">
        <f t="shared" si="24"/>
        <v/>
      </c>
      <c r="J50" s="426" t="str">
        <f t="shared" si="25"/>
        <v/>
      </c>
      <c r="K50" s="426" t="str">
        <f t="shared" si="26"/>
        <v/>
      </c>
      <c r="L50" s="426" t="str">
        <f t="shared" si="27"/>
        <v/>
      </c>
      <c r="M50" s="426" t="str">
        <f t="shared" si="13"/>
        <v/>
      </c>
      <c r="N50" s="426" t="str">
        <f t="shared" si="14"/>
        <v/>
      </c>
      <c r="O50" s="426" t="str">
        <f t="shared" si="15"/>
        <v/>
      </c>
      <c r="P50" s="426" t="str">
        <f t="shared" si="16"/>
        <v/>
      </c>
      <c r="Q50" s="606" t="str">
        <f t="shared" si="17"/>
        <v/>
      </c>
      <c r="R50" s="427" t="str">
        <f t="shared" si="18"/>
        <v/>
      </c>
      <c r="S50" s="425" t="str">
        <f>IF($B50="","",IF('Prop DUOS'!E49="",0,'Prop DUOS'!E49))</f>
        <v/>
      </c>
      <c r="T50" s="426" t="str">
        <f>IF($B50="","",IF('Prop DUOS'!F49="",0,'Prop DUOS'!F49))</f>
        <v/>
      </c>
      <c r="U50" s="426" t="str">
        <f>IF($B50="","",IF('Prop DUOS'!G49="",0,'Prop DUOS'!G49))</f>
        <v/>
      </c>
      <c r="V50" s="426" t="str">
        <f>IF($B50="","",IF('Prop DUOS'!H49="",0,'Prop DUOS'!H49))</f>
        <v/>
      </c>
      <c r="W50" s="426" t="str">
        <f>IF($B50="","",IF('Prop DUOS'!I49="",0,'Prop DUOS'!I49))</f>
        <v/>
      </c>
      <c r="X50" s="426" t="str">
        <f>IF($B50="","",IF('Prop DUOS'!J49="",0,'Prop DUOS'!J49))</f>
        <v/>
      </c>
      <c r="Y50" s="426" t="str">
        <f>IF($B50="","",IF('Prop DUOS'!K49="",0,'Prop DUOS'!K49))</f>
        <v/>
      </c>
      <c r="Z50" s="426" t="str">
        <f>IF($B50="","",IF('Prop DUOS'!L49="",0,'Prop DUOS'!L49))</f>
        <v/>
      </c>
      <c r="AA50" s="426" t="str">
        <f>IF($B50="","",IF('Prop DUOS'!M49="",0,'Prop DUOS'!M49))</f>
        <v/>
      </c>
      <c r="AB50" s="426" t="str">
        <f>IF($B50="","",IF('Prop DUOS'!N49="",0,'Prop DUOS'!N49))</f>
        <v/>
      </c>
      <c r="AC50" s="426" t="str">
        <f>IF($B50="","",IF('Prop DUOS'!O49="",0,'Prop DUOS'!O49))</f>
        <v/>
      </c>
      <c r="AD50" s="426" t="str">
        <f>IF($B50="","",IF('Prop DUOS'!P49="",0,'Prop DUOS'!P49))</f>
        <v/>
      </c>
      <c r="AE50" s="426" t="str">
        <f>IF($B50="","",IF('Prop DUOS'!Q49="",0,'Prop DUOS'!Q49))</f>
        <v/>
      </c>
      <c r="AF50" s="606" t="str">
        <f>IF($B50="","",IF('Prop DUOS'!R49="",0,'Prop DUOS'!R49))</f>
        <v/>
      </c>
      <c r="AG50" s="427" t="str">
        <f>IF($B50="","",IF('Prop DUOS'!S49="",0,'Prop DUOS'!S49))</f>
        <v/>
      </c>
      <c r="AH50" s="425" t="str">
        <f>IF($B50="","",IF('Prop TUOS'!D49="",0,'Prop TUOS'!D49))</f>
        <v/>
      </c>
      <c r="AI50" s="426" t="str">
        <f>IF($B50="","",IF('Prop TUOS'!E49="",0,'Prop TUOS'!E49))</f>
        <v/>
      </c>
      <c r="AJ50" s="426" t="str">
        <f>IF($B50="","",IF('Prop TUOS'!F49="",0,'Prop TUOS'!F49))</f>
        <v/>
      </c>
      <c r="AK50" s="426" t="str">
        <f>IF($B50="","",IF('Prop TUOS'!G49="",0,'Prop TUOS'!G49))</f>
        <v/>
      </c>
      <c r="AL50" s="426" t="str">
        <f>IF($B50="","",IF('Prop TUOS'!H49="",0,'Prop TUOS'!H49))</f>
        <v/>
      </c>
      <c r="AM50" s="426" t="str">
        <f>IF($B50="","",IF('Prop TUOS'!I49="",0,'Prop TUOS'!I49))</f>
        <v/>
      </c>
      <c r="AN50" s="426" t="str">
        <f>IF($B50="","",IF('Prop TUOS'!J49="",0,'Prop TUOS'!J49))</f>
        <v/>
      </c>
      <c r="AO50" s="426" t="str">
        <f>IF($B50="","",IF('Prop TUOS'!K49="",0,'Prop TUOS'!K49))</f>
        <v/>
      </c>
      <c r="AP50" s="426" t="str">
        <f>IF($B50="","",IF('Prop TUOS'!L49="",0,'Prop TUOS'!L49))</f>
        <v/>
      </c>
      <c r="AQ50" s="426" t="str">
        <f>IF($B50="","",IF('Prop TUOS'!M49="",0,'Prop TUOS'!M49))</f>
        <v/>
      </c>
      <c r="AR50" s="426" t="str">
        <f>IF($B50="","",IF('Prop TUOS'!N49="",0,'Prop TUOS'!N49))</f>
        <v/>
      </c>
      <c r="AS50" s="426" t="str">
        <f>IF($B50="","",IF('Prop TUOS'!O49="",0,'Prop TUOS'!O49))</f>
        <v/>
      </c>
      <c r="AT50" s="426" t="str">
        <f>IF($B50="","",IF('Prop TUOS'!P49="",0,'Prop TUOS'!P49))</f>
        <v/>
      </c>
      <c r="AU50" s="606" t="str">
        <f>IF($B50="","",IF('Prop TUOS'!Q49="",0,'Prop TUOS'!Q49))</f>
        <v/>
      </c>
      <c r="AV50" s="427" t="str">
        <f>IF($B50="","",IF('Prop TUOS'!R49="",0,'Prop TUOS'!R49))</f>
        <v/>
      </c>
      <c r="AW50" s="425" t="str">
        <f>IF($B50="","",IF('Prop JUOS'!D49="",0,'Prop JUOS'!D49))</f>
        <v/>
      </c>
      <c r="AX50" s="426" t="str">
        <f>IF($B50="","",IF('Prop JUOS'!E49="",0,'Prop JUOS'!E49))</f>
        <v/>
      </c>
      <c r="AY50" s="426" t="str">
        <f>IF($B50="","",IF('Prop JUOS'!F49="",0,'Prop JUOS'!F49))</f>
        <v/>
      </c>
      <c r="AZ50" s="426" t="str">
        <f>IF($B50="","",IF('Prop JUOS'!G49="",0,'Prop JUOS'!G49))</f>
        <v/>
      </c>
      <c r="BA50" s="426" t="str">
        <f>IF($B50="","",IF('Prop JUOS'!H49="",0,'Prop JUOS'!H49))</f>
        <v/>
      </c>
      <c r="BB50" s="426" t="str">
        <f>IF($B50="","",IF('Prop JUOS'!I49="",0,'Prop JUOS'!I49))</f>
        <v/>
      </c>
      <c r="BC50" s="426" t="str">
        <f>IF($B50="","",IF('Prop JUOS'!J49="",0,'Prop JUOS'!J49))</f>
        <v/>
      </c>
      <c r="BD50" s="426" t="str">
        <f>IF($B50="","",IF('Prop JUOS'!K49="",0,'Prop JUOS'!K49))</f>
        <v/>
      </c>
      <c r="BE50" s="426" t="str">
        <f>IF($B50="","",IF('Prop JUOS'!L49="",0,'Prop JUOS'!L49))</f>
        <v/>
      </c>
      <c r="BF50" s="426" t="str">
        <f>IF($B50="","",IF('Prop JUOS'!M49="",0,'Prop JUOS'!M49))</f>
        <v/>
      </c>
      <c r="BG50" s="426" t="str">
        <f>IF($B50="","",IF('Prop JUOS'!N49="",0,'Prop JUOS'!N49))</f>
        <v/>
      </c>
      <c r="BH50" s="426" t="str">
        <f>IF($B50="","",IF('Prop JUOS'!O49="",0,'Prop JUOS'!O49))</f>
        <v/>
      </c>
      <c r="BI50" s="426" t="str">
        <f>IF($B50="","",IF('Prop JUOS'!P49="",0,'Prop JUOS'!P49))</f>
        <v/>
      </c>
      <c r="BJ50" s="606" t="str">
        <f>IF($B50="","",IF('Prop JUOS'!Q49="",0,'Prop JUOS'!Q49))</f>
        <v/>
      </c>
      <c r="BK50" s="427" t="str">
        <f>IF($B50="","",IF('Prop JUOS'!R49="",0,'Prop JUOS'!R49))</f>
        <v/>
      </c>
    </row>
    <row r="51" spans="2:63">
      <c r="B51" s="416" t="str">
        <f>IF('Prop DUOS'!B50="","",'Prop DUOS'!B50)</f>
        <v/>
      </c>
      <c r="C51" s="376" t="str">
        <f>IF(B51="","",INDEX('Side constraints'!$C$33:$C$92,MATCH('Prop DUOS'!B50,'Side constraints'!$D$33:$D$92,0),1))</f>
        <v/>
      </c>
      <c r="D51" s="425" t="str">
        <f t="shared" si="19"/>
        <v/>
      </c>
      <c r="E51" s="426" t="str">
        <f t="shared" si="20"/>
        <v/>
      </c>
      <c r="F51" s="426" t="str">
        <f t="shared" si="21"/>
        <v/>
      </c>
      <c r="G51" s="426" t="str">
        <f t="shared" si="22"/>
        <v/>
      </c>
      <c r="H51" s="426" t="str">
        <f t="shared" si="23"/>
        <v/>
      </c>
      <c r="I51" s="426" t="str">
        <f t="shared" si="24"/>
        <v/>
      </c>
      <c r="J51" s="426" t="str">
        <f t="shared" si="25"/>
        <v/>
      </c>
      <c r="K51" s="426" t="str">
        <f t="shared" si="26"/>
        <v/>
      </c>
      <c r="L51" s="426" t="str">
        <f t="shared" si="27"/>
        <v/>
      </c>
      <c r="M51" s="426" t="str">
        <f t="shared" si="13"/>
        <v/>
      </c>
      <c r="N51" s="426" t="str">
        <f t="shared" si="14"/>
        <v/>
      </c>
      <c r="O51" s="426" t="str">
        <f t="shared" si="15"/>
        <v/>
      </c>
      <c r="P51" s="426" t="str">
        <f t="shared" si="16"/>
        <v/>
      </c>
      <c r="Q51" s="606" t="str">
        <f t="shared" si="17"/>
        <v/>
      </c>
      <c r="R51" s="427" t="str">
        <f t="shared" si="18"/>
        <v/>
      </c>
      <c r="S51" s="425" t="str">
        <f>IF($B51="","",IF('Prop DUOS'!E50="",0,'Prop DUOS'!E50))</f>
        <v/>
      </c>
      <c r="T51" s="426" t="str">
        <f>IF($B51="","",IF('Prop DUOS'!F50="",0,'Prop DUOS'!F50))</f>
        <v/>
      </c>
      <c r="U51" s="426" t="str">
        <f>IF($B51="","",IF('Prop DUOS'!G50="",0,'Prop DUOS'!G50))</f>
        <v/>
      </c>
      <c r="V51" s="426" t="str">
        <f>IF($B51="","",IF('Prop DUOS'!H50="",0,'Prop DUOS'!H50))</f>
        <v/>
      </c>
      <c r="W51" s="426" t="str">
        <f>IF($B51="","",IF('Prop DUOS'!I50="",0,'Prop DUOS'!I50))</f>
        <v/>
      </c>
      <c r="X51" s="426" t="str">
        <f>IF($B51="","",IF('Prop DUOS'!J50="",0,'Prop DUOS'!J50))</f>
        <v/>
      </c>
      <c r="Y51" s="426" t="str">
        <f>IF($B51="","",IF('Prop DUOS'!K50="",0,'Prop DUOS'!K50))</f>
        <v/>
      </c>
      <c r="Z51" s="426" t="str">
        <f>IF($B51="","",IF('Prop DUOS'!L50="",0,'Prop DUOS'!L50))</f>
        <v/>
      </c>
      <c r="AA51" s="426" t="str">
        <f>IF($B51="","",IF('Prop DUOS'!M50="",0,'Prop DUOS'!M50))</f>
        <v/>
      </c>
      <c r="AB51" s="426" t="str">
        <f>IF($B51="","",IF('Prop DUOS'!N50="",0,'Prop DUOS'!N50))</f>
        <v/>
      </c>
      <c r="AC51" s="426" t="str">
        <f>IF($B51="","",IF('Prop DUOS'!O50="",0,'Prop DUOS'!O50))</f>
        <v/>
      </c>
      <c r="AD51" s="426" t="str">
        <f>IF($B51="","",IF('Prop DUOS'!P50="",0,'Prop DUOS'!P50))</f>
        <v/>
      </c>
      <c r="AE51" s="426" t="str">
        <f>IF($B51="","",IF('Prop DUOS'!Q50="",0,'Prop DUOS'!Q50))</f>
        <v/>
      </c>
      <c r="AF51" s="606" t="str">
        <f>IF($B51="","",IF('Prop DUOS'!R50="",0,'Prop DUOS'!R50))</f>
        <v/>
      </c>
      <c r="AG51" s="427" t="str">
        <f>IF($B51="","",IF('Prop DUOS'!S50="",0,'Prop DUOS'!S50))</f>
        <v/>
      </c>
      <c r="AH51" s="425" t="str">
        <f>IF($B51="","",IF('Prop TUOS'!D50="",0,'Prop TUOS'!D50))</f>
        <v/>
      </c>
      <c r="AI51" s="426" t="str">
        <f>IF($B51="","",IF('Prop TUOS'!E50="",0,'Prop TUOS'!E50))</f>
        <v/>
      </c>
      <c r="AJ51" s="426" t="str">
        <f>IF($B51="","",IF('Prop TUOS'!F50="",0,'Prop TUOS'!F50))</f>
        <v/>
      </c>
      <c r="AK51" s="426" t="str">
        <f>IF($B51="","",IF('Prop TUOS'!G50="",0,'Prop TUOS'!G50))</f>
        <v/>
      </c>
      <c r="AL51" s="426" t="str">
        <f>IF($B51="","",IF('Prop TUOS'!H50="",0,'Prop TUOS'!H50))</f>
        <v/>
      </c>
      <c r="AM51" s="426" t="str">
        <f>IF($B51="","",IF('Prop TUOS'!I50="",0,'Prop TUOS'!I50))</f>
        <v/>
      </c>
      <c r="AN51" s="426" t="str">
        <f>IF($B51="","",IF('Prop TUOS'!J50="",0,'Prop TUOS'!J50))</f>
        <v/>
      </c>
      <c r="AO51" s="426" t="str">
        <f>IF($B51="","",IF('Prop TUOS'!K50="",0,'Prop TUOS'!K50))</f>
        <v/>
      </c>
      <c r="AP51" s="426" t="str">
        <f>IF($B51="","",IF('Prop TUOS'!L50="",0,'Prop TUOS'!L50))</f>
        <v/>
      </c>
      <c r="AQ51" s="426" t="str">
        <f>IF($B51="","",IF('Prop TUOS'!M50="",0,'Prop TUOS'!M50))</f>
        <v/>
      </c>
      <c r="AR51" s="426" t="str">
        <f>IF($B51="","",IF('Prop TUOS'!N50="",0,'Prop TUOS'!N50))</f>
        <v/>
      </c>
      <c r="AS51" s="426" t="str">
        <f>IF($B51="","",IF('Prop TUOS'!O50="",0,'Prop TUOS'!O50))</f>
        <v/>
      </c>
      <c r="AT51" s="426" t="str">
        <f>IF($B51="","",IF('Prop TUOS'!P50="",0,'Prop TUOS'!P50))</f>
        <v/>
      </c>
      <c r="AU51" s="606" t="str">
        <f>IF($B51="","",IF('Prop TUOS'!Q50="",0,'Prop TUOS'!Q50))</f>
        <v/>
      </c>
      <c r="AV51" s="427" t="str">
        <f>IF($B51="","",IF('Prop TUOS'!R50="",0,'Prop TUOS'!R50))</f>
        <v/>
      </c>
      <c r="AW51" s="425" t="str">
        <f>IF($B51="","",IF('Prop JUOS'!D50="",0,'Prop JUOS'!D50))</f>
        <v/>
      </c>
      <c r="AX51" s="426" t="str">
        <f>IF($B51="","",IF('Prop JUOS'!E50="",0,'Prop JUOS'!E50))</f>
        <v/>
      </c>
      <c r="AY51" s="426" t="str">
        <f>IF($B51="","",IF('Prop JUOS'!F50="",0,'Prop JUOS'!F50))</f>
        <v/>
      </c>
      <c r="AZ51" s="426" t="str">
        <f>IF($B51="","",IF('Prop JUOS'!G50="",0,'Prop JUOS'!G50))</f>
        <v/>
      </c>
      <c r="BA51" s="426" t="str">
        <f>IF($B51="","",IF('Prop JUOS'!H50="",0,'Prop JUOS'!H50))</f>
        <v/>
      </c>
      <c r="BB51" s="426" t="str">
        <f>IF($B51="","",IF('Prop JUOS'!I50="",0,'Prop JUOS'!I50))</f>
        <v/>
      </c>
      <c r="BC51" s="426" t="str">
        <f>IF($B51="","",IF('Prop JUOS'!J50="",0,'Prop JUOS'!J50))</f>
        <v/>
      </c>
      <c r="BD51" s="426" t="str">
        <f>IF($B51="","",IF('Prop JUOS'!K50="",0,'Prop JUOS'!K50))</f>
        <v/>
      </c>
      <c r="BE51" s="426" t="str">
        <f>IF($B51="","",IF('Prop JUOS'!L50="",0,'Prop JUOS'!L50))</f>
        <v/>
      </c>
      <c r="BF51" s="426" t="str">
        <f>IF($B51="","",IF('Prop JUOS'!M50="",0,'Prop JUOS'!M50))</f>
        <v/>
      </c>
      <c r="BG51" s="426" t="str">
        <f>IF($B51="","",IF('Prop JUOS'!N50="",0,'Prop JUOS'!N50))</f>
        <v/>
      </c>
      <c r="BH51" s="426" t="str">
        <f>IF($B51="","",IF('Prop JUOS'!O50="",0,'Prop JUOS'!O50))</f>
        <v/>
      </c>
      <c r="BI51" s="426" t="str">
        <f>IF($B51="","",IF('Prop JUOS'!P50="",0,'Prop JUOS'!P50))</f>
        <v/>
      </c>
      <c r="BJ51" s="606" t="str">
        <f>IF($B51="","",IF('Prop JUOS'!Q50="",0,'Prop JUOS'!Q50))</f>
        <v/>
      </c>
      <c r="BK51" s="427" t="str">
        <f>IF($B51="","",IF('Prop JUOS'!R50="",0,'Prop JUOS'!R50))</f>
        <v/>
      </c>
    </row>
    <row r="52" spans="2:63">
      <c r="B52" s="416" t="str">
        <f>IF('Prop DUOS'!B51="","",'Prop DUOS'!B51)</f>
        <v/>
      </c>
      <c r="C52" s="376" t="str">
        <f>IF(B52="","",INDEX('Side constraints'!$C$33:$C$92,MATCH('Prop DUOS'!B51,'Side constraints'!$D$33:$D$92,0),1))</f>
        <v/>
      </c>
      <c r="D52" s="425" t="str">
        <f t="shared" si="19"/>
        <v/>
      </c>
      <c r="E52" s="426" t="str">
        <f t="shared" si="20"/>
        <v/>
      </c>
      <c r="F52" s="426" t="str">
        <f t="shared" si="21"/>
        <v/>
      </c>
      <c r="G52" s="426" t="str">
        <f t="shared" si="22"/>
        <v/>
      </c>
      <c r="H52" s="426" t="str">
        <f t="shared" si="23"/>
        <v/>
      </c>
      <c r="I52" s="426" t="str">
        <f t="shared" si="24"/>
        <v/>
      </c>
      <c r="J52" s="426" t="str">
        <f t="shared" si="25"/>
        <v/>
      </c>
      <c r="K52" s="426" t="str">
        <f t="shared" si="26"/>
        <v/>
      </c>
      <c r="L52" s="426" t="str">
        <f t="shared" si="27"/>
        <v/>
      </c>
      <c r="M52" s="426" t="str">
        <f t="shared" si="13"/>
        <v/>
      </c>
      <c r="N52" s="426" t="str">
        <f t="shared" si="14"/>
        <v/>
      </c>
      <c r="O52" s="426" t="str">
        <f t="shared" si="15"/>
        <v/>
      </c>
      <c r="P52" s="426" t="str">
        <f t="shared" si="16"/>
        <v/>
      </c>
      <c r="Q52" s="606" t="str">
        <f t="shared" si="17"/>
        <v/>
      </c>
      <c r="R52" s="427" t="str">
        <f t="shared" si="18"/>
        <v/>
      </c>
      <c r="S52" s="425" t="str">
        <f>IF($B52="","",IF('Prop DUOS'!E51="",0,'Prop DUOS'!E51))</f>
        <v/>
      </c>
      <c r="T52" s="426" t="str">
        <f>IF($B52="","",IF('Prop DUOS'!F51="",0,'Prop DUOS'!F51))</f>
        <v/>
      </c>
      <c r="U52" s="426" t="str">
        <f>IF($B52="","",IF('Prop DUOS'!G51="",0,'Prop DUOS'!G51))</f>
        <v/>
      </c>
      <c r="V52" s="426" t="str">
        <f>IF($B52="","",IF('Prop DUOS'!H51="",0,'Prop DUOS'!H51))</f>
        <v/>
      </c>
      <c r="W52" s="426" t="str">
        <f>IF($B52="","",IF('Prop DUOS'!I51="",0,'Prop DUOS'!I51))</f>
        <v/>
      </c>
      <c r="X52" s="426" t="str">
        <f>IF($B52="","",IF('Prop DUOS'!J51="",0,'Prop DUOS'!J51))</f>
        <v/>
      </c>
      <c r="Y52" s="426" t="str">
        <f>IF($B52="","",IF('Prop DUOS'!K51="",0,'Prop DUOS'!K51))</f>
        <v/>
      </c>
      <c r="Z52" s="426" t="str">
        <f>IF($B52="","",IF('Prop DUOS'!L51="",0,'Prop DUOS'!L51))</f>
        <v/>
      </c>
      <c r="AA52" s="426" t="str">
        <f>IF($B52="","",IF('Prop DUOS'!M51="",0,'Prop DUOS'!M51))</f>
        <v/>
      </c>
      <c r="AB52" s="426" t="str">
        <f>IF($B52="","",IF('Prop DUOS'!N51="",0,'Prop DUOS'!N51))</f>
        <v/>
      </c>
      <c r="AC52" s="426" t="str">
        <f>IF($B52="","",IF('Prop DUOS'!O51="",0,'Prop DUOS'!O51))</f>
        <v/>
      </c>
      <c r="AD52" s="426" t="str">
        <f>IF($B52="","",IF('Prop DUOS'!P51="",0,'Prop DUOS'!P51))</f>
        <v/>
      </c>
      <c r="AE52" s="426" t="str">
        <f>IF($B52="","",IF('Prop DUOS'!Q51="",0,'Prop DUOS'!Q51))</f>
        <v/>
      </c>
      <c r="AF52" s="606" t="str">
        <f>IF($B52="","",IF('Prop DUOS'!R51="",0,'Prop DUOS'!R51))</f>
        <v/>
      </c>
      <c r="AG52" s="427" t="str">
        <f>IF($B52="","",IF('Prop DUOS'!S51="",0,'Prop DUOS'!S51))</f>
        <v/>
      </c>
      <c r="AH52" s="425" t="str">
        <f>IF($B52="","",IF('Prop TUOS'!D51="",0,'Prop TUOS'!D51))</f>
        <v/>
      </c>
      <c r="AI52" s="426" t="str">
        <f>IF($B52="","",IF('Prop TUOS'!E51="",0,'Prop TUOS'!E51))</f>
        <v/>
      </c>
      <c r="AJ52" s="426" t="str">
        <f>IF($B52="","",IF('Prop TUOS'!F51="",0,'Prop TUOS'!F51))</f>
        <v/>
      </c>
      <c r="AK52" s="426" t="str">
        <f>IF($B52="","",IF('Prop TUOS'!G51="",0,'Prop TUOS'!G51))</f>
        <v/>
      </c>
      <c r="AL52" s="426" t="str">
        <f>IF($B52="","",IF('Prop TUOS'!H51="",0,'Prop TUOS'!H51))</f>
        <v/>
      </c>
      <c r="AM52" s="426" t="str">
        <f>IF($B52="","",IF('Prop TUOS'!I51="",0,'Prop TUOS'!I51))</f>
        <v/>
      </c>
      <c r="AN52" s="426" t="str">
        <f>IF($B52="","",IF('Prop TUOS'!J51="",0,'Prop TUOS'!J51))</f>
        <v/>
      </c>
      <c r="AO52" s="426" t="str">
        <f>IF($B52="","",IF('Prop TUOS'!K51="",0,'Prop TUOS'!K51))</f>
        <v/>
      </c>
      <c r="AP52" s="426" t="str">
        <f>IF($B52="","",IF('Prop TUOS'!L51="",0,'Prop TUOS'!L51))</f>
        <v/>
      </c>
      <c r="AQ52" s="426" t="str">
        <f>IF($B52="","",IF('Prop TUOS'!M51="",0,'Prop TUOS'!M51))</f>
        <v/>
      </c>
      <c r="AR52" s="426" t="str">
        <f>IF($B52="","",IF('Prop TUOS'!N51="",0,'Prop TUOS'!N51))</f>
        <v/>
      </c>
      <c r="AS52" s="426" t="str">
        <f>IF($B52="","",IF('Prop TUOS'!O51="",0,'Prop TUOS'!O51))</f>
        <v/>
      </c>
      <c r="AT52" s="426" t="str">
        <f>IF($B52="","",IF('Prop TUOS'!P51="",0,'Prop TUOS'!P51))</f>
        <v/>
      </c>
      <c r="AU52" s="606" t="str">
        <f>IF($B52="","",IF('Prop TUOS'!Q51="",0,'Prop TUOS'!Q51))</f>
        <v/>
      </c>
      <c r="AV52" s="427" t="str">
        <f>IF($B52="","",IF('Prop TUOS'!R51="",0,'Prop TUOS'!R51))</f>
        <v/>
      </c>
      <c r="AW52" s="425" t="str">
        <f>IF($B52="","",IF('Prop JUOS'!D51="",0,'Prop JUOS'!D51))</f>
        <v/>
      </c>
      <c r="AX52" s="426" t="str">
        <f>IF($B52="","",IF('Prop JUOS'!E51="",0,'Prop JUOS'!E51))</f>
        <v/>
      </c>
      <c r="AY52" s="426" t="str">
        <f>IF($B52="","",IF('Prop JUOS'!F51="",0,'Prop JUOS'!F51))</f>
        <v/>
      </c>
      <c r="AZ52" s="426" t="str">
        <f>IF($B52="","",IF('Prop JUOS'!G51="",0,'Prop JUOS'!G51))</f>
        <v/>
      </c>
      <c r="BA52" s="426" t="str">
        <f>IF($B52="","",IF('Prop JUOS'!H51="",0,'Prop JUOS'!H51))</f>
        <v/>
      </c>
      <c r="BB52" s="426" t="str">
        <f>IF($B52="","",IF('Prop JUOS'!I51="",0,'Prop JUOS'!I51))</f>
        <v/>
      </c>
      <c r="BC52" s="426" t="str">
        <f>IF($B52="","",IF('Prop JUOS'!J51="",0,'Prop JUOS'!J51))</f>
        <v/>
      </c>
      <c r="BD52" s="426" t="str">
        <f>IF($B52="","",IF('Prop JUOS'!K51="",0,'Prop JUOS'!K51))</f>
        <v/>
      </c>
      <c r="BE52" s="426" t="str">
        <f>IF($B52="","",IF('Prop JUOS'!L51="",0,'Prop JUOS'!L51))</f>
        <v/>
      </c>
      <c r="BF52" s="426" t="str">
        <f>IF($B52="","",IF('Prop JUOS'!M51="",0,'Prop JUOS'!M51))</f>
        <v/>
      </c>
      <c r="BG52" s="426" t="str">
        <f>IF($B52="","",IF('Prop JUOS'!N51="",0,'Prop JUOS'!N51))</f>
        <v/>
      </c>
      <c r="BH52" s="426" t="str">
        <f>IF($B52="","",IF('Prop JUOS'!O51="",0,'Prop JUOS'!O51))</f>
        <v/>
      </c>
      <c r="BI52" s="426" t="str">
        <f>IF($B52="","",IF('Prop JUOS'!P51="",0,'Prop JUOS'!P51))</f>
        <v/>
      </c>
      <c r="BJ52" s="606" t="str">
        <f>IF($B52="","",IF('Prop JUOS'!Q51="",0,'Prop JUOS'!Q51))</f>
        <v/>
      </c>
      <c r="BK52" s="427" t="str">
        <f>IF($B52="","",IF('Prop JUOS'!R51="",0,'Prop JUOS'!R51))</f>
        <v/>
      </c>
    </row>
    <row r="53" spans="2:63">
      <c r="B53" s="416" t="str">
        <f>IF('Prop DUOS'!B52="","",'Prop DUOS'!B52)</f>
        <v/>
      </c>
      <c r="C53" s="376" t="str">
        <f>IF(B53="","",INDEX('Side constraints'!$C$33:$C$92,MATCH('Prop DUOS'!B52,'Side constraints'!$D$33:$D$92,0),1))</f>
        <v/>
      </c>
      <c r="D53" s="425" t="str">
        <f t="shared" si="19"/>
        <v/>
      </c>
      <c r="E53" s="426" t="str">
        <f t="shared" si="20"/>
        <v/>
      </c>
      <c r="F53" s="426" t="str">
        <f t="shared" si="21"/>
        <v/>
      </c>
      <c r="G53" s="426" t="str">
        <f t="shared" si="22"/>
        <v/>
      </c>
      <c r="H53" s="426" t="str">
        <f t="shared" si="23"/>
        <v/>
      </c>
      <c r="I53" s="426" t="str">
        <f t="shared" si="24"/>
        <v/>
      </c>
      <c r="J53" s="426" t="str">
        <f t="shared" si="25"/>
        <v/>
      </c>
      <c r="K53" s="426" t="str">
        <f t="shared" si="26"/>
        <v/>
      </c>
      <c r="L53" s="426" t="str">
        <f t="shared" si="27"/>
        <v/>
      </c>
      <c r="M53" s="426" t="str">
        <f t="shared" si="13"/>
        <v/>
      </c>
      <c r="N53" s="426" t="str">
        <f t="shared" si="14"/>
        <v/>
      </c>
      <c r="O53" s="426" t="str">
        <f t="shared" si="15"/>
        <v/>
      </c>
      <c r="P53" s="426" t="str">
        <f t="shared" si="16"/>
        <v/>
      </c>
      <c r="Q53" s="606" t="str">
        <f t="shared" si="17"/>
        <v/>
      </c>
      <c r="R53" s="427" t="str">
        <f t="shared" si="18"/>
        <v/>
      </c>
      <c r="S53" s="425" t="str">
        <f>IF($B53="","",IF('Prop DUOS'!E52="",0,'Prop DUOS'!E52))</f>
        <v/>
      </c>
      <c r="T53" s="426" t="str">
        <f>IF($B53="","",IF('Prop DUOS'!F52="",0,'Prop DUOS'!F52))</f>
        <v/>
      </c>
      <c r="U53" s="426" t="str">
        <f>IF($B53="","",IF('Prop DUOS'!G52="",0,'Prop DUOS'!G52))</f>
        <v/>
      </c>
      <c r="V53" s="426" t="str">
        <f>IF($B53="","",IF('Prop DUOS'!H52="",0,'Prop DUOS'!H52))</f>
        <v/>
      </c>
      <c r="W53" s="426" t="str">
        <f>IF($B53="","",IF('Prop DUOS'!I52="",0,'Prop DUOS'!I52))</f>
        <v/>
      </c>
      <c r="X53" s="426" t="str">
        <f>IF($B53="","",IF('Prop DUOS'!J52="",0,'Prop DUOS'!J52))</f>
        <v/>
      </c>
      <c r="Y53" s="426" t="str">
        <f>IF($B53="","",IF('Prop DUOS'!K52="",0,'Prop DUOS'!K52))</f>
        <v/>
      </c>
      <c r="Z53" s="426" t="str">
        <f>IF($B53="","",IF('Prop DUOS'!L52="",0,'Prop DUOS'!L52))</f>
        <v/>
      </c>
      <c r="AA53" s="426" t="str">
        <f>IF($B53="","",IF('Prop DUOS'!M52="",0,'Prop DUOS'!M52))</f>
        <v/>
      </c>
      <c r="AB53" s="426" t="str">
        <f>IF($B53="","",IF('Prop DUOS'!N52="",0,'Prop DUOS'!N52))</f>
        <v/>
      </c>
      <c r="AC53" s="426" t="str">
        <f>IF($B53="","",IF('Prop DUOS'!O52="",0,'Prop DUOS'!O52))</f>
        <v/>
      </c>
      <c r="AD53" s="426" t="str">
        <f>IF($B53="","",IF('Prop DUOS'!P52="",0,'Prop DUOS'!P52))</f>
        <v/>
      </c>
      <c r="AE53" s="426" t="str">
        <f>IF($B53="","",IF('Prop DUOS'!Q52="",0,'Prop DUOS'!Q52))</f>
        <v/>
      </c>
      <c r="AF53" s="606" t="str">
        <f>IF($B53="","",IF('Prop DUOS'!R52="",0,'Prop DUOS'!R52))</f>
        <v/>
      </c>
      <c r="AG53" s="427" t="str">
        <f>IF($B53="","",IF('Prop DUOS'!S52="",0,'Prop DUOS'!S52))</f>
        <v/>
      </c>
      <c r="AH53" s="425" t="str">
        <f>IF($B53="","",IF('Prop TUOS'!D52="",0,'Prop TUOS'!D52))</f>
        <v/>
      </c>
      <c r="AI53" s="426" t="str">
        <f>IF($B53="","",IF('Prop TUOS'!E52="",0,'Prop TUOS'!E52))</f>
        <v/>
      </c>
      <c r="AJ53" s="426" t="str">
        <f>IF($B53="","",IF('Prop TUOS'!F52="",0,'Prop TUOS'!F52))</f>
        <v/>
      </c>
      <c r="AK53" s="426" t="str">
        <f>IF($B53="","",IF('Prop TUOS'!G52="",0,'Prop TUOS'!G52))</f>
        <v/>
      </c>
      <c r="AL53" s="426" t="str">
        <f>IF($B53="","",IF('Prop TUOS'!H52="",0,'Prop TUOS'!H52))</f>
        <v/>
      </c>
      <c r="AM53" s="426" t="str">
        <f>IF($B53="","",IF('Prop TUOS'!I52="",0,'Prop TUOS'!I52))</f>
        <v/>
      </c>
      <c r="AN53" s="426" t="str">
        <f>IF($B53="","",IF('Prop TUOS'!J52="",0,'Prop TUOS'!J52))</f>
        <v/>
      </c>
      <c r="AO53" s="426" t="str">
        <f>IF($B53="","",IF('Prop TUOS'!K52="",0,'Prop TUOS'!K52))</f>
        <v/>
      </c>
      <c r="AP53" s="426" t="str">
        <f>IF($B53="","",IF('Prop TUOS'!L52="",0,'Prop TUOS'!L52))</f>
        <v/>
      </c>
      <c r="AQ53" s="426" t="str">
        <f>IF($B53="","",IF('Prop TUOS'!M52="",0,'Prop TUOS'!M52))</f>
        <v/>
      </c>
      <c r="AR53" s="426" t="str">
        <f>IF($B53="","",IF('Prop TUOS'!N52="",0,'Prop TUOS'!N52))</f>
        <v/>
      </c>
      <c r="AS53" s="426" t="str">
        <f>IF($B53="","",IF('Prop TUOS'!O52="",0,'Prop TUOS'!O52))</f>
        <v/>
      </c>
      <c r="AT53" s="426" t="str">
        <f>IF($B53="","",IF('Prop TUOS'!P52="",0,'Prop TUOS'!P52))</f>
        <v/>
      </c>
      <c r="AU53" s="606" t="str">
        <f>IF($B53="","",IF('Prop TUOS'!Q52="",0,'Prop TUOS'!Q52))</f>
        <v/>
      </c>
      <c r="AV53" s="427" t="str">
        <f>IF($B53="","",IF('Prop TUOS'!R52="",0,'Prop TUOS'!R52))</f>
        <v/>
      </c>
      <c r="AW53" s="425" t="str">
        <f>IF($B53="","",IF('Prop JUOS'!D52="",0,'Prop JUOS'!D52))</f>
        <v/>
      </c>
      <c r="AX53" s="426" t="str">
        <f>IF($B53="","",IF('Prop JUOS'!E52="",0,'Prop JUOS'!E52))</f>
        <v/>
      </c>
      <c r="AY53" s="426" t="str">
        <f>IF($B53="","",IF('Prop JUOS'!F52="",0,'Prop JUOS'!F52))</f>
        <v/>
      </c>
      <c r="AZ53" s="426" t="str">
        <f>IF($B53="","",IF('Prop JUOS'!G52="",0,'Prop JUOS'!G52))</f>
        <v/>
      </c>
      <c r="BA53" s="426" t="str">
        <f>IF($B53="","",IF('Prop JUOS'!H52="",0,'Prop JUOS'!H52))</f>
        <v/>
      </c>
      <c r="BB53" s="426" t="str">
        <f>IF($B53="","",IF('Prop JUOS'!I52="",0,'Prop JUOS'!I52))</f>
        <v/>
      </c>
      <c r="BC53" s="426" t="str">
        <f>IF($B53="","",IF('Prop JUOS'!J52="",0,'Prop JUOS'!J52))</f>
        <v/>
      </c>
      <c r="BD53" s="426" t="str">
        <f>IF($B53="","",IF('Prop JUOS'!K52="",0,'Prop JUOS'!K52))</f>
        <v/>
      </c>
      <c r="BE53" s="426" t="str">
        <f>IF($B53="","",IF('Prop JUOS'!L52="",0,'Prop JUOS'!L52))</f>
        <v/>
      </c>
      <c r="BF53" s="426" t="str">
        <f>IF($B53="","",IF('Prop JUOS'!M52="",0,'Prop JUOS'!M52))</f>
        <v/>
      </c>
      <c r="BG53" s="426" t="str">
        <f>IF($B53="","",IF('Prop JUOS'!N52="",0,'Prop JUOS'!N52))</f>
        <v/>
      </c>
      <c r="BH53" s="426" t="str">
        <f>IF($B53="","",IF('Prop JUOS'!O52="",0,'Prop JUOS'!O52))</f>
        <v/>
      </c>
      <c r="BI53" s="426" t="str">
        <f>IF($B53="","",IF('Prop JUOS'!P52="",0,'Prop JUOS'!P52))</f>
        <v/>
      </c>
      <c r="BJ53" s="606" t="str">
        <f>IF($B53="","",IF('Prop JUOS'!Q52="",0,'Prop JUOS'!Q52))</f>
        <v/>
      </c>
      <c r="BK53" s="427" t="str">
        <f>IF($B53="","",IF('Prop JUOS'!R52="",0,'Prop JUOS'!R52))</f>
        <v/>
      </c>
    </row>
    <row r="54" spans="2:63">
      <c r="B54" s="416" t="str">
        <f>IF('Prop DUOS'!B53="","",'Prop DUOS'!B53)</f>
        <v/>
      </c>
      <c r="C54" s="376" t="str">
        <f>IF(B54="","",INDEX('Side constraints'!$C$33:$C$92,MATCH('Prop DUOS'!B53,'Side constraints'!$D$33:$D$92,0),1))</f>
        <v/>
      </c>
      <c r="D54" s="425" t="str">
        <f t="shared" si="19"/>
        <v/>
      </c>
      <c r="E54" s="426" t="str">
        <f t="shared" si="20"/>
        <v/>
      </c>
      <c r="F54" s="426" t="str">
        <f t="shared" si="21"/>
        <v/>
      </c>
      <c r="G54" s="426" t="str">
        <f t="shared" si="22"/>
        <v/>
      </c>
      <c r="H54" s="426" t="str">
        <f t="shared" si="23"/>
        <v/>
      </c>
      <c r="I54" s="426" t="str">
        <f t="shared" si="24"/>
        <v/>
      </c>
      <c r="J54" s="426" t="str">
        <f t="shared" si="25"/>
        <v/>
      </c>
      <c r="K54" s="426" t="str">
        <f t="shared" si="26"/>
        <v/>
      </c>
      <c r="L54" s="426" t="str">
        <f t="shared" si="27"/>
        <v/>
      </c>
      <c r="M54" s="426" t="str">
        <f t="shared" si="13"/>
        <v/>
      </c>
      <c r="N54" s="426" t="str">
        <f t="shared" si="14"/>
        <v/>
      </c>
      <c r="O54" s="426" t="str">
        <f t="shared" si="15"/>
        <v/>
      </c>
      <c r="P54" s="426" t="str">
        <f t="shared" si="16"/>
        <v/>
      </c>
      <c r="Q54" s="606" t="str">
        <f t="shared" si="17"/>
        <v/>
      </c>
      <c r="R54" s="427" t="str">
        <f t="shared" si="18"/>
        <v/>
      </c>
      <c r="S54" s="425" t="str">
        <f>IF($B54="","",IF('Prop DUOS'!E53="",0,'Prop DUOS'!E53))</f>
        <v/>
      </c>
      <c r="T54" s="426" t="str">
        <f>IF($B54="","",IF('Prop DUOS'!F53="",0,'Prop DUOS'!F53))</f>
        <v/>
      </c>
      <c r="U54" s="426" t="str">
        <f>IF($B54="","",IF('Prop DUOS'!G53="",0,'Prop DUOS'!G53))</f>
        <v/>
      </c>
      <c r="V54" s="426" t="str">
        <f>IF($B54="","",IF('Prop DUOS'!H53="",0,'Prop DUOS'!H53))</f>
        <v/>
      </c>
      <c r="W54" s="426" t="str">
        <f>IF($B54="","",IF('Prop DUOS'!I53="",0,'Prop DUOS'!I53))</f>
        <v/>
      </c>
      <c r="X54" s="426" t="str">
        <f>IF($B54="","",IF('Prop DUOS'!J53="",0,'Prop DUOS'!J53))</f>
        <v/>
      </c>
      <c r="Y54" s="426" t="str">
        <f>IF($B54="","",IF('Prop DUOS'!K53="",0,'Prop DUOS'!K53))</f>
        <v/>
      </c>
      <c r="Z54" s="426" t="str">
        <f>IF($B54="","",IF('Prop DUOS'!L53="",0,'Prop DUOS'!L53))</f>
        <v/>
      </c>
      <c r="AA54" s="426" t="str">
        <f>IF($B54="","",IF('Prop DUOS'!M53="",0,'Prop DUOS'!M53))</f>
        <v/>
      </c>
      <c r="AB54" s="426" t="str">
        <f>IF($B54="","",IF('Prop DUOS'!N53="",0,'Prop DUOS'!N53))</f>
        <v/>
      </c>
      <c r="AC54" s="426" t="str">
        <f>IF($B54="","",IF('Prop DUOS'!O53="",0,'Prop DUOS'!O53))</f>
        <v/>
      </c>
      <c r="AD54" s="426" t="str">
        <f>IF($B54="","",IF('Prop DUOS'!P53="",0,'Prop DUOS'!P53))</f>
        <v/>
      </c>
      <c r="AE54" s="426" t="str">
        <f>IF($B54="","",IF('Prop DUOS'!Q53="",0,'Prop DUOS'!Q53))</f>
        <v/>
      </c>
      <c r="AF54" s="606" t="str">
        <f>IF($B54="","",IF('Prop DUOS'!R53="",0,'Prop DUOS'!R53))</f>
        <v/>
      </c>
      <c r="AG54" s="427" t="str">
        <f>IF($B54="","",IF('Prop DUOS'!S53="",0,'Prop DUOS'!S53))</f>
        <v/>
      </c>
      <c r="AH54" s="425" t="str">
        <f>IF($B54="","",IF('Prop TUOS'!D53="",0,'Prop TUOS'!D53))</f>
        <v/>
      </c>
      <c r="AI54" s="426" t="str">
        <f>IF($B54="","",IF('Prop TUOS'!E53="",0,'Prop TUOS'!E53))</f>
        <v/>
      </c>
      <c r="AJ54" s="426" t="str">
        <f>IF($B54="","",IF('Prop TUOS'!F53="",0,'Prop TUOS'!F53))</f>
        <v/>
      </c>
      <c r="AK54" s="426" t="str">
        <f>IF($B54="","",IF('Prop TUOS'!G53="",0,'Prop TUOS'!G53))</f>
        <v/>
      </c>
      <c r="AL54" s="426" t="str">
        <f>IF($B54="","",IF('Prop TUOS'!H53="",0,'Prop TUOS'!H53))</f>
        <v/>
      </c>
      <c r="AM54" s="426" t="str">
        <f>IF($B54="","",IF('Prop TUOS'!I53="",0,'Prop TUOS'!I53))</f>
        <v/>
      </c>
      <c r="AN54" s="426" t="str">
        <f>IF($B54="","",IF('Prop TUOS'!J53="",0,'Prop TUOS'!J53))</f>
        <v/>
      </c>
      <c r="AO54" s="426" t="str">
        <f>IF($B54="","",IF('Prop TUOS'!K53="",0,'Prop TUOS'!K53))</f>
        <v/>
      </c>
      <c r="AP54" s="426" t="str">
        <f>IF($B54="","",IF('Prop TUOS'!L53="",0,'Prop TUOS'!L53))</f>
        <v/>
      </c>
      <c r="AQ54" s="426" t="str">
        <f>IF($B54="","",IF('Prop TUOS'!M53="",0,'Prop TUOS'!M53))</f>
        <v/>
      </c>
      <c r="AR54" s="426" t="str">
        <f>IF($B54="","",IF('Prop TUOS'!N53="",0,'Prop TUOS'!N53))</f>
        <v/>
      </c>
      <c r="AS54" s="426" t="str">
        <f>IF($B54="","",IF('Prop TUOS'!O53="",0,'Prop TUOS'!O53))</f>
        <v/>
      </c>
      <c r="AT54" s="426" t="str">
        <f>IF($B54="","",IF('Prop TUOS'!P53="",0,'Prop TUOS'!P53))</f>
        <v/>
      </c>
      <c r="AU54" s="606" t="str">
        <f>IF($B54="","",IF('Prop TUOS'!Q53="",0,'Prop TUOS'!Q53))</f>
        <v/>
      </c>
      <c r="AV54" s="427" t="str">
        <f>IF($B54="","",IF('Prop TUOS'!R53="",0,'Prop TUOS'!R53))</f>
        <v/>
      </c>
      <c r="AW54" s="425" t="str">
        <f>IF($B54="","",IF('Prop JUOS'!D53="",0,'Prop JUOS'!D53))</f>
        <v/>
      </c>
      <c r="AX54" s="426" t="str">
        <f>IF($B54="","",IF('Prop JUOS'!E53="",0,'Prop JUOS'!E53))</f>
        <v/>
      </c>
      <c r="AY54" s="426" t="str">
        <f>IF($B54="","",IF('Prop JUOS'!F53="",0,'Prop JUOS'!F53))</f>
        <v/>
      </c>
      <c r="AZ54" s="426" t="str">
        <f>IF($B54="","",IF('Prop JUOS'!G53="",0,'Prop JUOS'!G53))</f>
        <v/>
      </c>
      <c r="BA54" s="426" t="str">
        <f>IF($B54="","",IF('Prop JUOS'!H53="",0,'Prop JUOS'!H53))</f>
        <v/>
      </c>
      <c r="BB54" s="426" t="str">
        <f>IF($B54="","",IF('Prop JUOS'!I53="",0,'Prop JUOS'!I53))</f>
        <v/>
      </c>
      <c r="BC54" s="426" t="str">
        <f>IF($B54="","",IF('Prop JUOS'!J53="",0,'Prop JUOS'!J53))</f>
        <v/>
      </c>
      <c r="BD54" s="426" t="str">
        <f>IF($B54="","",IF('Prop JUOS'!K53="",0,'Prop JUOS'!K53))</f>
        <v/>
      </c>
      <c r="BE54" s="426" t="str">
        <f>IF($B54="","",IF('Prop JUOS'!L53="",0,'Prop JUOS'!L53))</f>
        <v/>
      </c>
      <c r="BF54" s="426" t="str">
        <f>IF($B54="","",IF('Prop JUOS'!M53="",0,'Prop JUOS'!M53))</f>
        <v/>
      </c>
      <c r="BG54" s="426" t="str">
        <f>IF($B54="","",IF('Prop JUOS'!N53="",0,'Prop JUOS'!N53))</f>
        <v/>
      </c>
      <c r="BH54" s="426" t="str">
        <f>IF($B54="","",IF('Prop JUOS'!O53="",0,'Prop JUOS'!O53))</f>
        <v/>
      </c>
      <c r="BI54" s="426" t="str">
        <f>IF($B54="","",IF('Prop JUOS'!P53="",0,'Prop JUOS'!P53))</f>
        <v/>
      </c>
      <c r="BJ54" s="606" t="str">
        <f>IF($B54="","",IF('Prop JUOS'!Q53="",0,'Prop JUOS'!Q53))</f>
        <v/>
      </c>
      <c r="BK54" s="427" t="str">
        <f>IF($B54="","",IF('Prop JUOS'!R53="",0,'Prop JUOS'!R53))</f>
        <v/>
      </c>
    </row>
    <row r="55" spans="2:63">
      <c r="B55" s="416" t="str">
        <f>IF('Prop DUOS'!B54="","",'Prop DUOS'!B54)</f>
        <v/>
      </c>
      <c r="C55" s="376" t="str">
        <f>IF(B55="","",INDEX('Side constraints'!$C$33:$C$92,MATCH('Prop DUOS'!B54,'Side constraints'!$D$33:$D$92,0),1))</f>
        <v/>
      </c>
      <c r="D55" s="425" t="str">
        <f t="shared" si="19"/>
        <v/>
      </c>
      <c r="E55" s="426" t="str">
        <f t="shared" si="20"/>
        <v/>
      </c>
      <c r="F55" s="426" t="str">
        <f t="shared" si="21"/>
        <v/>
      </c>
      <c r="G55" s="426" t="str">
        <f t="shared" si="22"/>
        <v/>
      </c>
      <c r="H55" s="426" t="str">
        <f t="shared" si="23"/>
        <v/>
      </c>
      <c r="I55" s="426" t="str">
        <f t="shared" si="24"/>
        <v/>
      </c>
      <c r="J55" s="428" t="str">
        <f t="shared" si="25"/>
        <v/>
      </c>
      <c r="K55" s="426" t="str">
        <f t="shared" si="26"/>
        <v/>
      </c>
      <c r="L55" s="426" t="str">
        <f t="shared" si="27"/>
        <v/>
      </c>
      <c r="M55" s="428" t="str">
        <f t="shared" si="13"/>
        <v/>
      </c>
      <c r="N55" s="426" t="str">
        <f t="shared" si="14"/>
        <v/>
      </c>
      <c r="O55" s="426" t="str">
        <f t="shared" si="15"/>
        <v/>
      </c>
      <c r="P55" s="428" t="str">
        <f t="shared" si="16"/>
        <v/>
      </c>
      <c r="Q55" s="607" t="str">
        <f t="shared" si="17"/>
        <v/>
      </c>
      <c r="R55" s="429" t="str">
        <f t="shared" si="18"/>
        <v/>
      </c>
      <c r="S55" s="425" t="str">
        <f>IF($B55="","",IF('Prop DUOS'!E54="",0,'Prop DUOS'!E54))</f>
        <v/>
      </c>
      <c r="T55" s="426" t="str">
        <f>IF($B55="","",IF('Prop DUOS'!F54="",0,'Prop DUOS'!F54))</f>
        <v/>
      </c>
      <c r="U55" s="426" t="str">
        <f>IF($B55="","",IF('Prop DUOS'!G54="",0,'Prop DUOS'!G54))</f>
        <v/>
      </c>
      <c r="V55" s="426" t="str">
        <f>IF($B55="","",IF('Prop DUOS'!H54="",0,'Prop DUOS'!H54))</f>
        <v/>
      </c>
      <c r="W55" s="426" t="str">
        <f>IF($B55="","",IF('Prop DUOS'!I54="",0,'Prop DUOS'!I54))</f>
        <v/>
      </c>
      <c r="X55" s="426" t="str">
        <f>IF($B55="","",IF('Prop DUOS'!J54="",0,'Prop DUOS'!J54))</f>
        <v/>
      </c>
      <c r="Y55" s="428" t="str">
        <f>IF($B55="","",IF('Prop DUOS'!K54="",0,'Prop DUOS'!K54))</f>
        <v/>
      </c>
      <c r="Z55" s="426" t="str">
        <f>IF($B55="","",IF('Prop DUOS'!L54="",0,'Prop DUOS'!L54))</f>
        <v/>
      </c>
      <c r="AA55" s="426" t="str">
        <f>IF($B55="","",IF('Prop DUOS'!M54="",0,'Prop DUOS'!M54))</f>
        <v/>
      </c>
      <c r="AB55" s="428" t="str">
        <f>IF($B55="","",IF('Prop DUOS'!N54="",0,'Prop DUOS'!N54))</f>
        <v/>
      </c>
      <c r="AC55" s="426" t="str">
        <f>IF($B55="","",IF('Prop DUOS'!O54="",0,'Prop DUOS'!O54))</f>
        <v/>
      </c>
      <c r="AD55" s="426" t="str">
        <f>IF($B55="","",IF('Prop DUOS'!P54="",0,'Prop DUOS'!P54))</f>
        <v/>
      </c>
      <c r="AE55" s="428" t="str">
        <f>IF($B55="","",IF('Prop DUOS'!Q54="",0,'Prop DUOS'!Q54))</f>
        <v/>
      </c>
      <c r="AF55" s="607" t="str">
        <f>IF($B55="","",IF('Prop DUOS'!R54="",0,'Prop DUOS'!R54))</f>
        <v/>
      </c>
      <c r="AG55" s="429" t="str">
        <f>IF($B55="","",IF('Prop DUOS'!S54="",0,'Prop DUOS'!S54))</f>
        <v/>
      </c>
      <c r="AH55" s="425" t="str">
        <f>IF($B55="","",IF('Prop TUOS'!D54="",0,'Prop TUOS'!D54))</f>
        <v/>
      </c>
      <c r="AI55" s="426" t="str">
        <f>IF($B55="","",IF('Prop TUOS'!E54="",0,'Prop TUOS'!E54))</f>
        <v/>
      </c>
      <c r="AJ55" s="426" t="str">
        <f>IF($B55="","",IF('Prop TUOS'!F54="",0,'Prop TUOS'!F54))</f>
        <v/>
      </c>
      <c r="AK55" s="426" t="str">
        <f>IF($B55="","",IF('Prop TUOS'!G54="",0,'Prop TUOS'!G54))</f>
        <v/>
      </c>
      <c r="AL55" s="426" t="str">
        <f>IF($B55="","",IF('Prop TUOS'!H54="",0,'Prop TUOS'!H54))</f>
        <v/>
      </c>
      <c r="AM55" s="426" t="str">
        <f>IF($B55="","",IF('Prop TUOS'!I54="",0,'Prop TUOS'!I54))</f>
        <v/>
      </c>
      <c r="AN55" s="428" t="str">
        <f>IF($B55="","",IF('Prop TUOS'!J54="",0,'Prop TUOS'!J54))</f>
        <v/>
      </c>
      <c r="AO55" s="426" t="str">
        <f>IF($B55="","",IF('Prop TUOS'!K54="",0,'Prop TUOS'!K54))</f>
        <v/>
      </c>
      <c r="AP55" s="426" t="str">
        <f>IF($B55="","",IF('Prop TUOS'!L54="",0,'Prop TUOS'!L54))</f>
        <v/>
      </c>
      <c r="AQ55" s="428" t="str">
        <f>IF($B55="","",IF('Prop TUOS'!M54="",0,'Prop TUOS'!M54))</f>
        <v/>
      </c>
      <c r="AR55" s="426" t="str">
        <f>IF($B55="","",IF('Prop TUOS'!N54="",0,'Prop TUOS'!N54))</f>
        <v/>
      </c>
      <c r="AS55" s="426" t="str">
        <f>IF($B55="","",IF('Prop TUOS'!O54="",0,'Prop TUOS'!O54))</f>
        <v/>
      </c>
      <c r="AT55" s="428" t="str">
        <f>IF($B55="","",IF('Prop TUOS'!P54="",0,'Prop TUOS'!P54))</f>
        <v/>
      </c>
      <c r="AU55" s="607" t="str">
        <f>IF($B55="","",IF('Prop TUOS'!Q54="",0,'Prop TUOS'!Q54))</f>
        <v/>
      </c>
      <c r="AV55" s="429" t="str">
        <f>IF($B55="","",IF('Prop TUOS'!R54="",0,'Prop TUOS'!R54))</f>
        <v/>
      </c>
      <c r="AW55" s="425" t="str">
        <f>IF($B55="","",IF('Prop JUOS'!D54="",0,'Prop JUOS'!D54))</f>
        <v/>
      </c>
      <c r="AX55" s="426" t="str">
        <f>IF($B55="","",IF('Prop JUOS'!E54="",0,'Prop JUOS'!E54))</f>
        <v/>
      </c>
      <c r="AY55" s="426" t="str">
        <f>IF($B55="","",IF('Prop JUOS'!F54="",0,'Prop JUOS'!F54))</f>
        <v/>
      </c>
      <c r="AZ55" s="426" t="str">
        <f>IF($B55="","",IF('Prop JUOS'!G54="",0,'Prop JUOS'!G54))</f>
        <v/>
      </c>
      <c r="BA55" s="426" t="str">
        <f>IF($B55="","",IF('Prop JUOS'!H54="",0,'Prop JUOS'!H54))</f>
        <v/>
      </c>
      <c r="BB55" s="426" t="str">
        <f>IF($B55="","",IF('Prop JUOS'!I54="",0,'Prop JUOS'!I54))</f>
        <v/>
      </c>
      <c r="BC55" s="428" t="str">
        <f>IF($B55="","",IF('Prop JUOS'!J54="",0,'Prop JUOS'!J54))</f>
        <v/>
      </c>
      <c r="BD55" s="426" t="str">
        <f>IF($B55="","",IF('Prop JUOS'!K54="",0,'Prop JUOS'!K54))</f>
        <v/>
      </c>
      <c r="BE55" s="426" t="str">
        <f>IF($B55="","",IF('Prop JUOS'!L54="",0,'Prop JUOS'!L54))</f>
        <v/>
      </c>
      <c r="BF55" s="428" t="str">
        <f>IF($B55="","",IF('Prop JUOS'!M54="",0,'Prop JUOS'!M54))</f>
        <v/>
      </c>
      <c r="BG55" s="426" t="str">
        <f>IF($B55="","",IF('Prop JUOS'!N54="",0,'Prop JUOS'!N54))</f>
        <v/>
      </c>
      <c r="BH55" s="426" t="str">
        <f>IF($B55="","",IF('Prop JUOS'!O54="",0,'Prop JUOS'!O54))</f>
        <v/>
      </c>
      <c r="BI55" s="428" t="str">
        <f>IF($B55="","",IF('Prop JUOS'!P54="",0,'Prop JUOS'!P54))</f>
        <v/>
      </c>
      <c r="BJ55" s="607" t="str">
        <f>IF($B55="","",IF('Prop JUOS'!Q54="",0,'Prop JUOS'!Q54))</f>
        <v/>
      </c>
      <c r="BK55" s="429" t="str">
        <f>IF($B55="","",IF('Prop JUOS'!R54="",0,'Prop JUOS'!R54))</f>
        <v/>
      </c>
    </row>
    <row r="56" spans="2:63">
      <c r="B56" s="416" t="str">
        <f>IF('Prop DUOS'!B55="","",'Prop DUOS'!B55)</f>
        <v/>
      </c>
      <c r="C56" s="376" t="str">
        <f>IF(B56="","",INDEX('Side constraints'!$C$33:$C$92,MATCH('Prop DUOS'!B55,'Side constraints'!$D$33:$D$92,0),1))</f>
        <v/>
      </c>
      <c r="D56" s="425" t="str">
        <f t="shared" si="19"/>
        <v/>
      </c>
      <c r="E56" s="426" t="str">
        <f t="shared" si="20"/>
        <v/>
      </c>
      <c r="F56" s="426" t="str">
        <f t="shared" si="21"/>
        <v/>
      </c>
      <c r="G56" s="426" t="str">
        <f t="shared" si="22"/>
        <v/>
      </c>
      <c r="H56" s="426" t="str">
        <f t="shared" si="23"/>
        <v/>
      </c>
      <c r="I56" s="426" t="str">
        <f t="shared" si="24"/>
        <v/>
      </c>
      <c r="J56" s="428" t="str">
        <f t="shared" si="25"/>
        <v/>
      </c>
      <c r="K56" s="426" t="str">
        <f t="shared" si="26"/>
        <v/>
      </c>
      <c r="L56" s="426" t="str">
        <f t="shared" si="27"/>
        <v/>
      </c>
      <c r="M56" s="428" t="str">
        <f t="shared" si="13"/>
        <v/>
      </c>
      <c r="N56" s="426" t="str">
        <f t="shared" si="14"/>
        <v/>
      </c>
      <c r="O56" s="426" t="str">
        <f t="shared" si="15"/>
        <v/>
      </c>
      <c r="P56" s="428" t="str">
        <f t="shared" si="16"/>
        <v/>
      </c>
      <c r="Q56" s="607" t="str">
        <f t="shared" si="17"/>
        <v/>
      </c>
      <c r="R56" s="429" t="str">
        <f t="shared" si="18"/>
        <v/>
      </c>
      <c r="S56" s="425" t="str">
        <f>IF($B56="","",IF('Prop DUOS'!E55="",0,'Prop DUOS'!E55))</f>
        <v/>
      </c>
      <c r="T56" s="426" t="str">
        <f>IF($B56="","",IF('Prop DUOS'!F55="",0,'Prop DUOS'!F55))</f>
        <v/>
      </c>
      <c r="U56" s="426" t="str">
        <f>IF($B56="","",IF('Prop DUOS'!G55="",0,'Prop DUOS'!G55))</f>
        <v/>
      </c>
      <c r="V56" s="426" t="str">
        <f>IF($B56="","",IF('Prop DUOS'!H55="",0,'Prop DUOS'!H55))</f>
        <v/>
      </c>
      <c r="W56" s="426" t="str">
        <f>IF($B56="","",IF('Prop DUOS'!I55="",0,'Prop DUOS'!I55))</f>
        <v/>
      </c>
      <c r="X56" s="426" t="str">
        <f>IF($B56="","",IF('Prop DUOS'!J55="",0,'Prop DUOS'!J55))</f>
        <v/>
      </c>
      <c r="Y56" s="428" t="str">
        <f>IF($B56="","",IF('Prop DUOS'!K55="",0,'Prop DUOS'!K55))</f>
        <v/>
      </c>
      <c r="Z56" s="426" t="str">
        <f>IF($B56="","",IF('Prop DUOS'!L55="",0,'Prop DUOS'!L55))</f>
        <v/>
      </c>
      <c r="AA56" s="426" t="str">
        <f>IF($B56="","",IF('Prop DUOS'!M55="",0,'Prop DUOS'!M55))</f>
        <v/>
      </c>
      <c r="AB56" s="428" t="str">
        <f>IF($B56="","",IF('Prop DUOS'!N55="",0,'Prop DUOS'!N55))</f>
        <v/>
      </c>
      <c r="AC56" s="426" t="str">
        <f>IF($B56="","",IF('Prop DUOS'!O55="",0,'Prop DUOS'!O55))</f>
        <v/>
      </c>
      <c r="AD56" s="426" t="str">
        <f>IF($B56="","",IF('Prop DUOS'!P55="",0,'Prop DUOS'!P55))</f>
        <v/>
      </c>
      <c r="AE56" s="428" t="str">
        <f>IF($B56="","",IF('Prop DUOS'!Q55="",0,'Prop DUOS'!Q55))</f>
        <v/>
      </c>
      <c r="AF56" s="607" t="str">
        <f>IF($B56="","",IF('Prop DUOS'!R55="",0,'Prop DUOS'!R55))</f>
        <v/>
      </c>
      <c r="AG56" s="429" t="str">
        <f>IF($B56="","",IF('Prop DUOS'!S55="",0,'Prop DUOS'!S55))</f>
        <v/>
      </c>
      <c r="AH56" s="425" t="str">
        <f>IF($B56="","",IF('Prop TUOS'!D55="",0,'Prop TUOS'!D55))</f>
        <v/>
      </c>
      <c r="AI56" s="426" t="str">
        <f>IF($B56="","",IF('Prop TUOS'!E55="",0,'Prop TUOS'!E55))</f>
        <v/>
      </c>
      <c r="AJ56" s="426" t="str">
        <f>IF($B56="","",IF('Prop TUOS'!F55="",0,'Prop TUOS'!F55))</f>
        <v/>
      </c>
      <c r="AK56" s="426" t="str">
        <f>IF($B56="","",IF('Prop TUOS'!G55="",0,'Prop TUOS'!G55))</f>
        <v/>
      </c>
      <c r="AL56" s="426" t="str">
        <f>IF($B56="","",IF('Prop TUOS'!H55="",0,'Prop TUOS'!H55))</f>
        <v/>
      </c>
      <c r="AM56" s="426" t="str">
        <f>IF($B56="","",IF('Prop TUOS'!I55="",0,'Prop TUOS'!I55))</f>
        <v/>
      </c>
      <c r="AN56" s="428" t="str">
        <f>IF($B56="","",IF('Prop TUOS'!J55="",0,'Prop TUOS'!J55))</f>
        <v/>
      </c>
      <c r="AO56" s="426" t="str">
        <f>IF($B56="","",IF('Prop TUOS'!K55="",0,'Prop TUOS'!K55))</f>
        <v/>
      </c>
      <c r="AP56" s="426" t="str">
        <f>IF($B56="","",IF('Prop TUOS'!L55="",0,'Prop TUOS'!L55))</f>
        <v/>
      </c>
      <c r="AQ56" s="428" t="str">
        <f>IF($B56="","",IF('Prop TUOS'!M55="",0,'Prop TUOS'!M55))</f>
        <v/>
      </c>
      <c r="AR56" s="426" t="str">
        <f>IF($B56="","",IF('Prop TUOS'!N55="",0,'Prop TUOS'!N55))</f>
        <v/>
      </c>
      <c r="AS56" s="426" t="str">
        <f>IF($B56="","",IF('Prop TUOS'!O55="",0,'Prop TUOS'!O55))</f>
        <v/>
      </c>
      <c r="AT56" s="428" t="str">
        <f>IF($B56="","",IF('Prop TUOS'!P55="",0,'Prop TUOS'!P55))</f>
        <v/>
      </c>
      <c r="AU56" s="607" t="str">
        <f>IF($B56="","",IF('Prop TUOS'!Q55="",0,'Prop TUOS'!Q55))</f>
        <v/>
      </c>
      <c r="AV56" s="429" t="str">
        <f>IF($B56="","",IF('Prop TUOS'!R55="",0,'Prop TUOS'!R55))</f>
        <v/>
      </c>
      <c r="AW56" s="425" t="str">
        <f>IF($B56="","",IF('Prop JUOS'!D55="",0,'Prop JUOS'!D55))</f>
        <v/>
      </c>
      <c r="AX56" s="426" t="str">
        <f>IF($B56="","",IF('Prop JUOS'!E55="",0,'Prop JUOS'!E55))</f>
        <v/>
      </c>
      <c r="AY56" s="426" t="str">
        <f>IF($B56="","",IF('Prop JUOS'!F55="",0,'Prop JUOS'!F55))</f>
        <v/>
      </c>
      <c r="AZ56" s="426" t="str">
        <f>IF($B56="","",IF('Prop JUOS'!G55="",0,'Prop JUOS'!G55))</f>
        <v/>
      </c>
      <c r="BA56" s="426" t="str">
        <f>IF($B56="","",IF('Prop JUOS'!H55="",0,'Prop JUOS'!H55))</f>
        <v/>
      </c>
      <c r="BB56" s="426" t="str">
        <f>IF($B56="","",IF('Prop JUOS'!I55="",0,'Prop JUOS'!I55))</f>
        <v/>
      </c>
      <c r="BC56" s="428" t="str">
        <f>IF($B56="","",IF('Prop JUOS'!J55="",0,'Prop JUOS'!J55))</f>
        <v/>
      </c>
      <c r="BD56" s="426" t="str">
        <f>IF($B56="","",IF('Prop JUOS'!K55="",0,'Prop JUOS'!K55))</f>
        <v/>
      </c>
      <c r="BE56" s="426" t="str">
        <f>IF($B56="","",IF('Prop JUOS'!L55="",0,'Prop JUOS'!L55))</f>
        <v/>
      </c>
      <c r="BF56" s="428" t="str">
        <f>IF($B56="","",IF('Prop JUOS'!M55="",0,'Prop JUOS'!M55))</f>
        <v/>
      </c>
      <c r="BG56" s="426" t="str">
        <f>IF($B56="","",IF('Prop JUOS'!N55="",0,'Prop JUOS'!N55))</f>
        <v/>
      </c>
      <c r="BH56" s="426" t="str">
        <f>IF($B56="","",IF('Prop JUOS'!O55="",0,'Prop JUOS'!O55))</f>
        <v/>
      </c>
      <c r="BI56" s="428" t="str">
        <f>IF($B56="","",IF('Prop JUOS'!P55="",0,'Prop JUOS'!P55))</f>
        <v/>
      </c>
      <c r="BJ56" s="607" t="str">
        <f>IF($B56="","",IF('Prop JUOS'!Q55="",0,'Prop JUOS'!Q55))</f>
        <v/>
      </c>
      <c r="BK56" s="429" t="str">
        <f>IF($B56="","",IF('Prop JUOS'!R55="",0,'Prop JUOS'!R55))</f>
        <v/>
      </c>
    </row>
    <row r="57" spans="2:63">
      <c r="B57" s="416" t="str">
        <f>IF('Prop DUOS'!B56="","",'Prop DUOS'!B56)</f>
        <v/>
      </c>
      <c r="C57" s="376" t="str">
        <f>IF(B57="","",INDEX('Side constraints'!$C$33:$C$92,MATCH('Prop DUOS'!B56,'Side constraints'!$D$33:$D$92,0),1))</f>
        <v/>
      </c>
      <c r="D57" s="430" t="str">
        <f t="shared" si="19"/>
        <v/>
      </c>
      <c r="E57" s="428" t="str">
        <f t="shared" si="20"/>
        <v/>
      </c>
      <c r="F57" s="428" t="str">
        <f t="shared" si="21"/>
        <v/>
      </c>
      <c r="G57" s="428" t="str">
        <f t="shared" si="22"/>
        <v/>
      </c>
      <c r="H57" s="428" t="str">
        <f t="shared" si="23"/>
        <v/>
      </c>
      <c r="I57" s="428" t="str">
        <f t="shared" si="24"/>
        <v/>
      </c>
      <c r="J57" s="428" t="str">
        <f t="shared" si="25"/>
        <v/>
      </c>
      <c r="K57" s="428" t="str">
        <f t="shared" si="26"/>
        <v/>
      </c>
      <c r="L57" s="428" t="str">
        <f t="shared" si="27"/>
        <v/>
      </c>
      <c r="M57" s="428" t="str">
        <f t="shared" si="13"/>
        <v/>
      </c>
      <c r="N57" s="428" t="str">
        <f t="shared" si="14"/>
        <v/>
      </c>
      <c r="O57" s="428" t="str">
        <f t="shared" si="15"/>
        <v/>
      </c>
      <c r="P57" s="428" t="str">
        <f t="shared" si="16"/>
        <v/>
      </c>
      <c r="Q57" s="607" t="str">
        <f t="shared" si="17"/>
        <v/>
      </c>
      <c r="R57" s="429" t="str">
        <f t="shared" si="18"/>
        <v/>
      </c>
      <c r="S57" s="430" t="str">
        <f>IF($B57="","",IF('Prop DUOS'!E56="",0,'Prop DUOS'!E56))</f>
        <v/>
      </c>
      <c r="T57" s="428" t="str">
        <f>IF($B57="","",IF('Prop DUOS'!F56="",0,'Prop DUOS'!F56))</f>
        <v/>
      </c>
      <c r="U57" s="428" t="str">
        <f>IF($B57="","",IF('Prop DUOS'!G56="",0,'Prop DUOS'!G56))</f>
        <v/>
      </c>
      <c r="V57" s="428" t="str">
        <f>IF($B57="","",IF('Prop DUOS'!H56="",0,'Prop DUOS'!H56))</f>
        <v/>
      </c>
      <c r="W57" s="428" t="str">
        <f>IF($B57="","",IF('Prop DUOS'!I56="",0,'Prop DUOS'!I56))</f>
        <v/>
      </c>
      <c r="X57" s="428" t="str">
        <f>IF($B57="","",IF('Prop DUOS'!J56="",0,'Prop DUOS'!J56))</f>
        <v/>
      </c>
      <c r="Y57" s="428" t="str">
        <f>IF($B57="","",IF('Prop DUOS'!K56="",0,'Prop DUOS'!K56))</f>
        <v/>
      </c>
      <c r="Z57" s="428" t="str">
        <f>IF($B57="","",IF('Prop DUOS'!L56="",0,'Prop DUOS'!L56))</f>
        <v/>
      </c>
      <c r="AA57" s="428" t="str">
        <f>IF($B57="","",IF('Prop DUOS'!M56="",0,'Prop DUOS'!M56))</f>
        <v/>
      </c>
      <c r="AB57" s="428" t="str">
        <f>IF($B57="","",IF('Prop DUOS'!N56="",0,'Prop DUOS'!N56))</f>
        <v/>
      </c>
      <c r="AC57" s="428" t="str">
        <f>IF($B57="","",IF('Prop DUOS'!O56="",0,'Prop DUOS'!O56))</f>
        <v/>
      </c>
      <c r="AD57" s="428" t="str">
        <f>IF($B57="","",IF('Prop DUOS'!P56="",0,'Prop DUOS'!P56))</f>
        <v/>
      </c>
      <c r="AE57" s="428" t="str">
        <f>IF($B57="","",IF('Prop DUOS'!Q56="",0,'Prop DUOS'!Q56))</f>
        <v/>
      </c>
      <c r="AF57" s="607" t="str">
        <f>IF($B57="","",IF('Prop DUOS'!R56="",0,'Prop DUOS'!R56))</f>
        <v/>
      </c>
      <c r="AG57" s="429" t="str">
        <f>IF($B57="","",IF('Prop DUOS'!S56="",0,'Prop DUOS'!S56))</f>
        <v/>
      </c>
      <c r="AH57" s="430" t="str">
        <f>IF($B57="","",IF('Prop TUOS'!D56="",0,'Prop TUOS'!D56))</f>
        <v/>
      </c>
      <c r="AI57" s="428" t="str">
        <f>IF($B57="","",IF('Prop TUOS'!E56="",0,'Prop TUOS'!E56))</f>
        <v/>
      </c>
      <c r="AJ57" s="428" t="str">
        <f>IF($B57="","",IF('Prop TUOS'!F56="",0,'Prop TUOS'!F56))</f>
        <v/>
      </c>
      <c r="AK57" s="428" t="str">
        <f>IF($B57="","",IF('Prop TUOS'!G56="",0,'Prop TUOS'!G56))</f>
        <v/>
      </c>
      <c r="AL57" s="428" t="str">
        <f>IF($B57="","",IF('Prop TUOS'!H56="",0,'Prop TUOS'!H56))</f>
        <v/>
      </c>
      <c r="AM57" s="428" t="str">
        <f>IF($B57="","",IF('Prop TUOS'!I56="",0,'Prop TUOS'!I56))</f>
        <v/>
      </c>
      <c r="AN57" s="428" t="str">
        <f>IF($B57="","",IF('Prop TUOS'!J56="",0,'Prop TUOS'!J56))</f>
        <v/>
      </c>
      <c r="AO57" s="428" t="str">
        <f>IF($B57="","",IF('Prop TUOS'!K56="",0,'Prop TUOS'!K56))</f>
        <v/>
      </c>
      <c r="AP57" s="428" t="str">
        <f>IF($B57="","",IF('Prop TUOS'!L56="",0,'Prop TUOS'!L56))</f>
        <v/>
      </c>
      <c r="AQ57" s="428" t="str">
        <f>IF($B57="","",IF('Prop TUOS'!M56="",0,'Prop TUOS'!M56))</f>
        <v/>
      </c>
      <c r="AR57" s="428" t="str">
        <f>IF($B57="","",IF('Prop TUOS'!N56="",0,'Prop TUOS'!N56))</f>
        <v/>
      </c>
      <c r="AS57" s="428" t="str">
        <f>IF($B57="","",IF('Prop TUOS'!O56="",0,'Prop TUOS'!O56))</f>
        <v/>
      </c>
      <c r="AT57" s="428" t="str">
        <f>IF($B57="","",IF('Prop TUOS'!P56="",0,'Prop TUOS'!P56))</f>
        <v/>
      </c>
      <c r="AU57" s="607" t="str">
        <f>IF($B57="","",IF('Prop TUOS'!Q56="",0,'Prop TUOS'!Q56))</f>
        <v/>
      </c>
      <c r="AV57" s="429" t="str">
        <f>IF($B57="","",IF('Prop TUOS'!R56="",0,'Prop TUOS'!R56))</f>
        <v/>
      </c>
      <c r="AW57" s="430" t="str">
        <f>IF($B57="","",IF('Prop JUOS'!D56="",0,'Prop JUOS'!D56))</f>
        <v/>
      </c>
      <c r="AX57" s="428" t="str">
        <f>IF($B57="","",IF('Prop JUOS'!E56="",0,'Prop JUOS'!E56))</f>
        <v/>
      </c>
      <c r="AY57" s="428" t="str">
        <f>IF($B57="","",IF('Prop JUOS'!F56="",0,'Prop JUOS'!F56))</f>
        <v/>
      </c>
      <c r="AZ57" s="428" t="str">
        <f>IF($B57="","",IF('Prop JUOS'!G56="",0,'Prop JUOS'!G56))</f>
        <v/>
      </c>
      <c r="BA57" s="428" t="str">
        <f>IF($B57="","",IF('Prop JUOS'!H56="",0,'Prop JUOS'!H56))</f>
        <v/>
      </c>
      <c r="BB57" s="428" t="str">
        <f>IF($B57="","",IF('Prop JUOS'!I56="",0,'Prop JUOS'!I56))</f>
        <v/>
      </c>
      <c r="BC57" s="428" t="str">
        <f>IF($B57="","",IF('Prop JUOS'!J56="",0,'Prop JUOS'!J56))</f>
        <v/>
      </c>
      <c r="BD57" s="428" t="str">
        <f>IF($B57="","",IF('Prop JUOS'!K56="",0,'Prop JUOS'!K56))</f>
        <v/>
      </c>
      <c r="BE57" s="428" t="str">
        <f>IF($B57="","",IF('Prop JUOS'!L56="",0,'Prop JUOS'!L56))</f>
        <v/>
      </c>
      <c r="BF57" s="428" t="str">
        <f>IF($B57="","",IF('Prop JUOS'!M56="",0,'Prop JUOS'!M56))</f>
        <v/>
      </c>
      <c r="BG57" s="428" t="str">
        <f>IF($B57="","",IF('Prop JUOS'!N56="",0,'Prop JUOS'!N56))</f>
        <v/>
      </c>
      <c r="BH57" s="428" t="str">
        <f>IF($B57="","",IF('Prop JUOS'!O56="",0,'Prop JUOS'!O56))</f>
        <v/>
      </c>
      <c r="BI57" s="428" t="str">
        <f>IF($B57="","",IF('Prop JUOS'!P56="",0,'Prop JUOS'!P56))</f>
        <v/>
      </c>
      <c r="BJ57" s="607" t="str">
        <f>IF($B57="","",IF('Prop JUOS'!Q56="",0,'Prop JUOS'!Q56))</f>
        <v/>
      </c>
      <c r="BK57" s="429" t="str">
        <f>IF($B57="","",IF('Prop JUOS'!R56="",0,'Prop JUOS'!R56))</f>
        <v/>
      </c>
    </row>
    <row r="58" spans="2:63">
      <c r="B58" s="416" t="str">
        <f>IF('Prop DUOS'!B57="","",'Prop DUOS'!B57)</f>
        <v/>
      </c>
      <c r="C58" s="376" t="str">
        <f>IF(B58="","",INDEX('Side constraints'!$C$33:$C$92,MATCH('Prop DUOS'!B57,'Side constraints'!$D$33:$D$92,0),1))</f>
        <v/>
      </c>
      <c r="D58" s="430" t="str">
        <f t="shared" si="19"/>
        <v/>
      </c>
      <c r="E58" s="428" t="str">
        <f t="shared" si="20"/>
        <v/>
      </c>
      <c r="F58" s="428" t="str">
        <f t="shared" si="21"/>
        <v/>
      </c>
      <c r="G58" s="428" t="str">
        <f t="shared" si="22"/>
        <v/>
      </c>
      <c r="H58" s="428" t="str">
        <f t="shared" si="23"/>
        <v/>
      </c>
      <c r="I58" s="428" t="str">
        <f t="shared" si="24"/>
        <v/>
      </c>
      <c r="J58" s="428" t="str">
        <f t="shared" si="25"/>
        <v/>
      </c>
      <c r="K58" s="428" t="str">
        <f t="shared" si="26"/>
        <v/>
      </c>
      <c r="L58" s="428" t="str">
        <f t="shared" si="27"/>
        <v/>
      </c>
      <c r="M58" s="428" t="str">
        <f t="shared" si="13"/>
        <v/>
      </c>
      <c r="N58" s="428" t="str">
        <f t="shared" si="14"/>
        <v/>
      </c>
      <c r="O58" s="428" t="str">
        <f t="shared" si="15"/>
        <v/>
      </c>
      <c r="P58" s="428" t="str">
        <f t="shared" si="16"/>
        <v/>
      </c>
      <c r="Q58" s="607" t="str">
        <f t="shared" si="17"/>
        <v/>
      </c>
      <c r="R58" s="429" t="str">
        <f t="shared" si="18"/>
        <v/>
      </c>
      <c r="S58" s="430" t="str">
        <f>IF($B58="","",IF('Prop DUOS'!E57="",0,'Prop DUOS'!E57))</f>
        <v/>
      </c>
      <c r="T58" s="428" t="str">
        <f>IF($B58="","",IF('Prop DUOS'!F57="",0,'Prop DUOS'!F57))</f>
        <v/>
      </c>
      <c r="U58" s="428" t="str">
        <f>IF($B58="","",IF('Prop DUOS'!G57="",0,'Prop DUOS'!G57))</f>
        <v/>
      </c>
      <c r="V58" s="428" t="str">
        <f>IF($B58="","",IF('Prop DUOS'!H57="",0,'Prop DUOS'!H57))</f>
        <v/>
      </c>
      <c r="W58" s="428" t="str">
        <f>IF($B58="","",IF('Prop DUOS'!I57="",0,'Prop DUOS'!I57))</f>
        <v/>
      </c>
      <c r="X58" s="428" t="str">
        <f>IF($B58="","",IF('Prop DUOS'!J57="",0,'Prop DUOS'!J57))</f>
        <v/>
      </c>
      <c r="Y58" s="428" t="str">
        <f>IF($B58="","",IF('Prop DUOS'!K57="",0,'Prop DUOS'!K57))</f>
        <v/>
      </c>
      <c r="Z58" s="428" t="str">
        <f>IF($B58="","",IF('Prop DUOS'!L57="",0,'Prop DUOS'!L57))</f>
        <v/>
      </c>
      <c r="AA58" s="428" t="str">
        <f>IF($B58="","",IF('Prop DUOS'!M57="",0,'Prop DUOS'!M57))</f>
        <v/>
      </c>
      <c r="AB58" s="428" t="str">
        <f>IF($B58="","",IF('Prop DUOS'!N57="",0,'Prop DUOS'!N57))</f>
        <v/>
      </c>
      <c r="AC58" s="428" t="str">
        <f>IF($B58="","",IF('Prop DUOS'!O57="",0,'Prop DUOS'!O57))</f>
        <v/>
      </c>
      <c r="AD58" s="428" t="str">
        <f>IF($B58="","",IF('Prop DUOS'!P57="",0,'Prop DUOS'!P57))</f>
        <v/>
      </c>
      <c r="AE58" s="428" t="str">
        <f>IF($B58="","",IF('Prop DUOS'!Q57="",0,'Prop DUOS'!Q57))</f>
        <v/>
      </c>
      <c r="AF58" s="607" t="str">
        <f>IF($B58="","",IF('Prop DUOS'!R57="",0,'Prop DUOS'!R57))</f>
        <v/>
      </c>
      <c r="AG58" s="429" t="str">
        <f>IF($B58="","",IF('Prop DUOS'!S57="",0,'Prop DUOS'!S57))</f>
        <v/>
      </c>
      <c r="AH58" s="430" t="str">
        <f>IF($B58="","",IF('Prop TUOS'!D57="",0,'Prop TUOS'!D57))</f>
        <v/>
      </c>
      <c r="AI58" s="428" t="str">
        <f>IF($B58="","",IF('Prop TUOS'!E57="",0,'Prop TUOS'!E57))</f>
        <v/>
      </c>
      <c r="AJ58" s="428" t="str">
        <f>IF($B58="","",IF('Prop TUOS'!F57="",0,'Prop TUOS'!F57))</f>
        <v/>
      </c>
      <c r="AK58" s="428" t="str">
        <f>IF($B58="","",IF('Prop TUOS'!G57="",0,'Prop TUOS'!G57))</f>
        <v/>
      </c>
      <c r="AL58" s="428" t="str">
        <f>IF($B58="","",IF('Prop TUOS'!H57="",0,'Prop TUOS'!H57))</f>
        <v/>
      </c>
      <c r="AM58" s="428" t="str">
        <f>IF($B58="","",IF('Prop TUOS'!I57="",0,'Prop TUOS'!I57))</f>
        <v/>
      </c>
      <c r="AN58" s="428" t="str">
        <f>IF($B58="","",IF('Prop TUOS'!J57="",0,'Prop TUOS'!J57))</f>
        <v/>
      </c>
      <c r="AO58" s="428" t="str">
        <f>IF($B58="","",IF('Prop TUOS'!K57="",0,'Prop TUOS'!K57))</f>
        <v/>
      </c>
      <c r="AP58" s="428" t="str">
        <f>IF($B58="","",IF('Prop TUOS'!L57="",0,'Prop TUOS'!L57))</f>
        <v/>
      </c>
      <c r="AQ58" s="428" t="str">
        <f>IF($B58="","",IF('Prop TUOS'!M57="",0,'Prop TUOS'!M57))</f>
        <v/>
      </c>
      <c r="AR58" s="428" t="str">
        <f>IF($B58="","",IF('Prop TUOS'!N57="",0,'Prop TUOS'!N57))</f>
        <v/>
      </c>
      <c r="AS58" s="428" t="str">
        <f>IF($B58="","",IF('Prop TUOS'!O57="",0,'Prop TUOS'!O57))</f>
        <v/>
      </c>
      <c r="AT58" s="428" t="str">
        <f>IF($B58="","",IF('Prop TUOS'!P57="",0,'Prop TUOS'!P57))</f>
        <v/>
      </c>
      <c r="AU58" s="607" t="str">
        <f>IF($B58="","",IF('Prop TUOS'!Q57="",0,'Prop TUOS'!Q57))</f>
        <v/>
      </c>
      <c r="AV58" s="429" t="str">
        <f>IF($B58="","",IF('Prop TUOS'!R57="",0,'Prop TUOS'!R57))</f>
        <v/>
      </c>
      <c r="AW58" s="430" t="str">
        <f>IF($B58="","",IF('Prop JUOS'!D57="",0,'Prop JUOS'!D57))</f>
        <v/>
      </c>
      <c r="AX58" s="428" t="str">
        <f>IF($B58="","",IF('Prop JUOS'!E57="",0,'Prop JUOS'!E57))</f>
        <v/>
      </c>
      <c r="AY58" s="428" t="str">
        <f>IF($B58="","",IF('Prop JUOS'!F57="",0,'Prop JUOS'!F57))</f>
        <v/>
      </c>
      <c r="AZ58" s="428" t="str">
        <f>IF($B58="","",IF('Prop JUOS'!G57="",0,'Prop JUOS'!G57))</f>
        <v/>
      </c>
      <c r="BA58" s="428" t="str">
        <f>IF($B58="","",IF('Prop JUOS'!H57="",0,'Prop JUOS'!H57))</f>
        <v/>
      </c>
      <c r="BB58" s="428" t="str">
        <f>IF($B58="","",IF('Prop JUOS'!I57="",0,'Prop JUOS'!I57))</f>
        <v/>
      </c>
      <c r="BC58" s="428" t="str">
        <f>IF($B58="","",IF('Prop JUOS'!J57="",0,'Prop JUOS'!J57))</f>
        <v/>
      </c>
      <c r="BD58" s="428" t="str">
        <f>IF($B58="","",IF('Prop JUOS'!K57="",0,'Prop JUOS'!K57))</f>
        <v/>
      </c>
      <c r="BE58" s="428" t="str">
        <f>IF($B58="","",IF('Prop JUOS'!L57="",0,'Prop JUOS'!L57))</f>
        <v/>
      </c>
      <c r="BF58" s="428" t="str">
        <f>IF($B58="","",IF('Prop JUOS'!M57="",0,'Prop JUOS'!M57))</f>
        <v/>
      </c>
      <c r="BG58" s="428" t="str">
        <f>IF($B58="","",IF('Prop JUOS'!N57="",0,'Prop JUOS'!N57))</f>
        <v/>
      </c>
      <c r="BH58" s="428" t="str">
        <f>IF($B58="","",IF('Prop JUOS'!O57="",0,'Prop JUOS'!O57))</f>
        <v/>
      </c>
      <c r="BI58" s="428" t="str">
        <f>IF($B58="","",IF('Prop JUOS'!P57="",0,'Prop JUOS'!P57))</f>
        <v/>
      </c>
      <c r="BJ58" s="607" t="str">
        <f>IF($B58="","",IF('Prop JUOS'!Q57="",0,'Prop JUOS'!Q57))</f>
        <v/>
      </c>
      <c r="BK58" s="429" t="str">
        <f>IF($B58="","",IF('Prop JUOS'!R57="",0,'Prop JUOS'!R57))</f>
        <v/>
      </c>
    </row>
    <row r="59" spans="2:63">
      <c r="B59" s="416" t="str">
        <f>IF('Prop DUOS'!B58="","",'Prop DUOS'!B58)</f>
        <v/>
      </c>
      <c r="C59" s="376" t="str">
        <f>IF(B59="","",INDEX('Side constraints'!$C$33:$C$92,MATCH('Prop DUOS'!B58,'Side constraints'!$D$33:$D$92,0),1))</f>
        <v/>
      </c>
      <c r="D59" s="430" t="str">
        <f t="shared" si="19"/>
        <v/>
      </c>
      <c r="E59" s="428" t="str">
        <f t="shared" si="20"/>
        <v/>
      </c>
      <c r="F59" s="428" t="str">
        <f t="shared" si="21"/>
        <v/>
      </c>
      <c r="G59" s="428" t="str">
        <f t="shared" si="22"/>
        <v/>
      </c>
      <c r="H59" s="428" t="str">
        <f t="shared" si="23"/>
        <v/>
      </c>
      <c r="I59" s="428" t="str">
        <f t="shared" si="24"/>
        <v/>
      </c>
      <c r="J59" s="428" t="str">
        <f t="shared" si="25"/>
        <v/>
      </c>
      <c r="K59" s="428" t="str">
        <f t="shared" si="26"/>
        <v/>
      </c>
      <c r="L59" s="428" t="str">
        <f t="shared" si="27"/>
        <v/>
      </c>
      <c r="M59" s="428" t="str">
        <f t="shared" si="13"/>
        <v/>
      </c>
      <c r="N59" s="428" t="str">
        <f t="shared" si="14"/>
        <v/>
      </c>
      <c r="O59" s="428" t="str">
        <f t="shared" si="15"/>
        <v/>
      </c>
      <c r="P59" s="428" t="str">
        <f t="shared" si="16"/>
        <v/>
      </c>
      <c r="Q59" s="607" t="str">
        <f t="shared" si="17"/>
        <v/>
      </c>
      <c r="R59" s="429" t="str">
        <f t="shared" si="18"/>
        <v/>
      </c>
      <c r="S59" s="430" t="str">
        <f>IF($B59="","",IF('Prop DUOS'!E58="",0,'Prop DUOS'!E58))</f>
        <v/>
      </c>
      <c r="T59" s="428" t="str">
        <f>IF($B59="","",IF('Prop DUOS'!F58="",0,'Prop DUOS'!F58))</f>
        <v/>
      </c>
      <c r="U59" s="428" t="str">
        <f>IF($B59="","",IF('Prop DUOS'!G58="",0,'Prop DUOS'!G58))</f>
        <v/>
      </c>
      <c r="V59" s="428" t="str">
        <f>IF($B59="","",IF('Prop DUOS'!H58="",0,'Prop DUOS'!H58))</f>
        <v/>
      </c>
      <c r="W59" s="428" t="str">
        <f>IF($B59="","",IF('Prop DUOS'!I58="",0,'Prop DUOS'!I58))</f>
        <v/>
      </c>
      <c r="X59" s="428" t="str">
        <f>IF($B59="","",IF('Prop DUOS'!J58="",0,'Prop DUOS'!J58))</f>
        <v/>
      </c>
      <c r="Y59" s="428" t="str">
        <f>IF($B59="","",IF('Prop DUOS'!K58="",0,'Prop DUOS'!K58))</f>
        <v/>
      </c>
      <c r="Z59" s="428" t="str">
        <f>IF($B59="","",IF('Prop DUOS'!L58="",0,'Prop DUOS'!L58))</f>
        <v/>
      </c>
      <c r="AA59" s="428" t="str">
        <f>IF($B59="","",IF('Prop DUOS'!M58="",0,'Prop DUOS'!M58))</f>
        <v/>
      </c>
      <c r="AB59" s="428" t="str">
        <f>IF($B59="","",IF('Prop DUOS'!N58="",0,'Prop DUOS'!N58))</f>
        <v/>
      </c>
      <c r="AC59" s="428" t="str">
        <f>IF($B59="","",IF('Prop DUOS'!O58="",0,'Prop DUOS'!O58))</f>
        <v/>
      </c>
      <c r="AD59" s="428" t="str">
        <f>IF($B59="","",IF('Prop DUOS'!P58="",0,'Prop DUOS'!P58))</f>
        <v/>
      </c>
      <c r="AE59" s="428" t="str">
        <f>IF($B59="","",IF('Prop DUOS'!Q58="",0,'Prop DUOS'!Q58))</f>
        <v/>
      </c>
      <c r="AF59" s="607" t="str">
        <f>IF($B59="","",IF('Prop DUOS'!R58="",0,'Prop DUOS'!R58))</f>
        <v/>
      </c>
      <c r="AG59" s="429" t="str">
        <f>IF($B59="","",IF('Prop DUOS'!S58="",0,'Prop DUOS'!S58))</f>
        <v/>
      </c>
      <c r="AH59" s="430" t="str">
        <f>IF($B59="","",IF('Prop TUOS'!D58="",0,'Prop TUOS'!D58))</f>
        <v/>
      </c>
      <c r="AI59" s="428" t="str">
        <f>IF($B59="","",IF('Prop TUOS'!E58="",0,'Prop TUOS'!E58))</f>
        <v/>
      </c>
      <c r="AJ59" s="428" t="str">
        <f>IF($B59="","",IF('Prop TUOS'!F58="",0,'Prop TUOS'!F58))</f>
        <v/>
      </c>
      <c r="AK59" s="428" t="str">
        <f>IF($B59="","",IF('Prop TUOS'!G58="",0,'Prop TUOS'!G58))</f>
        <v/>
      </c>
      <c r="AL59" s="428" t="str">
        <f>IF($B59="","",IF('Prop TUOS'!H58="",0,'Prop TUOS'!H58))</f>
        <v/>
      </c>
      <c r="AM59" s="428" t="str">
        <f>IF($B59="","",IF('Prop TUOS'!I58="",0,'Prop TUOS'!I58))</f>
        <v/>
      </c>
      <c r="AN59" s="428" t="str">
        <f>IF($B59="","",IF('Prop TUOS'!J58="",0,'Prop TUOS'!J58))</f>
        <v/>
      </c>
      <c r="AO59" s="428" t="str">
        <f>IF($B59="","",IF('Prop TUOS'!K58="",0,'Prop TUOS'!K58))</f>
        <v/>
      </c>
      <c r="AP59" s="428" t="str">
        <f>IF($B59="","",IF('Prop TUOS'!L58="",0,'Prop TUOS'!L58))</f>
        <v/>
      </c>
      <c r="AQ59" s="428" t="str">
        <f>IF($B59="","",IF('Prop TUOS'!M58="",0,'Prop TUOS'!M58))</f>
        <v/>
      </c>
      <c r="AR59" s="428" t="str">
        <f>IF($B59="","",IF('Prop TUOS'!N58="",0,'Prop TUOS'!N58))</f>
        <v/>
      </c>
      <c r="AS59" s="428" t="str">
        <f>IF($B59="","",IF('Prop TUOS'!O58="",0,'Prop TUOS'!O58))</f>
        <v/>
      </c>
      <c r="AT59" s="428" t="str">
        <f>IF($B59="","",IF('Prop TUOS'!P58="",0,'Prop TUOS'!P58))</f>
        <v/>
      </c>
      <c r="AU59" s="607" t="str">
        <f>IF($B59="","",IF('Prop TUOS'!Q58="",0,'Prop TUOS'!Q58))</f>
        <v/>
      </c>
      <c r="AV59" s="429" t="str">
        <f>IF($B59="","",IF('Prop TUOS'!R58="",0,'Prop TUOS'!R58))</f>
        <v/>
      </c>
      <c r="AW59" s="430" t="str">
        <f>IF($B59="","",IF('Prop JUOS'!D58="",0,'Prop JUOS'!D58))</f>
        <v/>
      </c>
      <c r="AX59" s="428" t="str">
        <f>IF($B59="","",IF('Prop JUOS'!E58="",0,'Prop JUOS'!E58))</f>
        <v/>
      </c>
      <c r="AY59" s="428" t="str">
        <f>IF($B59="","",IF('Prop JUOS'!F58="",0,'Prop JUOS'!F58))</f>
        <v/>
      </c>
      <c r="AZ59" s="428" t="str">
        <f>IF($B59="","",IF('Prop JUOS'!G58="",0,'Prop JUOS'!G58))</f>
        <v/>
      </c>
      <c r="BA59" s="428" t="str">
        <f>IF($B59="","",IF('Prop JUOS'!H58="",0,'Prop JUOS'!H58))</f>
        <v/>
      </c>
      <c r="BB59" s="428" t="str">
        <f>IF($B59="","",IF('Prop JUOS'!I58="",0,'Prop JUOS'!I58))</f>
        <v/>
      </c>
      <c r="BC59" s="428" t="str">
        <f>IF($B59="","",IF('Prop JUOS'!J58="",0,'Prop JUOS'!J58))</f>
        <v/>
      </c>
      <c r="BD59" s="428" t="str">
        <f>IF($B59="","",IF('Prop JUOS'!K58="",0,'Prop JUOS'!K58))</f>
        <v/>
      </c>
      <c r="BE59" s="428" t="str">
        <f>IF($B59="","",IF('Prop JUOS'!L58="",0,'Prop JUOS'!L58))</f>
        <v/>
      </c>
      <c r="BF59" s="428" t="str">
        <f>IF($B59="","",IF('Prop JUOS'!M58="",0,'Prop JUOS'!M58))</f>
        <v/>
      </c>
      <c r="BG59" s="428" t="str">
        <f>IF($B59="","",IF('Prop JUOS'!N58="",0,'Prop JUOS'!N58))</f>
        <v/>
      </c>
      <c r="BH59" s="428" t="str">
        <f>IF($B59="","",IF('Prop JUOS'!O58="",0,'Prop JUOS'!O58))</f>
        <v/>
      </c>
      <c r="BI59" s="428" t="str">
        <f>IF($B59="","",IF('Prop JUOS'!P58="",0,'Prop JUOS'!P58))</f>
        <v/>
      </c>
      <c r="BJ59" s="607" t="str">
        <f>IF($B59="","",IF('Prop JUOS'!Q58="",0,'Prop JUOS'!Q58))</f>
        <v/>
      </c>
      <c r="BK59" s="429" t="str">
        <f>IF($B59="","",IF('Prop JUOS'!R58="",0,'Prop JUOS'!R58))</f>
        <v/>
      </c>
    </row>
    <row r="60" spans="2:63">
      <c r="B60" s="416" t="str">
        <f>IF('Prop DUOS'!B59="","",'Prop DUOS'!B59)</f>
        <v/>
      </c>
      <c r="C60" s="376" t="str">
        <f>IF(B60="","",INDEX('Side constraints'!$C$33:$C$92,MATCH('Prop DUOS'!B59,'Side constraints'!$D$33:$D$92,0),1))</f>
        <v/>
      </c>
      <c r="D60" s="430" t="str">
        <f t="shared" si="19"/>
        <v/>
      </c>
      <c r="E60" s="428" t="str">
        <f t="shared" si="20"/>
        <v/>
      </c>
      <c r="F60" s="428" t="str">
        <f t="shared" si="21"/>
        <v/>
      </c>
      <c r="G60" s="428" t="str">
        <f t="shared" si="22"/>
        <v/>
      </c>
      <c r="H60" s="428" t="str">
        <f t="shared" si="23"/>
        <v/>
      </c>
      <c r="I60" s="428" t="str">
        <f t="shared" si="24"/>
        <v/>
      </c>
      <c r="J60" s="428" t="str">
        <f t="shared" si="25"/>
        <v/>
      </c>
      <c r="K60" s="428" t="str">
        <f t="shared" si="26"/>
        <v/>
      </c>
      <c r="L60" s="428" t="str">
        <f t="shared" si="27"/>
        <v/>
      </c>
      <c r="M60" s="428" t="str">
        <f t="shared" si="13"/>
        <v/>
      </c>
      <c r="N60" s="428" t="str">
        <f t="shared" si="14"/>
        <v/>
      </c>
      <c r="O60" s="428" t="str">
        <f t="shared" si="15"/>
        <v/>
      </c>
      <c r="P60" s="428" t="str">
        <f t="shared" si="16"/>
        <v/>
      </c>
      <c r="Q60" s="607" t="str">
        <f t="shared" si="17"/>
        <v/>
      </c>
      <c r="R60" s="429" t="str">
        <f t="shared" si="18"/>
        <v/>
      </c>
      <c r="S60" s="430" t="str">
        <f>IF($B60="","",IF('Prop DUOS'!E59="",0,'Prop DUOS'!E59))</f>
        <v/>
      </c>
      <c r="T60" s="428" t="str">
        <f>IF($B60="","",IF('Prop DUOS'!F59="",0,'Prop DUOS'!F59))</f>
        <v/>
      </c>
      <c r="U60" s="428" t="str">
        <f>IF($B60="","",IF('Prop DUOS'!G59="",0,'Prop DUOS'!G59))</f>
        <v/>
      </c>
      <c r="V60" s="428" t="str">
        <f>IF($B60="","",IF('Prop DUOS'!H59="",0,'Prop DUOS'!H59))</f>
        <v/>
      </c>
      <c r="W60" s="428" t="str">
        <f>IF($B60="","",IF('Prop DUOS'!I59="",0,'Prop DUOS'!I59))</f>
        <v/>
      </c>
      <c r="X60" s="428" t="str">
        <f>IF($B60="","",IF('Prop DUOS'!J59="",0,'Prop DUOS'!J59))</f>
        <v/>
      </c>
      <c r="Y60" s="428" t="str">
        <f>IF($B60="","",IF('Prop DUOS'!K59="",0,'Prop DUOS'!K59))</f>
        <v/>
      </c>
      <c r="Z60" s="428" t="str">
        <f>IF($B60="","",IF('Prop DUOS'!L59="",0,'Prop DUOS'!L59))</f>
        <v/>
      </c>
      <c r="AA60" s="428" t="str">
        <f>IF($B60="","",IF('Prop DUOS'!M59="",0,'Prop DUOS'!M59))</f>
        <v/>
      </c>
      <c r="AB60" s="428" t="str">
        <f>IF($B60="","",IF('Prop DUOS'!N59="",0,'Prop DUOS'!N59))</f>
        <v/>
      </c>
      <c r="AC60" s="428" t="str">
        <f>IF($B60="","",IF('Prop DUOS'!O59="",0,'Prop DUOS'!O59))</f>
        <v/>
      </c>
      <c r="AD60" s="428" t="str">
        <f>IF($B60="","",IF('Prop DUOS'!P59="",0,'Prop DUOS'!P59))</f>
        <v/>
      </c>
      <c r="AE60" s="428" t="str">
        <f>IF($B60="","",IF('Prop DUOS'!Q59="",0,'Prop DUOS'!Q59))</f>
        <v/>
      </c>
      <c r="AF60" s="607" t="str">
        <f>IF($B60="","",IF('Prop DUOS'!R59="",0,'Prop DUOS'!R59))</f>
        <v/>
      </c>
      <c r="AG60" s="429" t="str">
        <f>IF($B60="","",IF('Prop DUOS'!S59="",0,'Prop DUOS'!S59))</f>
        <v/>
      </c>
      <c r="AH60" s="430" t="str">
        <f>IF($B60="","",IF('Prop TUOS'!D59="",0,'Prop TUOS'!D59))</f>
        <v/>
      </c>
      <c r="AI60" s="428" t="str">
        <f>IF($B60="","",IF('Prop TUOS'!E59="",0,'Prop TUOS'!E59))</f>
        <v/>
      </c>
      <c r="AJ60" s="428" t="str">
        <f>IF($B60="","",IF('Prop TUOS'!F59="",0,'Prop TUOS'!F59))</f>
        <v/>
      </c>
      <c r="AK60" s="428" t="str">
        <f>IF($B60="","",IF('Prop TUOS'!G59="",0,'Prop TUOS'!G59))</f>
        <v/>
      </c>
      <c r="AL60" s="428" t="str">
        <f>IF($B60="","",IF('Prop TUOS'!H59="",0,'Prop TUOS'!H59))</f>
        <v/>
      </c>
      <c r="AM60" s="428" t="str">
        <f>IF($B60="","",IF('Prop TUOS'!I59="",0,'Prop TUOS'!I59))</f>
        <v/>
      </c>
      <c r="AN60" s="428" t="str">
        <f>IF($B60="","",IF('Prop TUOS'!J59="",0,'Prop TUOS'!J59))</f>
        <v/>
      </c>
      <c r="AO60" s="428" t="str">
        <f>IF($B60="","",IF('Prop TUOS'!K59="",0,'Prop TUOS'!K59))</f>
        <v/>
      </c>
      <c r="AP60" s="428" t="str">
        <f>IF($B60="","",IF('Prop TUOS'!L59="",0,'Prop TUOS'!L59))</f>
        <v/>
      </c>
      <c r="AQ60" s="428" t="str">
        <f>IF($B60="","",IF('Prop TUOS'!M59="",0,'Prop TUOS'!M59))</f>
        <v/>
      </c>
      <c r="AR60" s="428" t="str">
        <f>IF($B60="","",IF('Prop TUOS'!N59="",0,'Prop TUOS'!N59))</f>
        <v/>
      </c>
      <c r="AS60" s="428" t="str">
        <f>IF($B60="","",IF('Prop TUOS'!O59="",0,'Prop TUOS'!O59))</f>
        <v/>
      </c>
      <c r="AT60" s="428" t="str">
        <f>IF($B60="","",IF('Prop TUOS'!P59="",0,'Prop TUOS'!P59))</f>
        <v/>
      </c>
      <c r="AU60" s="607" t="str">
        <f>IF($B60="","",IF('Prop TUOS'!Q59="",0,'Prop TUOS'!Q59))</f>
        <v/>
      </c>
      <c r="AV60" s="429" t="str">
        <f>IF($B60="","",IF('Prop TUOS'!R59="",0,'Prop TUOS'!R59))</f>
        <v/>
      </c>
      <c r="AW60" s="430" t="str">
        <f>IF($B60="","",IF('Prop JUOS'!D59="",0,'Prop JUOS'!D59))</f>
        <v/>
      </c>
      <c r="AX60" s="428" t="str">
        <f>IF($B60="","",IF('Prop JUOS'!E59="",0,'Prop JUOS'!E59))</f>
        <v/>
      </c>
      <c r="AY60" s="428" t="str">
        <f>IF($B60="","",IF('Prop JUOS'!F59="",0,'Prop JUOS'!F59))</f>
        <v/>
      </c>
      <c r="AZ60" s="428" t="str">
        <f>IF($B60="","",IF('Prop JUOS'!G59="",0,'Prop JUOS'!G59))</f>
        <v/>
      </c>
      <c r="BA60" s="428" t="str">
        <f>IF($B60="","",IF('Prop JUOS'!H59="",0,'Prop JUOS'!H59))</f>
        <v/>
      </c>
      <c r="BB60" s="428" t="str">
        <f>IF($B60="","",IF('Prop JUOS'!I59="",0,'Prop JUOS'!I59))</f>
        <v/>
      </c>
      <c r="BC60" s="428" t="str">
        <f>IF($B60="","",IF('Prop JUOS'!J59="",0,'Prop JUOS'!J59))</f>
        <v/>
      </c>
      <c r="BD60" s="428" t="str">
        <f>IF($B60="","",IF('Prop JUOS'!K59="",0,'Prop JUOS'!K59))</f>
        <v/>
      </c>
      <c r="BE60" s="428" t="str">
        <f>IF($B60="","",IF('Prop JUOS'!L59="",0,'Prop JUOS'!L59))</f>
        <v/>
      </c>
      <c r="BF60" s="428" t="str">
        <f>IF($B60="","",IF('Prop JUOS'!M59="",0,'Prop JUOS'!M59))</f>
        <v/>
      </c>
      <c r="BG60" s="428" t="str">
        <f>IF($B60="","",IF('Prop JUOS'!N59="",0,'Prop JUOS'!N59))</f>
        <v/>
      </c>
      <c r="BH60" s="428" t="str">
        <f>IF($B60="","",IF('Prop JUOS'!O59="",0,'Prop JUOS'!O59))</f>
        <v/>
      </c>
      <c r="BI60" s="428" t="str">
        <f>IF($B60="","",IF('Prop JUOS'!P59="",0,'Prop JUOS'!P59))</f>
        <v/>
      </c>
      <c r="BJ60" s="607" t="str">
        <f>IF($B60="","",IF('Prop JUOS'!Q59="",0,'Prop JUOS'!Q59))</f>
        <v/>
      </c>
      <c r="BK60" s="429" t="str">
        <f>IF($B60="","",IF('Prop JUOS'!R59="",0,'Prop JUOS'!R59))</f>
        <v/>
      </c>
    </row>
    <row r="61" spans="2:63">
      <c r="B61" s="416" t="str">
        <f>IF('Prop DUOS'!B60="","",'Prop DUOS'!B60)</f>
        <v/>
      </c>
      <c r="C61" s="376" t="str">
        <f>IF(B61="","",INDEX('Side constraints'!$C$33:$C$92,MATCH('Prop DUOS'!B60,'Side constraints'!$D$33:$D$92,0),1))</f>
        <v/>
      </c>
      <c r="D61" s="431" t="str">
        <f t="shared" si="19"/>
        <v/>
      </c>
      <c r="E61" s="432" t="str">
        <f t="shared" si="20"/>
        <v/>
      </c>
      <c r="F61" s="432" t="str">
        <f t="shared" si="21"/>
        <v/>
      </c>
      <c r="G61" s="432" t="str">
        <f t="shared" si="22"/>
        <v/>
      </c>
      <c r="H61" s="432" t="str">
        <f t="shared" si="23"/>
        <v/>
      </c>
      <c r="I61" s="432" t="str">
        <f t="shared" si="24"/>
        <v/>
      </c>
      <c r="J61" s="432" t="str">
        <f t="shared" si="25"/>
        <v/>
      </c>
      <c r="K61" s="432" t="str">
        <f t="shared" si="26"/>
        <v/>
      </c>
      <c r="L61" s="432" t="str">
        <f t="shared" si="27"/>
        <v/>
      </c>
      <c r="M61" s="432" t="str">
        <f t="shared" si="13"/>
        <v/>
      </c>
      <c r="N61" s="432" t="str">
        <f t="shared" si="14"/>
        <v/>
      </c>
      <c r="O61" s="432" t="str">
        <f t="shared" si="15"/>
        <v/>
      </c>
      <c r="P61" s="432" t="str">
        <f t="shared" si="16"/>
        <v/>
      </c>
      <c r="Q61" s="608" t="str">
        <f t="shared" si="17"/>
        <v/>
      </c>
      <c r="R61" s="433" t="str">
        <f t="shared" si="18"/>
        <v/>
      </c>
      <c r="S61" s="431" t="str">
        <f>IF($B61="","",IF('Prop DUOS'!E60="",0,'Prop DUOS'!E60))</f>
        <v/>
      </c>
      <c r="T61" s="432" t="str">
        <f>IF($B61="","",IF('Prop DUOS'!F60="",0,'Prop DUOS'!F60))</f>
        <v/>
      </c>
      <c r="U61" s="432" t="str">
        <f>IF($B61="","",IF('Prop DUOS'!G60="",0,'Prop DUOS'!G60))</f>
        <v/>
      </c>
      <c r="V61" s="432" t="str">
        <f>IF($B61="","",IF('Prop DUOS'!H60="",0,'Prop DUOS'!H60))</f>
        <v/>
      </c>
      <c r="W61" s="432" t="str">
        <f>IF($B61="","",IF('Prop DUOS'!I60="",0,'Prop DUOS'!I60))</f>
        <v/>
      </c>
      <c r="X61" s="432" t="str">
        <f>IF($B61="","",IF('Prop DUOS'!J60="",0,'Prop DUOS'!J60))</f>
        <v/>
      </c>
      <c r="Y61" s="432" t="str">
        <f>IF($B61="","",IF('Prop DUOS'!K60="",0,'Prop DUOS'!K60))</f>
        <v/>
      </c>
      <c r="Z61" s="432" t="str">
        <f>IF($B61="","",IF('Prop DUOS'!L60="",0,'Prop DUOS'!L60))</f>
        <v/>
      </c>
      <c r="AA61" s="432" t="str">
        <f>IF($B61="","",IF('Prop DUOS'!M60="",0,'Prop DUOS'!M60))</f>
        <v/>
      </c>
      <c r="AB61" s="432" t="str">
        <f>IF($B61="","",IF('Prop DUOS'!N60="",0,'Prop DUOS'!N60))</f>
        <v/>
      </c>
      <c r="AC61" s="432" t="str">
        <f>IF($B61="","",IF('Prop DUOS'!O60="",0,'Prop DUOS'!O60))</f>
        <v/>
      </c>
      <c r="AD61" s="432" t="str">
        <f>IF($B61="","",IF('Prop DUOS'!P60="",0,'Prop DUOS'!P60))</f>
        <v/>
      </c>
      <c r="AE61" s="432" t="str">
        <f>IF($B61="","",IF('Prop DUOS'!Q60="",0,'Prop DUOS'!Q60))</f>
        <v/>
      </c>
      <c r="AF61" s="608" t="str">
        <f>IF($B61="","",IF('Prop DUOS'!R60="",0,'Prop DUOS'!R60))</f>
        <v/>
      </c>
      <c r="AG61" s="433" t="str">
        <f>IF($B61="","",IF('Prop DUOS'!S60="",0,'Prop DUOS'!S60))</f>
        <v/>
      </c>
      <c r="AH61" s="431" t="str">
        <f>IF($B61="","",IF('Prop TUOS'!D60="",0,'Prop TUOS'!D60))</f>
        <v/>
      </c>
      <c r="AI61" s="432" t="str">
        <f>IF($B61="","",IF('Prop TUOS'!E60="",0,'Prop TUOS'!E60))</f>
        <v/>
      </c>
      <c r="AJ61" s="432" t="str">
        <f>IF($B61="","",IF('Prop TUOS'!F60="",0,'Prop TUOS'!F60))</f>
        <v/>
      </c>
      <c r="AK61" s="432" t="str">
        <f>IF($B61="","",IF('Prop TUOS'!G60="",0,'Prop TUOS'!G60))</f>
        <v/>
      </c>
      <c r="AL61" s="432" t="str">
        <f>IF($B61="","",IF('Prop TUOS'!H60="",0,'Prop TUOS'!H60))</f>
        <v/>
      </c>
      <c r="AM61" s="432" t="str">
        <f>IF($B61="","",IF('Prop TUOS'!I60="",0,'Prop TUOS'!I60))</f>
        <v/>
      </c>
      <c r="AN61" s="432" t="str">
        <f>IF($B61="","",IF('Prop TUOS'!J60="",0,'Prop TUOS'!J60))</f>
        <v/>
      </c>
      <c r="AO61" s="432" t="str">
        <f>IF($B61="","",IF('Prop TUOS'!K60="",0,'Prop TUOS'!K60))</f>
        <v/>
      </c>
      <c r="AP61" s="432" t="str">
        <f>IF($B61="","",IF('Prop TUOS'!L60="",0,'Prop TUOS'!L60))</f>
        <v/>
      </c>
      <c r="AQ61" s="432" t="str">
        <f>IF($B61="","",IF('Prop TUOS'!M60="",0,'Prop TUOS'!M60))</f>
        <v/>
      </c>
      <c r="AR61" s="432" t="str">
        <f>IF($B61="","",IF('Prop TUOS'!N60="",0,'Prop TUOS'!N60))</f>
        <v/>
      </c>
      <c r="AS61" s="432" t="str">
        <f>IF($B61="","",IF('Prop TUOS'!O60="",0,'Prop TUOS'!O60))</f>
        <v/>
      </c>
      <c r="AT61" s="432" t="str">
        <f>IF($B61="","",IF('Prop TUOS'!P60="",0,'Prop TUOS'!P60))</f>
        <v/>
      </c>
      <c r="AU61" s="608" t="str">
        <f>IF($B61="","",IF('Prop TUOS'!Q60="",0,'Prop TUOS'!Q60))</f>
        <v/>
      </c>
      <c r="AV61" s="433" t="str">
        <f>IF($B61="","",IF('Prop TUOS'!R60="",0,'Prop TUOS'!R60))</f>
        <v/>
      </c>
      <c r="AW61" s="431" t="str">
        <f>IF($B61="","",IF('Prop JUOS'!D60="",0,'Prop JUOS'!D60))</f>
        <v/>
      </c>
      <c r="AX61" s="432" t="str">
        <f>IF($B61="","",IF('Prop JUOS'!E60="",0,'Prop JUOS'!E60))</f>
        <v/>
      </c>
      <c r="AY61" s="432" t="str">
        <f>IF($B61="","",IF('Prop JUOS'!F60="",0,'Prop JUOS'!F60))</f>
        <v/>
      </c>
      <c r="AZ61" s="432" t="str">
        <f>IF($B61="","",IF('Prop JUOS'!G60="",0,'Prop JUOS'!G60))</f>
        <v/>
      </c>
      <c r="BA61" s="432" t="str">
        <f>IF($B61="","",IF('Prop JUOS'!H60="",0,'Prop JUOS'!H60))</f>
        <v/>
      </c>
      <c r="BB61" s="432" t="str">
        <f>IF($B61="","",IF('Prop JUOS'!I60="",0,'Prop JUOS'!I60))</f>
        <v/>
      </c>
      <c r="BC61" s="432" t="str">
        <f>IF($B61="","",IF('Prop JUOS'!J60="",0,'Prop JUOS'!J60))</f>
        <v/>
      </c>
      <c r="BD61" s="432" t="str">
        <f>IF($B61="","",IF('Prop JUOS'!K60="",0,'Prop JUOS'!K60))</f>
        <v/>
      </c>
      <c r="BE61" s="432" t="str">
        <f>IF($B61="","",IF('Prop JUOS'!L60="",0,'Prop JUOS'!L60))</f>
        <v/>
      </c>
      <c r="BF61" s="432" t="str">
        <f>IF($B61="","",IF('Prop JUOS'!M60="",0,'Prop JUOS'!M60))</f>
        <v/>
      </c>
      <c r="BG61" s="432" t="str">
        <f>IF($B61="","",IF('Prop JUOS'!N60="",0,'Prop JUOS'!N60))</f>
        <v/>
      </c>
      <c r="BH61" s="432" t="str">
        <f>IF($B61="","",IF('Prop JUOS'!O60="",0,'Prop JUOS'!O60))</f>
        <v/>
      </c>
      <c r="BI61" s="432" t="str">
        <f>IF($B61="","",IF('Prop JUOS'!P60="",0,'Prop JUOS'!P60))</f>
        <v/>
      </c>
      <c r="BJ61" s="608" t="str">
        <f>IF($B61="","",IF('Prop JUOS'!Q60="",0,'Prop JUOS'!Q60))</f>
        <v/>
      </c>
      <c r="BK61" s="433" t="str">
        <f>IF($B61="","",IF('Prop JUOS'!R60="",0,'Prop JUOS'!R60))</f>
        <v/>
      </c>
    </row>
    <row r="62" spans="2:63">
      <c r="B62" s="416" t="str">
        <f>IF('Prop DUOS'!B61="","",'Prop DUOS'!B61)</f>
        <v/>
      </c>
      <c r="C62" s="376" t="str">
        <f>IF(B62="","",INDEX('Side constraints'!$C$33:$C$92,MATCH('Prop DUOS'!B61,'Side constraints'!$D$33:$D$92,0),1))</f>
        <v/>
      </c>
      <c r="D62" s="431" t="str">
        <f t="shared" si="19"/>
        <v/>
      </c>
      <c r="E62" s="432" t="str">
        <f t="shared" si="20"/>
        <v/>
      </c>
      <c r="F62" s="432" t="str">
        <f t="shared" si="21"/>
        <v/>
      </c>
      <c r="G62" s="432" t="str">
        <f t="shared" si="22"/>
        <v/>
      </c>
      <c r="H62" s="432" t="str">
        <f t="shared" si="23"/>
        <v/>
      </c>
      <c r="I62" s="432" t="str">
        <f t="shared" si="24"/>
        <v/>
      </c>
      <c r="J62" s="432" t="str">
        <f t="shared" si="25"/>
        <v/>
      </c>
      <c r="K62" s="432" t="str">
        <f t="shared" si="26"/>
        <v/>
      </c>
      <c r="L62" s="432" t="str">
        <f t="shared" si="27"/>
        <v/>
      </c>
      <c r="M62" s="432" t="str">
        <f t="shared" si="13"/>
        <v/>
      </c>
      <c r="N62" s="432" t="str">
        <f t="shared" si="14"/>
        <v/>
      </c>
      <c r="O62" s="432" t="str">
        <f t="shared" si="15"/>
        <v/>
      </c>
      <c r="P62" s="432" t="str">
        <f t="shared" si="16"/>
        <v/>
      </c>
      <c r="Q62" s="608" t="str">
        <f t="shared" si="17"/>
        <v/>
      </c>
      <c r="R62" s="433" t="str">
        <f t="shared" si="18"/>
        <v/>
      </c>
      <c r="S62" s="431" t="str">
        <f>IF($B62="","",IF('Prop DUOS'!E61="",0,'Prop DUOS'!E61))</f>
        <v/>
      </c>
      <c r="T62" s="432" t="str">
        <f>IF($B62="","",IF('Prop DUOS'!F61="",0,'Prop DUOS'!F61))</f>
        <v/>
      </c>
      <c r="U62" s="432" t="str">
        <f>IF($B62="","",IF('Prop DUOS'!G61="",0,'Prop DUOS'!G61))</f>
        <v/>
      </c>
      <c r="V62" s="432" t="str">
        <f>IF($B62="","",IF('Prop DUOS'!H61="",0,'Prop DUOS'!H61))</f>
        <v/>
      </c>
      <c r="W62" s="432" t="str">
        <f>IF($B62="","",IF('Prop DUOS'!I61="",0,'Prop DUOS'!I61))</f>
        <v/>
      </c>
      <c r="X62" s="432" t="str">
        <f>IF($B62="","",IF('Prop DUOS'!J61="",0,'Prop DUOS'!J61))</f>
        <v/>
      </c>
      <c r="Y62" s="432" t="str">
        <f>IF($B62="","",IF('Prop DUOS'!K61="",0,'Prop DUOS'!K61))</f>
        <v/>
      </c>
      <c r="Z62" s="432" t="str">
        <f>IF($B62="","",IF('Prop DUOS'!L61="",0,'Prop DUOS'!L61))</f>
        <v/>
      </c>
      <c r="AA62" s="432" t="str">
        <f>IF($B62="","",IF('Prop DUOS'!M61="",0,'Prop DUOS'!M61))</f>
        <v/>
      </c>
      <c r="AB62" s="432" t="str">
        <f>IF($B62="","",IF('Prop DUOS'!N61="",0,'Prop DUOS'!N61))</f>
        <v/>
      </c>
      <c r="AC62" s="432" t="str">
        <f>IF($B62="","",IF('Prop DUOS'!O61="",0,'Prop DUOS'!O61))</f>
        <v/>
      </c>
      <c r="AD62" s="432" t="str">
        <f>IF($B62="","",IF('Prop DUOS'!P61="",0,'Prop DUOS'!P61))</f>
        <v/>
      </c>
      <c r="AE62" s="432" t="str">
        <f>IF($B62="","",IF('Prop DUOS'!Q61="",0,'Prop DUOS'!Q61))</f>
        <v/>
      </c>
      <c r="AF62" s="608" t="str">
        <f>IF($B62="","",IF('Prop DUOS'!R61="",0,'Prop DUOS'!R61))</f>
        <v/>
      </c>
      <c r="AG62" s="433" t="str">
        <f>IF($B62="","",IF('Prop DUOS'!S61="",0,'Prop DUOS'!S61))</f>
        <v/>
      </c>
      <c r="AH62" s="431" t="str">
        <f>IF($B62="","",IF('Prop TUOS'!D61="",0,'Prop TUOS'!D61))</f>
        <v/>
      </c>
      <c r="AI62" s="432" t="str">
        <f>IF($B62="","",IF('Prop TUOS'!E61="",0,'Prop TUOS'!E61))</f>
        <v/>
      </c>
      <c r="AJ62" s="432" t="str">
        <f>IF($B62="","",IF('Prop TUOS'!F61="",0,'Prop TUOS'!F61))</f>
        <v/>
      </c>
      <c r="AK62" s="432" t="str">
        <f>IF($B62="","",IF('Prop TUOS'!G61="",0,'Prop TUOS'!G61))</f>
        <v/>
      </c>
      <c r="AL62" s="432" t="str">
        <f>IF($B62="","",IF('Prop TUOS'!H61="",0,'Prop TUOS'!H61))</f>
        <v/>
      </c>
      <c r="AM62" s="432" t="str">
        <f>IF($B62="","",IF('Prop TUOS'!I61="",0,'Prop TUOS'!I61))</f>
        <v/>
      </c>
      <c r="AN62" s="432" t="str">
        <f>IF($B62="","",IF('Prop TUOS'!J61="",0,'Prop TUOS'!J61))</f>
        <v/>
      </c>
      <c r="AO62" s="432" t="str">
        <f>IF($B62="","",IF('Prop TUOS'!K61="",0,'Prop TUOS'!K61))</f>
        <v/>
      </c>
      <c r="AP62" s="432" t="str">
        <f>IF($B62="","",IF('Prop TUOS'!L61="",0,'Prop TUOS'!L61))</f>
        <v/>
      </c>
      <c r="AQ62" s="432" t="str">
        <f>IF($B62="","",IF('Prop TUOS'!M61="",0,'Prop TUOS'!M61))</f>
        <v/>
      </c>
      <c r="AR62" s="432" t="str">
        <f>IF($B62="","",IF('Prop TUOS'!N61="",0,'Prop TUOS'!N61))</f>
        <v/>
      </c>
      <c r="AS62" s="432" t="str">
        <f>IF($B62="","",IF('Prop TUOS'!O61="",0,'Prop TUOS'!O61))</f>
        <v/>
      </c>
      <c r="AT62" s="432" t="str">
        <f>IF($B62="","",IF('Prop TUOS'!P61="",0,'Prop TUOS'!P61))</f>
        <v/>
      </c>
      <c r="AU62" s="608" t="str">
        <f>IF($B62="","",IF('Prop TUOS'!Q61="",0,'Prop TUOS'!Q61))</f>
        <v/>
      </c>
      <c r="AV62" s="433" t="str">
        <f>IF($B62="","",IF('Prop TUOS'!R61="",0,'Prop TUOS'!R61))</f>
        <v/>
      </c>
      <c r="AW62" s="431" t="str">
        <f>IF($B62="","",IF('Prop JUOS'!D61="",0,'Prop JUOS'!D61))</f>
        <v/>
      </c>
      <c r="AX62" s="432" t="str">
        <f>IF($B62="","",IF('Prop JUOS'!E61="",0,'Prop JUOS'!E61))</f>
        <v/>
      </c>
      <c r="AY62" s="432" t="str">
        <f>IF($B62="","",IF('Prop JUOS'!F61="",0,'Prop JUOS'!F61))</f>
        <v/>
      </c>
      <c r="AZ62" s="432" t="str">
        <f>IF($B62="","",IF('Prop JUOS'!G61="",0,'Prop JUOS'!G61))</f>
        <v/>
      </c>
      <c r="BA62" s="432" t="str">
        <f>IF($B62="","",IF('Prop JUOS'!H61="",0,'Prop JUOS'!H61))</f>
        <v/>
      </c>
      <c r="BB62" s="432" t="str">
        <f>IF($B62="","",IF('Prop JUOS'!I61="",0,'Prop JUOS'!I61))</f>
        <v/>
      </c>
      <c r="BC62" s="432" t="str">
        <f>IF($B62="","",IF('Prop JUOS'!J61="",0,'Prop JUOS'!J61))</f>
        <v/>
      </c>
      <c r="BD62" s="432" t="str">
        <f>IF($B62="","",IF('Prop JUOS'!K61="",0,'Prop JUOS'!K61))</f>
        <v/>
      </c>
      <c r="BE62" s="432" t="str">
        <f>IF($B62="","",IF('Prop JUOS'!L61="",0,'Prop JUOS'!L61))</f>
        <v/>
      </c>
      <c r="BF62" s="432" t="str">
        <f>IF($B62="","",IF('Prop JUOS'!M61="",0,'Prop JUOS'!M61))</f>
        <v/>
      </c>
      <c r="BG62" s="432" t="str">
        <f>IF($B62="","",IF('Prop JUOS'!N61="",0,'Prop JUOS'!N61))</f>
        <v/>
      </c>
      <c r="BH62" s="432" t="str">
        <f>IF($B62="","",IF('Prop JUOS'!O61="",0,'Prop JUOS'!O61))</f>
        <v/>
      </c>
      <c r="BI62" s="432" t="str">
        <f>IF($B62="","",IF('Prop JUOS'!P61="",0,'Prop JUOS'!P61))</f>
        <v/>
      </c>
      <c r="BJ62" s="608" t="str">
        <f>IF($B62="","",IF('Prop JUOS'!Q61="",0,'Prop JUOS'!Q61))</f>
        <v/>
      </c>
      <c r="BK62" s="433" t="str">
        <f>IF($B62="","",IF('Prop JUOS'!R61="",0,'Prop JUOS'!R61))</f>
        <v/>
      </c>
    </row>
    <row r="63" spans="2:63">
      <c r="B63" s="416" t="str">
        <f>IF('Prop DUOS'!B62="","",'Prop DUOS'!B62)</f>
        <v/>
      </c>
      <c r="C63" s="376" t="str">
        <f>IF(B63="","",INDEX('Side constraints'!$C$33:$C$92,MATCH('Prop DUOS'!B62,'Side constraints'!$D$33:$D$92,0),1))</f>
        <v/>
      </c>
      <c r="D63" s="431" t="str">
        <f t="shared" si="19"/>
        <v/>
      </c>
      <c r="E63" s="432" t="str">
        <f t="shared" si="20"/>
        <v/>
      </c>
      <c r="F63" s="432" t="str">
        <f t="shared" si="21"/>
        <v/>
      </c>
      <c r="G63" s="432" t="str">
        <f t="shared" si="22"/>
        <v/>
      </c>
      <c r="H63" s="432" t="str">
        <f t="shared" si="23"/>
        <v/>
      </c>
      <c r="I63" s="432" t="str">
        <f t="shared" si="24"/>
        <v/>
      </c>
      <c r="J63" s="432" t="str">
        <f t="shared" si="25"/>
        <v/>
      </c>
      <c r="K63" s="432" t="str">
        <f t="shared" si="26"/>
        <v/>
      </c>
      <c r="L63" s="432" t="str">
        <f t="shared" si="27"/>
        <v/>
      </c>
      <c r="M63" s="432" t="str">
        <f t="shared" si="13"/>
        <v/>
      </c>
      <c r="N63" s="432" t="str">
        <f t="shared" si="14"/>
        <v/>
      </c>
      <c r="O63" s="432" t="str">
        <f t="shared" si="15"/>
        <v/>
      </c>
      <c r="P63" s="432" t="str">
        <f t="shared" si="16"/>
        <v/>
      </c>
      <c r="Q63" s="608" t="str">
        <f t="shared" si="17"/>
        <v/>
      </c>
      <c r="R63" s="433" t="str">
        <f t="shared" si="18"/>
        <v/>
      </c>
      <c r="S63" s="431" t="str">
        <f>IF($B63="","",IF('Prop DUOS'!E62="",0,'Prop DUOS'!E62))</f>
        <v/>
      </c>
      <c r="T63" s="432" t="str">
        <f>IF($B63="","",IF('Prop DUOS'!F62="",0,'Prop DUOS'!F62))</f>
        <v/>
      </c>
      <c r="U63" s="432" t="str">
        <f>IF($B63="","",IF('Prop DUOS'!G62="",0,'Prop DUOS'!G62))</f>
        <v/>
      </c>
      <c r="V63" s="432" t="str">
        <f>IF($B63="","",IF('Prop DUOS'!H62="",0,'Prop DUOS'!H62))</f>
        <v/>
      </c>
      <c r="W63" s="432" t="str">
        <f>IF($B63="","",IF('Prop DUOS'!I62="",0,'Prop DUOS'!I62))</f>
        <v/>
      </c>
      <c r="X63" s="432" t="str">
        <f>IF($B63="","",IF('Prop DUOS'!J62="",0,'Prop DUOS'!J62))</f>
        <v/>
      </c>
      <c r="Y63" s="432" t="str">
        <f>IF($B63="","",IF('Prop DUOS'!K62="",0,'Prop DUOS'!K62))</f>
        <v/>
      </c>
      <c r="Z63" s="432" t="str">
        <f>IF($B63="","",IF('Prop DUOS'!L62="",0,'Prop DUOS'!L62))</f>
        <v/>
      </c>
      <c r="AA63" s="432" t="str">
        <f>IF($B63="","",IF('Prop DUOS'!M62="",0,'Prop DUOS'!M62))</f>
        <v/>
      </c>
      <c r="AB63" s="432" t="str">
        <f>IF($B63="","",IF('Prop DUOS'!N62="",0,'Prop DUOS'!N62))</f>
        <v/>
      </c>
      <c r="AC63" s="432" t="str">
        <f>IF($B63="","",IF('Prop DUOS'!O62="",0,'Prop DUOS'!O62))</f>
        <v/>
      </c>
      <c r="AD63" s="432" t="str">
        <f>IF($B63="","",IF('Prop DUOS'!P62="",0,'Prop DUOS'!P62))</f>
        <v/>
      </c>
      <c r="AE63" s="432" t="str">
        <f>IF($B63="","",IF('Prop DUOS'!Q62="",0,'Prop DUOS'!Q62))</f>
        <v/>
      </c>
      <c r="AF63" s="608" t="str">
        <f>IF($B63="","",IF('Prop DUOS'!R62="",0,'Prop DUOS'!R62))</f>
        <v/>
      </c>
      <c r="AG63" s="433" t="str">
        <f>IF($B63="","",IF('Prop DUOS'!S62="",0,'Prop DUOS'!S62))</f>
        <v/>
      </c>
      <c r="AH63" s="431" t="str">
        <f>IF($B63="","",IF('Prop TUOS'!D62="",0,'Prop TUOS'!D62))</f>
        <v/>
      </c>
      <c r="AI63" s="432" t="str">
        <f>IF($B63="","",IF('Prop TUOS'!E62="",0,'Prop TUOS'!E62))</f>
        <v/>
      </c>
      <c r="AJ63" s="432" t="str">
        <f>IF($B63="","",IF('Prop TUOS'!F62="",0,'Prop TUOS'!F62))</f>
        <v/>
      </c>
      <c r="AK63" s="432" t="str">
        <f>IF($B63="","",IF('Prop TUOS'!G62="",0,'Prop TUOS'!G62))</f>
        <v/>
      </c>
      <c r="AL63" s="432" t="str">
        <f>IF($B63="","",IF('Prop TUOS'!H62="",0,'Prop TUOS'!H62))</f>
        <v/>
      </c>
      <c r="AM63" s="432" t="str">
        <f>IF($B63="","",IF('Prop TUOS'!I62="",0,'Prop TUOS'!I62))</f>
        <v/>
      </c>
      <c r="AN63" s="432" t="str">
        <f>IF($B63="","",IF('Prop TUOS'!J62="",0,'Prop TUOS'!J62))</f>
        <v/>
      </c>
      <c r="AO63" s="432" t="str">
        <f>IF($B63="","",IF('Prop TUOS'!K62="",0,'Prop TUOS'!K62))</f>
        <v/>
      </c>
      <c r="AP63" s="432" t="str">
        <f>IF($B63="","",IF('Prop TUOS'!L62="",0,'Prop TUOS'!L62))</f>
        <v/>
      </c>
      <c r="AQ63" s="432" t="str">
        <f>IF($B63="","",IF('Prop TUOS'!M62="",0,'Prop TUOS'!M62))</f>
        <v/>
      </c>
      <c r="AR63" s="432" t="str">
        <f>IF($B63="","",IF('Prop TUOS'!N62="",0,'Prop TUOS'!N62))</f>
        <v/>
      </c>
      <c r="AS63" s="432" t="str">
        <f>IF($B63="","",IF('Prop TUOS'!O62="",0,'Prop TUOS'!O62))</f>
        <v/>
      </c>
      <c r="AT63" s="432" t="str">
        <f>IF($B63="","",IF('Prop TUOS'!P62="",0,'Prop TUOS'!P62))</f>
        <v/>
      </c>
      <c r="AU63" s="608" t="str">
        <f>IF($B63="","",IF('Prop TUOS'!Q62="",0,'Prop TUOS'!Q62))</f>
        <v/>
      </c>
      <c r="AV63" s="433" t="str">
        <f>IF($B63="","",IF('Prop TUOS'!R62="",0,'Prop TUOS'!R62))</f>
        <v/>
      </c>
      <c r="AW63" s="431" t="str">
        <f>IF($B63="","",IF('Prop JUOS'!D62="",0,'Prop JUOS'!D62))</f>
        <v/>
      </c>
      <c r="AX63" s="432" t="str">
        <f>IF($B63="","",IF('Prop JUOS'!E62="",0,'Prop JUOS'!E62))</f>
        <v/>
      </c>
      <c r="AY63" s="432" t="str">
        <f>IF($B63="","",IF('Prop JUOS'!F62="",0,'Prop JUOS'!F62))</f>
        <v/>
      </c>
      <c r="AZ63" s="432" t="str">
        <f>IF($B63="","",IF('Prop JUOS'!G62="",0,'Prop JUOS'!G62))</f>
        <v/>
      </c>
      <c r="BA63" s="432" t="str">
        <f>IF($B63="","",IF('Prop JUOS'!H62="",0,'Prop JUOS'!H62))</f>
        <v/>
      </c>
      <c r="BB63" s="432" t="str">
        <f>IF($B63="","",IF('Prop JUOS'!I62="",0,'Prop JUOS'!I62))</f>
        <v/>
      </c>
      <c r="BC63" s="432" t="str">
        <f>IF($B63="","",IF('Prop JUOS'!J62="",0,'Prop JUOS'!J62))</f>
        <v/>
      </c>
      <c r="BD63" s="432" t="str">
        <f>IF($B63="","",IF('Prop JUOS'!K62="",0,'Prop JUOS'!K62))</f>
        <v/>
      </c>
      <c r="BE63" s="432" t="str">
        <f>IF($B63="","",IF('Prop JUOS'!L62="",0,'Prop JUOS'!L62))</f>
        <v/>
      </c>
      <c r="BF63" s="432" t="str">
        <f>IF($B63="","",IF('Prop JUOS'!M62="",0,'Prop JUOS'!M62))</f>
        <v/>
      </c>
      <c r="BG63" s="432" t="str">
        <f>IF($B63="","",IF('Prop JUOS'!N62="",0,'Prop JUOS'!N62))</f>
        <v/>
      </c>
      <c r="BH63" s="432" t="str">
        <f>IF($B63="","",IF('Prop JUOS'!O62="",0,'Prop JUOS'!O62))</f>
        <v/>
      </c>
      <c r="BI63" s="432" t="str">
        <f>IF($B63="","",IF('Prop JUOS'!P62="",0,'Prop JUOS'!P62))</f>
        <v/>
      </c>
      <c r="BJ63" s="608" t="str">
        <f>IF($B63="","",IF('Prop JUOS'!Q62="",0,'Prop JUOS'!Q62))</f>
        <v/>
      </c>
      <c r="BK63" s="433" t="str">
        <f>IF($B63="","",IF('Prop JUOS'!R62="",0,'Prop JUOS'!R62))</f>
        <v/>
      </c>
    </row>
    <row r="64" spans="2:63">
      <c r="B64" s="416" t="str">
        <f>IF('Prop DUOS'!B63="","",'Prop DUOS'!B63)</f>
        <v/>
      </c>
      <c r="C64" s="376" t="str">
        <f>IF(B64="","",INDEX('Side constraints'!$C$33:$C$92,MATCH('Prop DUOS'!B63,'Side constraints'!$D$33:$D$92,0),1))</f>
        <v/>
      </c>
      <c r="D64" s="431" t="str">
        <f t="shared" si="19"/>
        <v/>
      </c>
      <c r="E64" s="432" t="str">
        <f t="shared" si="20"/>
        <v/>
      </c>
      <c r="F64" s="432" t="str">
        <f t="shared" si="21"/>
        <v/>
      </c>
      <c r="G64" s="432" t="str">
        <f t="shared" si="22"/>
        <v/>
      </c>
      <c r="H64" s="432" t="str">
        <f t="shared" si="23"/>
        <v/>
      </c>
      <c r="I64" s="432" t="str">
        <f t="shared" si="24"/>
        <v/>
      </c>
      <c r="J64" s="432" t="str">
        <f t="shared" si="25"/>
        <v/>
      </c>
      <c r="K64" s="432" t="str">
        <f t="shared" si="26"/>
        <v/>
      </c>
      <c r="L64" s="432" t="str">
        <f t="shared" si="27"/>
        <v/>
      </c>
      <c r="M64" s="432" t="str">
        <f t="shared" si="13"/>
        <v/>
      </c>
      <c r="N64" s="432" t="str">
        <f t="shared" si="14"/>
        <v/>
      </c>
      <c r="O64" s="432" t="str">
        <f t="shared" si="15"/>
        <v/>
      </c>
      <c r="P64" s="432" t="str">
        <f t="shared" si="16"/>
        <v/>
      </c>
      <c r="Q64" s="608" t="str">
        <f t="shared" si="17"/>
        <v/>
      </c>
      <c r="R64" s="433" t="str">
        <f t="shared" si="18"/>
        <v/>
      </c>
      <c r="S64" s="431" t="str">
        <f>IF($B64="","",IF('Prop DUOS'!E63="",0,'Prop DUOS'!E63))</f>
        <v/>
      </c>
      <c r="T64" s="432" t="str">
        <f>IF($B64="","",IF('Prop DUOS'!F63="",0,'Prop DUOS'!F63))</f>
        <v/>
      </c>
      <c r="U64" s="432" t="str">
        <f>IF($B64="","",IF('Prop DUOS'!G63="",0,'Prop DUOS'!G63))</f>
        <v/>
      </c>
      <c r="V64" s="432" t="str">
        <f>IF($B64="","",IF('Prop DUOS'!H63="",0,'Prop DUOS'!H63))</f>
        <v/>
      </c>
      <c r="W64" s="432" t="str">
        <f>IF($B64="","",IF('Prop DUOS'!I63="",0,'Prop DUOS'!I63))</f>
        <v/>
      </c>
      <c r="X64" s="432" t="str">
        <f>IF($B64="","",IF('Prop DUOS'!J63="",0,'Prop DUOS'!J63))</f>
        <v/>
      </c>
      <c r="Y64" s="432" t="str">
        <f>IF($B64="","",IF('Prop DUOS'!K63="",0,'Prop DUOS'!K63))</f>
        <v/>
      </c>
      <c r="Z64" s="432" t="str">
        <f>IF($B64="","",IF('Prop DUOS'!L63="",0,'Prop DUOS'!L63))</f>
        <v/>
      </c>
      <c r="AA64" s="432" t="str">
        <f>IF($B64="","",IF('Prop DUOS'!M63="",0,'Prop DUOS'!M63))</f>
        <v/>
      </c>
      <c r="AB64" s="432" t="str">
        <f>IF($B64="","",IF('Prop DUOS'!N63="",0,'Prop DUOS'!N63))</f>
        <v/>
      </c>
      <c r="AC64" s="432" t="str">
        <f>IF($B64="","",IF('Prop DUOS'!O63="",0,'Prop DUOS'!O63))</f>
        <v/>
      </c>
      <c r="AD64" s="432" t="str">
        <f>IF($B64="","",IF('Prop DUOS'!P63="",0,'Prop DUOS'!P63))</f>
        <v/>
      </c>
      <c r="AE64" s="432" t="str">
        <f>IF($B64="","",IF('Prop DUOS'!Q63="",0,'Prop DUOS'!Q63))</f>
        <v/>
      </c>
      <c r="AF64" s="608" t="str">
        <f>IF($B64="","",IF('Prop DUOS'!R63="",0,'Prop DUOS'!R63))</f>
        <v/>
      </c>
      <c r="AG64" s="433" t="str">
        <f>IF($B64="","",IF('Prop DUOS'!S63="",0,'Prop DUOS'!S63))</f>
        <v/>
      </c>
      <c r="AH64" s="431" t="str">
        <f>IF($B64="","",IF('Prop TUOS'!D63="",0,'Prop TUOS'!D63))</f>
        <v/>
      </c>
      <c r="AI64" s="432" t="str">
        <f>IF($B64="","",IF('Prop TUOS'!E63="",0,'Prop TUOS'!E63))</f>
        <v/>
      </c>
      <c r="AJ64" s="432" t="str">
        <f>IF($B64="","",IF('Prop TUOS'!F63="",0,'Prop TUOS'!F63))</f>
        <v/>
      </c>
      <c r="AK64" s="432" t="str">
        <f>IF($B64="","",IF('Prop TUOS'!G63="",0,'Prop TUOS'!G63))</f>
        <v/>
      </c>
      <c r="AL64" s="432" t="str">
        <f>IF($B64="","",IF('Prop TUOS'!H63="",0,'Prop TUOS'!H63))</f>
        <v/>
      </c>
      <c r="AM64" s="432" t="str">
        <f>IF($B64="","",IF('Prop TUOS'!I63="",0,'Prop TUOS'!I63))</f>
        <v/>
      </c>
      <c r="AN64" s="432" t="str">
        <f>IF($B64="","",IF('Prop TUOS'!J63="",0,'Prop TUOS'!J63))</f>
        <v/>
      </c>
      <c r="AO64" s="432" t="str">
        <f>IF($B64="","",IF('Prop TUOS'!K63="",0,'Prop TUOS'!K63))</f>
        <v/>
      </c>
      <c r="AP64" s="432" t="str">
        <f>IF($B64="","",IF('Prop TUOS'!L63="",0,'Prop TUOS'!L63))</f>
        <v/>
      </c>
      <c r="AQ64" s="432" t="str">
        <f>IF($B64="","",IF('Prop TUOS'!M63="",0,'Prop TUOS'!M63))</f>
        <v/>
      </c>
      <c r="AR64" s="432" t="str">
        <f>IF($B64="","",IF('Prop TUOS'!N63="",0,'Prop TUOS'!N63))</f>
        <v/>
      </c>
      <c r="AS64" s="432" t="str">
        <f>IF($B64="","",IF('Prop TUOS'!O63="",0,'Prop TUOS'!O63))</f>
        <v/>
      </c>
      <c r="AT64" s="432" t="str">
        <f>IF($B64="","",IF('Prop TUOS'!P63="",0,'Prop TUOS'!P63))</f>
        <v/>
      </c>
      <c r="AU64" s="608" t="str">
        <f>IF($B64="","",IF('Prop TUOS'!Q63="",0,'Prop TUOS'!Q63))</f>
        <v/>
      </c>
      <c r="AV64" s="433" t="str">
        <f>IF($B64="","",IF('Prop TUOS'!R63="",0,'Prop TUOS'!R63))</f>
        <v/>
      </c>
      <c r="AW64" s="431" t="str">
        <f>IF($B64="","",IF('Prop JUOS'!D63="",0,'Prop JUOS'!D63))</f>
        <v/>
      </c>
      <c r="AX64" s="432" t="str">
        <f>IF($B64="","",IF('Prop JUOS'!E63="",0,'Prop JUOS'!E63))</f>
        <v/>
      </c>
      <c r="AY64" s="432" t="str">
        <f>IF($B64="","",IF('Prop JUOS'!F63="",0,'Prop JUOS'!F63))</f>
        <v/>
      </c>
      <c r="AZ64" s="432" t="str">
        <f>IF($B64="","",IF('Prop JUOS'!G63="",0,'Prop JUOS'!G63))</f>
        <v/>
      </c>
      <c r="BA64" s="432" t="str">
        <f>IF($B64="","",IF('Prop JUOS'!H63="",0,'Prop JUOS'!H63))</f>
        <v/>
      </c>
      <c r="BB64" s="432" t="str">
        <f>IF($B64="","",IF('Prop JUOS'!I63="",0,'Prop JUOS'!I63))</f>
        <v/>
      </c>
      <c r="BC64" s="432" t="str">
        <f>IF($B64="","",IF('Prop JUOS'!J63="",0,'Prop JUOS'!J63))</f>
        <v/>
      </c>
      <c r="BD64" s="432" t="str">
        <f>IF($B64="","",IF('Prop JUOS'!K63="",0,'Prop JUOS'!K63))</f>
        <v/>
      </c>
      <c r="BE64" s="432" t="str">
        <f>IF($B64="","",IF('Prop JUOS'!L63="",0,'Prop JUOS'!L63))</f>
        <v/>
      </c>
      <c r="BF64" s="432" t="str">
        <f>IF($B64="","",IF('Prop JUOS'!M63="",0,'Prop JUOS'!M63))</f>
        <v/>
      </c>
      <c r="BG64" s="432" t="str">
        <f>IF($B64="","",IF('Prop JUOS'!N63="",0,'Prop JUOS'!N63))</f>
        <v/>
      </c>
      <c r="BH64" s="432" t="str">
        <f>IF($B64="","",IF('Prop JUOS'!O63="",0,'Prop JUOS'!O63))</f>
        <v/>
      </c>
      <c r="BI64" s="432" t="str">
        <f>IF($B64="","",IF('Prop JUOS'!P63="",0,'Prop JUOS'!P63))</f>
        <v/>
      </c>
      <c r="BJ64" s="608" t="str">
        <f>IF($B64="","",IF('Prop JUOS'!Q63="",0,'Prop JUOS'!Q63))</f>
        <v/>
      </c>
      <c r="BK64" s="433" t="str">
        <f>IF($B64="","",IF('Prop JUOS'!R63="",0,'Prop JUOS'!R63))</f>
        <v/>
      </c>
    </row>
    <row r="65" spans="2:63">
      <c r="B65" s="416" t="str">
        <f>IF('Prop DUOS'!B64="","",'Prop DUOS'!B64)</f>
        <v/>
      </c>
      <c r="C65" s="376" t="str">
        <f>IF(B65="","",INDEX('Side constraints'!$C$33:$C$92,MATCH('Prop DUOS'!B64,'Side constraints'!$D$33:$D$92,0),1))</f>
        <v/>
      </c>
      <c r="D65" s="431" t="str">
        <f t="shared" si="19"/>
        <v/>
      </c>
      <c r="E65" s="432" t="str">
        <f t="shared" si="20"/>
        <v/>
      </c>
      <c r="F65" s="432" t="str">
        <f t="shared" si="21"/>
        <v/>
      </c>
      <c r="G65" s="432" t="str">
        <f t="shared" si="22"/>
        <v/>
      </c>
      <c r="H65" s="432" t="str">
        <f t="shared" si="23"/>
        <v/>
      </c>
      <c r="I65" s="432" t="str">
        <f t="shared" si="24"/>
        <v/>
      </c>
      <c r="J65" s="432" t="str">
        <f t="shared" si="25"/>
        <v/>
      </c>
      <c r="K65" s="432" t="str">
        <f t="shared" si="26"/>
        <v/>
      </c>
      <c r="L65" s="432" t="str">
        <f t="shared" si="27"/>
        <v/>
      </c>
      <c r="M65" s="432" t="str">
        <f t="shared" si="13"/>
        <v/>
      </c>
      <c r="N65" s="432" t="str">
        <f t="shared" si="14"/>
        <v/>
      </c>
      <c r="O65" s="432" t="str">
        <f t="shared" si="15"/>
        <v/>
      </c>
      <c r="P65" s="432" t="str">
        <f t="shared" si="16"/>
        <v/>
      </c>
      <c r="Q65" s="608" t="str">
        <f t="shared" si="17"/>
        <v/>
      </c>
      <c r="R65" s="433" t="str">
        <f t="shared" si="18"/>
        <v/>
      </c>
      <c r="S65" s="431" t="str">
        <f>IF($B65="","",IF('Prop DUOS'!E64="",0,'Prop DUOS'!E64))</f>
        <v/>
      </c>
      <c r="T65" s="432" t="str">
        <f>IF($B65="","",IF('Prop DUOS'!F64="",0,'Prop DUOS'!F64))</f>
        <v/>
      </c>
      <c r="U65" s="432" t="str">
        <f>IF($B65="","",IF('Prop DUOS'!G64="",0,'Prop DUOS'!G64))</f>
        <v/>
      </c>
      <c r="V65" s="432" t="str">
        <f>IF($B65="","",IF('Prop DUOS'!H64="",0,'Prop DUOS'!H64))</f>
        <v/>
      </c>
      <c r="W65" s="432" t="str">
        <f>IF($B65="","",IF('Prop DUOS'!I64="",0,'Prop DUOS'!I64))</f>
        <v/>
      </c>
      <c r="X65" s="432" t="str">
        <f>IF($B65="","",IF('Prop DUOS'!J64="",0,'Prop DUOS'!J64))</f>
        <v/>
      </c>
      <c r="Y65" s="432" t="str">
        <f>IF($B65="","",IF('Prop DUOS'!K64="",0,'Prop DUOS'!K64))</f>
        <v/>
      </c>
      <c r="Z65" s="432" t="str">
        <f>IF($B65="","",IF('Prop DUOS'!L64="",0,'Prop DUOS'!L64))</f>
        <v/>
      </c>
      <c r="AA65" s="432" t="str">
        <f>IF($B65="","",IF('Prop DUOS'!M64="",0,'Prop DUOS'!M64))</f>
        <v/>
      </c>
      <c r="AB65" s="432" t="str">
        <f>IF($B65="","",IF('Prop DUOS'!N64="",0,'Prop DUOS'!N64))</f>
        <v/>
      </c>
      <c r="AC65" s="432" t="str">
        <f>IF($B65="","",IF('Prop DUOS'!O64="",0,'Prop DUOS'!O64))</f>
        <v/>
      </c>
      <c r="AD65" s="432" t="str">
        <f>IF($B65="","",IF('Prop DUOS'!P64="",0,'Prop DUOS'!P64))</f>
        <v/>
      </c>
      <c r="AE65" s="432" t="str">
        <f>IF($B65="","",IF('Prop DUOS'!Q64="",0,'Prop DUOS'!Q64))</f>
        <v/>
      </c>
      <c r="AF65" s="608" t="str">
        <f>IF($B65="","",IF('Prop DUOS'!R64="",0,'Prop DUOS'!R64))</f>
        <v/>
      </c>
      <c r="AG65" s="433" t="str">
        <f>IF($B65="","",IF('Prop DUOS'!S64="",0,'Prop DUOS'!S64))</f>
        <v/>
      </c>
      <c r="AH65" s="431" t="str">
        <f>IF($B65="","",IF('Prop TUOS'!D64="",0,'Prop TUOS'!D64))</f>
        <v/>
      </c>
      <c r="AI65" s="432" t="str">
        <f>IF($B65="","",IF('Prop TUOS'!E64="",0,'Prop TUOS'!E64))</f>
        <v/>
      </c>
      <c r="AJ65" s="432" t="str">
        <f>IF($B65="","",IF('Prop TUOS'!F64="",0,'Prop TUOS'!F64))</f>
        <v/>
      </c>
      <c r="AK65" s="432" t="str">
        <f>IF($B65="","",IF('Prop TUOS'!G64="",0,'Prop TUOS'!G64))</f>
        <v/>
      </c>
      <c r="AL65" s="432" t="str">
        <f>IF($B65="","",IF('Prop TUOS'!H64="",0,'Prop TUOS'!H64))</f>
        <v/>
      </c>
      <c r="AM65" s="432" t="str">
        <f>IF($B65="","",IF('Prop TUOS'!I64="",0,'Prop TUOS'!I64))</f>
        <v/>
      </c>
      <c r="AN65" s="432" t="str">
        <f>IF($B65="","",IF('Prop TUOS'!J64="",0,'Prop TUOS'!J64))</f>
        <v/>
      </c>
      <c r="AO65" s="432" t="str">
        <f>IF($B65="","",IF('Prop TUOS'!K64="",0,'Prop TUOS'!K64))</f>
        <v/>
      </c>
      <c r="AP65" s="432" t="str">
        <f>IF($B65="","",IF('Prop TUOS'!L64="",0,'Prop TUOS'!L64))</f>
        <v/>
      </c>
      <c r="AQ65" s="432" t="str">
        <f>IF($B65="","",IF('Prop TUOS'!M64="",0,'Prop TUOS'!M64))</f>
        <v/>
      </c>
      <c r="AR65" s="432" t="str">
        <f>IF($B65="","",IF('Prop TUOS'!N64="",0,'Prop TUOS'!N64))</f>
        <v/>
      </c>
      <c r="AS65" s="432" t="str">
        <f>IF($B65="","",IF('Prop TUOS'!O64="",0,'Prop TUOS'!O64))</f>
        <v/>
      </c>
      <c r="AT65" s="432" t="str">
        <f>IF($B65="","",IF('Prop TUOS'!P64="",0,'Prop TUOS'!P64))</f>
        <v/>
      </c>
      <c r="AU65" s="608" t="str">
        <f>IF($B65="","",IF('Prop TUOS'!Q64="",0,'Prop TUOS'!Q64))</f>
        <v/>
      </c>
      <c r="AV65" s="433" t="str">
        <f>IF($B65="","",IF('Prop TUOS'!R64="",0,'Prop TUOS'!R64))</f>
        <v/>
      </c>
      <c r="AW65" s="431" t="str">
        <f>IF($B65="","",IF('Prop JUOS'!D64="",0,'Prop JUOS'!D64))</f>
        <v/>
      </c>
      <c r="AX65" s="432" t="str">
        <f>IF($B65="","",IF('Prop JUOS'!E64="",0,'Prop JUOS'!E64))</f>
        <v/>
      </c>
      <c r="AY65" s="432" t="str">
        <f>IF($B65="","",IF('Prop JUOS'!F64="",0,'Prop JUOS'!F64))</f>
        <v/>
      </c>
      <c r="AZ65" s="432" t="str">
        <f>IF($B65="","",IF('Prop JUOS'!G64="",0,'Prop JUOS'!G64))</f>
        <v/>
      </c>
      <c r="BA65" s="432" t="str">
        <f>IF($B65="","",IF('Prop JUOS'!H64="",0,'Prop JUOS'!H64))</f>
        <v/>
      </c>
      <c r="BB65" s="432" t="str">
        <f>IF($B65="","",IF('Prop JUOS'!I64="",0,'Prop JUOS'!I64))</f>
        <v/>
      </c>
      <c r="BC65" s="432" t="str">
        <f>IF($B65="","",IF('Prop JUOS'!J64="",0,'Prop JUOS'!J64))</f>
        <v/>
      </c>
      <c r="BD65" s="432" t="str">
        <f>IF($B65="","",IF('Prop JUOS'!K64="",0,'Prop JUOS'!K64))</f>
        <v/>
      </c>
      <c r="BE65" s="432" t="str">
        <f>IF($B65="","",IF('Prop JUOS'!L64="",0,'Prop JUOS'!L64))</f>
        <v/>
      </c>
      <c r="BF65" s="432" t="str">
        <f>IF($B65="","",IF('Prop JUOS'!M64="",0,'Prop JUOS'!M64))</f>
        <v/>
      </c>
      <c r="BG65" s="432" t="str">
        <f>IF($B65="","",IF('Prop JUOS'!N64="",0,'Prop JUOS'!N64))</f>
        <v/>
      </c>
      <c r="BH65" s="432" t="str">
        <f>IF($B65="","",IF('Prop JUOS'!O64="",0,'Prop JUOS'!O64))</f>
        <v/>
      </c>
      <c r="BI65" s="432" t="str">
        <f>IF($B65="","",IF('Prop JUOS'!P64="",0,'Prop JUOS'!P64))</f>
        <v/>
      </c>
      <c r="BJ65" s="608" t="str">
        <f>IF($B65="","",IF('Prop JUOS'!Q64="",0,'Prop JUOS'!Q64))</f>
        <v/>
      </c>
      <c r="BK65" s="433" t="str">
        <f>IF($B65="","",IF('Prop JUOS'!R64="",0,'Prop JUOS'!R64))</f>
        <v/>
      </c>
    </row>
    <row r="66" spans="2:63">
      <c r="B66" s="416" t="str">
        <f>IF('Prop DUOS'!B65="","",'Prop DUOS'!B65)</f>
        <v/>
      </c>
      <c r="C66" s="376" t="str">
        <f>IF(B66="","",INDEX('Side constraints'!$C$33:$C$92,MATCH('Prop DUOS'!B65,'Side constraints'!$D$33:$D$92,0),1))</f>
        <v/>
      </c>
      <c r="D66" s="431" t="str">
        <f t="shared" si="19"/>
        <v/>
      </c>
      <c r="E66" s="432" t="str">
        <f t="shared" si="20"/>
        <v/>
      </c>
      <c r="F66" s="432" t="str">
        <f t="shared" si="21"/>
        <v/>
      </c>
      <c r="G66" s="432" t="str">
        <f t="shared" si="22"/>
        <v/>
      </c>
      <c r="H66" s="432" t="str">
        <f t="shared" si="23"/>
        <v/>
      </c>
      <c r="I66" s="432" t="str">
        <f t="shared" si="24"/>
        <v/>
      </c>
      <c r="J66" s="432" t="str">
        <f t="shared" si="25"/>
        <v/>
      </c>
      <c r="K66" s="432" t="str">
        <f t="shared" si="26"/>
        <v/>
      </c>
      <c r="L66" s="432" t="str">
        <f t="shared" si="27"/>
        <v/>
      </c>
      <c r="M66" s="432" t="str">
        <f t="shared" si="13"/>
        <v/>
      </c>
      <c r="N66" s="432" t="str">
        <f t="shared" si="14"/>
        <v/>
      </c>
      <c r="O66" s="432" t="str">
        <f t="shared" si="15"/>
        <v/>
      </c>
      <c r="P66" s="432" t="str">
        <f t="shared" si="16"/>
        <v/>
      </c>
      <c r="Q66" s="608" t="str">
        <f t="shared" si="17"/>
        <v/>
      </c>
      <c r="R66" s="433" t="str">
        <f t="shared" si="18"/>
        <v/>
      </c>
      <c r="S66" s="431" t="str">
        <f>IF($B66="","",IF('Prop DUOS'!E65="",0,'Prop DUOS'!E65))</f>
        <v/>
      </c>
      <c r="T66" s="432" t="str">
        <f>IF($B66="","",IF('Prop DUOS'!F65="",0,'Prop DUOS'!F65))</f>
        <v/>
      </c>
      <c r="U66" s="432" t="str">
        <f>IF($B66="","",IF('Prop DUOS'!G65="",0,'Prop DUOS'!G65))</f>
        <v/>
      </c>
      <c r="V66" s="432" t="str">
        <f>IF($B66="","",IF('Prop DUOS'!H65="",0,'Prop DUOS'!H65))</f>
        <v/>
      </c>
      <c r="W66" s="432" t="str">
        <f>IF($B66="","",IF('Prop DUOS'!I65="",0,'Prop DUOS'!I65))</f>
        <v/>
      </c>
      <c r="X66" s="432" t="str">
        <f>IF($B66="","",IF('Prop DUOS'!J65="",0,'Prop DUOS'!J65))</f>
        <v/>
      </c>
      <c r="Y66" s="432" t="str">
        <f>IF($B66="","",IF('Prop DUOS'!K65="",0,'Prop DUOS'!K65))</f>
        <v/>
      </c>
      <c r="Z66" s="432" t="str">
        <f>IF($B66="","",IF('Prop DUOS'!L65="",0,'Prop DUOS'!L65))</f>
        <v/>
      </c>
      <c r="AA66" s="432" t="str">
        <f>IF($B66="","",IF('Prop DUOS'!M65="",0,'Prop DUOS'!M65))</f>
        <v/>
      </c>
      <c r="AB66" s="432" t="str">
        <f>IF($B66="","",IF('Prop DUOS'!N65="",0,'Prop DUOS'!N65))</f>
        <v/>
      </c>
      <c r="AC66" s="432" t="str">
        <f>IF($B66="","",IF('Prop DUOS'!O65="",0,'Prop DUOS'!O65))</f>
        <v/>
      </c>
      <c r="AD66" s="432" t="str">
        <f>IF($B66="","",IF('Prop DUOS'!P65="",0,'Prop DUOS'!P65))</f>
        <v/>
      </c>
      <c r="AE66" s="432" t="str">
        <f>IF($B66="","",IF('Prop DUOS'!Q65="",0,'Prop DUOS'!Q65))</f>
        <v/>
      </c>
      <c r="AF66" s="608" t="str">
        <f>IF($B66="","",IF('Prop DUOS'!R65="",0,'Prop DUOS'!R65))</f>
        <v/>
      </c>
      <c r="AG66" s="433" t="str">
        <f>IF($B66="","",IF('Prop DUOS'!S65="",0,'Prop DUOS'!S65))</f>
        <v/>
      </c>
      <c r="AH66" s="431" t="str">
        <f>IF($B66="","",IF('Prop TUOS'!D65="",0,'Prop TUOS'!D65))</f>
        <v/>
      </c>
      <c r="AI66" s="432" t="str">
        <f>IF($B66="","",IF('Prop TUOS'!E65="",0,'Prop TUOS'!E65))</f>
        <v/>
      </c>
      <c r="AJ66" s="432" t="str">
        <f>IF($B66="","",IF('Prop TUOS'!F65="",0,'Prop TUOS'!F65))</f>
        <v/>
      </c>
      <c r="AK66" s="432" t="str">
        <f>IF($B66="","",IF('Prop TUOS'!G65="",0,'Prop TUOS'!G65))</f>
        <v/>
      </c>
      <c r="AL66" s="432" t="str">
        <f>IF($B66="","",IF('Prop TUOS'!H65="",0,'Prop TUOS'!H65))</f>
        <v/>
      </c>
      <c r="AM66" s="432" t="str">
        <f>IF($B66="","",IF('Prop TUOS'!I65="",0,'Prop TUOS'!I65))</f>
        <v/>
      </c>
      <c r="AN66" s="432" t="str">
        <f>IF($B66="","",IF('Prop TUOS'!J65="",0,'Prop TUOS'!J65))</f>
        <v/>
      </c>
      <c r="AO66" s="432" t="str">
        <f>IF($B66="","",IF('Prop TUOS'!K65="",0,'Prop TUOS'!K65))</f>
        <v/>
      </c>
      <c r="AP66" s="432" t="str">
        <f>IF($B66="","",IF('Prop TUOS'!L65="",0,'Prop TUOS'!L65))</f>
        <v/>
      </c>
      <c r="AQ66" s="432" t="str">
        <f>IF($B66="","",IF('Prop TUOS'!M65="",0,'Prop TUOS'!M65))</f>
        <v/>
      </c>
      <c r="AR66" s="432" t="str">
        <f>IF($B66="","",IF('Prop TUOS'!N65="",0,'Prop TUOS'!N65))</f>
        <v/>
      </c>
      <c r="AS66" s="432" t="str">
        <f>IF($B66="","",IF('Prop TUOS'!O65="",0,'Prop TUOS'!O65))</f>
        <v/>
      </c>
      <c r="AT66" s="432" t="str">
        <f>IF($B66="","",IF('Prop TUOS'!P65="",0,'Prop TUOS'!P65))</f>
        <v/>
      </c>
      <c r="AU66" s="608" t="str">
        <f>IF($B66="","",IF('Prop TUOS'!Q65="",0,'Prop TUOS'!Q65))</f>
        <v/>
      </c>
      <c r="AV66" s="433" t="str">
        <f>IF($B66="","",IF('Prop TUOS'!R65="",0,'Prop TUOS'!R65))</f>
        <v/>
      </c>
      <c r="AW66" s="431" t="str">
        <f>IF($B66="","",IF('Prop JUOS'!D65="",0,'Prop JUOS'!D65))</f>
        <v/>
      </c>
      <c r="AX66" s="432" t="str">
        <f>IF($B66="","",IF('Prop JUOS'!E65="",0,'Prop JUOS'!E65))</f>
        <v/>
      </c>
      <c r="AY66" s="432" t="str">
        <f>IF($B66="","",IF('Prop JUOS'!F65="",0,'Prop JUOS'!F65))</f>
        <v/>
      </c>
      <c r="AZ66" s="432" t="str">
        <f>IF($B66="","",IF('Prop JUOS'!G65="",0,'Prop JUOS'!G65))</f>
        <v/>
      </c>
      <c r="BA66" s="432" t="str">
        <f>IF($B66="","",IF('Prop JUOS'!H65="",0,'Prop JUOS'!H65))</f>
        <v/>
      </c>
      <c r="BB66" s="432" t="str">
        <f>IF($B66="","",IF('Prop JUOS'!I65="",0,'Prop JUOS'!I65))</f>
        <v/>
      </c>
      <c r="BC66" s="432" t="str">
        <f>IF($B66="","",IF('Prop JUOS'!J65="",0,'Prop JUOS'!J65))</f>
        <v/>
      </c>
      <c r="BD66" s="432" t="str">
        <f>IF($B66="","",IF('Prop JUOS'!K65="",0,'Prop JUOS'!K65))</f>
        <v/>
      </c>
      <c r="BE66" s="432" t="str">
        <f>IF($B66="","",IF('Prop JUOS'!L65="",0,'Prop JUOS'!L65))</f>
        <v/>
      </c>
      <c r="BF66" s="432" t="str">
        <f>IF($B66="","",IF('Prop JUOS'!M65="",0,'Prop JUOS'!M65))</f>
        <v/>
      </c>
      <c r="BG66" s="432" t="str">
        <f>IF($B66="","",IF('Prop JUOS'!N65="",0,'Prop JUOS'!N65))</f>
        <v/>
      </c>
      <c r="BH66" s="432" t="str">
        <f>IF($B66="","",IF('Prop JUOS'!O65="",0,'Prop JUOS'!O65))</f>
        <v/>
      </c>
      <c r="BI66" s="432" t="str">
        <f>IF($B66="","",IF('Prop JUOS'!P65="",0,'Prop JUOS'!P65))</f>
        <v/>
      </c>
      <c r="BJ66" s="608" t="str">
        <f>IF($B66="","",IF('Prop JUOS'!Q65="",0,'Prop JUOS'!Q65))</f>
        <v/>
      </c>
      <c r="BK66" s="433" t="str">
        <f>IF($B66="","",IF('Prop JUOS'!R65="",0,'Prop JUOS'!R65))</f>
        <v/>
      </c>
    </row>
    <row r="67" spans="2:63" ht="13.5" thickBot="1">
      <c r="B67" s="418" t="str">
        <f>IF('Prop DUOS'!B66="","",'Prop DUOS'!B66)</f>
        <v/>
      </c>
      <c r="C67" s="377" t="str">
        <f>IF(B67="","",INDEX('Side constraints'!$C$33:$C$92,MATCH('Prop DUOS'!B66,'Side constraints'!$D$33:$D$92,0),1))</f>
        <v/>
      </c>
      <c r="D67" s="434" t="str">
        <f t="shared" si="19"/>
        <v/>
      </c>
      <c r="E67" s="435" t="str">
        <f t="shared" si="20"/>
        <v/>
      </c>
      <c r="F67" s="435" t="str">
        <f t="shared" si="21"/>
        <v/>
      </c>
      <c r="G67" s="435" t="str">
        <f t="shared" si="22"/>
        <v/>
      </c>
      <c r="H67" s="435" t="str">
        <f t="shared" si="23"/>
        <v/>
      </c>
      <c r="I67" s="435" t="str">
        <f t="shared" si="24"/>
        <v/>
      </c>
      <c r="J67" s="435" t="str">
        <f t="shared" si="25"/>
        <v/>
      </c>
      <c r="K67" s="435" t="str">
        <f t="shared" si="26"/>
        <v/>
      </c>
      <c r="L67" s="435" t="str">
        <f t="shared" si="27"/>
        <v/>
      </c>
      <c r="M67" s="435" t="str">
        <f t="shared" si="13"/>
        <v/>
      </c>
      <c r="N67" s="435" t="str">
        <f t="shared" si="14"/>
        <v/>
      </c>
      <c r="O67" s="435" t="str">
        <f t="shared" si="15"/>
        <v/>
      </c>
      <c r="P67" s="435" t="str">
        <f t="shared" si="16"/>
        <v/>
      </c>
      <c r="Q67" s="609" t="str">
        <f t="shared" si="17"/>
        <v/>
      </c>
      <c r="R67" s="436" t="str">
        <f t="shared" si="18"/>
        <v/>
      </c>
      <c r="S67" s="434" t="str">
        <f>IF($B67="","",IF('Prop DUOS'!E66="",0,'Prop DUOS'!E66))</f>
        <v/>
      </c>
      <c r="T67" s="435" t="str">
        <f>IF($B67="","",IF('Prop DUOS'!F66="",0,'Prop DUOS'!F66))</f>
        <v/>
      </c>
      <c r="U67" s="435" t="str">
        <f>IF($B67="","",IF('Prop DUOS'!G66="",0,'Prop DUOS'!G66))</f>
        <v/>
      </c>
      <c r="V67" s="435" t="str">
        <f>IF($B67="","",IF('Prop DUOS'!H66="",0,'Prop DUOS'!H66))</f>
        <v/>
      </c>
      <c r="W67" s="435" t="str">
        <f>IF($B67="","",IF('Prop DUOS'!I66="",0,'Prop DUOS'!I66))</f>
        <v/>
      </c>
      <c r="X67" s="435" t="str">
        <f>IF($B67="","",IF('Prop DUOS'!J66="",0,'Prop DUOS'!J66))</f>
        <v/>
      </c>
      <c r="Y67" s="435" t="str">
        <f>IF($B67="","",IF('Prop DUOS'!K66="",0,'Prop DUOS'!K66))</f>
        <v/>
      </c>
      <c r="Z67" s="435" t="str">
        <f>IF($B67="","",IF('Prop DUOS'!L66="",0,'Prop DUOS'!L66))</f>
        <v/>
      </c>
      <c r="AA67" s="435" t="str">
        <f>IF($B67="","",IF('Prop DUOS'!M66="",0,'Prop DUOS'!M66))</f>
        <v/>
      </c>
      <c r="AB67" s="435" t="str">
        <f>IF($B67="","",IF('Prop DUOS'!N66="",0,'Prop DUOS'!N66))</f>
        <v/>
      </c>
      <c r="AC67" s="435" t="str">
        <f>IF($B67="","",IF('Prop DUOS'!O66="",0,'Prop DUOS'!O66))</f>
        <v/>
      </c>
      <c r="AD67" s="435" t="str">
        <f>IF($B67="","",IF('Prop DUOS'!P66="",0,'Prop DUOS'!P66))</f>
        <v/>
      </c>
      <c r="AE67" s="435" t="str">
        <f>IF($B67="","",IF('Prop DUOS'!Q66="",0,'Prop DUOS'!Q66))</f>
        <v/>
      </c>
      <c r="AF67" s="609" t="str">
        <f>IF($B67="","",IF('Prop DUOS'!R66="",0,'Prop DUOS'!R66))</f>
        <v/>
      </c>
      <c r="AG67" s="436" t="str">
        <f>IF($B67="","",IF('Prop DUOS'!S66="",0,'Prop DUOS'!S66))</f>
        <v/>
      </c>
      <c r="AH67" s="434" t="str">
        <f>IF($B67="","",IF('Prop TUOS'!D66="",0,'Prop TUOS'!D66))</f>
        <v/>
      </c>
      <c r="AI67" s="435" t="str">
        <f>IF($B67="","",IF('Prop TUOS'!E66="",0,'Prop TUOS'!E66))</f>
        <v/>
      </c>
      <c r="AJ67" s="435" t="str">
        <f>IF($B67="","",IF('Prop TUOS'!F66="",0,'Prop TUOS'!F66))</f>
        <v/>
      </c>
      <c r="AK67" s="435" t="str">
        <f>IF($B67="","",IF('Prop TUOS'!G66="",0,'Prop TUOS'!G66))</f>
        <v/>
      </c>
      <c r="AL67" s="435" t="str">
        <f>IF($B67="","",IF('Prop TUOS'!H66="",0,'Prop TUOS'!H66))</f>
        <v/>
      </c>
      <c r="AM67" s="435" t="str">
        <f>IF($B67="","",IF('Prop TUOS'!I66="",0,'Prop TUOS'!I66))</f>
        <v/>
      </c>
      <c r="AN67" s="435" t="str">
        <f>IF($B67="","",IF('Prop TUOS'!J66="",0,'Prop TUOS'!J66))</f>
        <v/>
      </c>
      <c r="AO67" s="435" t="str">
        <f>IF($B67="","",IF('Prop TUOS'!K66="",0,'Prop TUOS'!K66))</f>
        <v/>
      </c>
      <c r="AP67" s="435" t="str">
        <f>IF($B67="","",IF('Prop TUOS'!L66="",0,'Prop TUOS'!L66))</f>
        <v/>
      </c>
      <c r="AQ67" s="435" t="str">
        <f>IF($B67="","",IF('Prop TUOS'!M66="",0,'Prop TUOS'!M66))</f>
        <v/>
      </c>
      <c r="AR67" s="435" t="str">
        <f>IF($B67="","",IF('Prop TUOS'!N66="",0,'Prop TUOS'!N66))</f>
        <v/>
      </c>
      <c r="AS67" s="435" t="str">
        <f>IF($B67="","",IF('Prop TUOS'!O66="",0,'Prop TUOS'!O66))</f>
        <v/>
      </c>
      <c r="AT67" s="435" t="str">
        <f>IF($B67="","",IF('Prop TUOS'!P66="",0,'Prop TUOS'!P66))</f>
        <v/>
      </c>
      <c r="AU67" s="609" t="str">
        <f>IF($B67="","",IF('Prop TUOS'!Q66="",0,'Prop TUOS'!Q66))</f>
        <v/>
      </c>
      <c r="AV67" s="436" t="str">
        <f>IF($B67="","",IF('Prop TUOS'!R66="",0,'Prop TUOS'!R66))</f>
        <v/>
      </c>
      <c r="AW67" s="434" t="str">
        <f>IF($B67="","",IF('Prop JUOS'!D66="",0,'Prop JUOS'!D66))</f>
        <v/>
      </c>
      <c r="AX67" s="435" t="str">
        <f>IF($B67="","",IF('Prop JUOS'!E66="",0,'Prop JUOS'!E66))</f>
        <v/>
      </c>
      <c r="AY67" s="435" t="str">
        <f>IF($B67="","",IF('Prop JUOS'!F66="",0,'Prop JUOS'!F66))</f>
        <v/>
      </c>
      <c r="AZ67" s="435" t="str">
        <f>IF($B67="","",IF('Prop JUOS'!G66="",0,'Prop JUOS'!G66))</f>
        <v/>
      </c>
      <c r="BA67" s="435" t="str">
        <f>IF($B67="","",IF('Prop JUOS'!H66="",0,'Prop JUOS'!H66))</f>
        <v/>
      </c>
      <c r="BB67" s="435" t="str">
        <f>IF($B67="","",IF('Prop JUOS'!I66="",0,'Prop JUOS'!I66))</f>
        <v/>
      </c>
      <c r="BC67" s="435" t="str">
        <f>IF($B67="","",IF('Prop JUOS'!J66="",0,'Prop JUOS'!J66))</f>
        <v/>
      </c>
      <c r="BD67" s="435" t="str">
        <f>IF($B67="","",IF('Prop JUOS'!K66="",0,'Prop JUOS'!K66))</f>
        <v/>
      </c>
      <c r="BE67" s="435" t="str">
        <f>IF($B67="","",IF('Prop JUOS'!L66="",0,'Prop JUOS'!L66))</f>
        <v/>
      </c>
      <c r="BF67" s="435" t="str">
        <f>IF($B67="","",IF('Prop JUOS'!M66="",0,'Prop JUOS'!M66))</f>
        <v/>
      </c>
      <c r="BG67" s="435" t="str">
        <f>IF($B67="","",IF('Prop JUOS'!N66="",0,'Prop JUOS'!N66))</f>
        <v/>
      </c>
      <c r="BH67" s="435" t="str">
        <f>IF($B67="","",IF('Prop JUOS'!O66="",0,'Prop JUOS'!O66))</f>
        <v/>
      </c>
      <c r="BI67" s="435" t="str">
        <f>IF($B67="","",IF('Prop JUOS'!P66="",0,'Prop JUOS'!P66))</f>
        <v/>
      </c>
      <c r="BJ67" s="609" t="str">
        <f>IF($B67="","",IF('Prop JUOS'!Q66="",0,'Prop JUOS'!Q66))</f>
        <v/>
      </c>
      <c r="BK67" s="436" t="str">
        <f>IF($B67="","",IF('Prop JUOS'!R66="",0,'Prop JUOS'!R66))</f>
        <v/>
      </c>
    </row>
  </sheetData>
  <mergeCells count="8">
    <mergeCell ref="AI5:AQ5"/>
    <mergeCell ref="AR5:AV5"/>
    <mergeCell ref="AX5:BF5"/>
    <mergeCell ref="BG5:BK5"/>
    <mergeCell ref="E5:M5"/>
    <mergeCell ref="N5:R5"/>
    <mergeCell ref="T5:AB5"/>
    <mergeCell ref="AC5:AG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C5"/>
  <sheetViews>
    <sheetView showGridLines="0" zoomScale="80" zoomScaleNormal="80" workbookViewId="0"/>
  </sheetViews>
  <sheetFormatPr defaultRowHeight="12.75"/>
  <cols>
    <col min="1" max="1" width="7.5703125" style="71" bestFit="1" customWidth="1"/>
    <col min="2" max="2" width="9.140625" style="71" customWidth="1"/>
    <col min="3" max="7" width="9.140625" style="71"/>
    <col min="8" max="8" width="22.7109375" style="71" customWidth="1"/>
    <col min="9" max="15" width="9.140625" style="71"/>
    <col min="16" max="16" width="7.140625" style="71" customWidth="1"/>
    <col min="17" max="16384" width="9.140625" style="71"/>
  </cols>
  <sheetData>
    <row r="5" spans="3:3">
      <c r="C5" s="23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0.79998168889431442"/>
    <pageSetUpPr fitToPage="1"/>
  </sheetPr>
  <dimension ref="B1:AB183"/>
  <sheetViews>
    <sheetView showGridLines="0" zoomScale="80" zoomScaleNormal="80" workbookViewId="0">
      <pane ySplit="11" topLeftCell="A12" activePane="bottomLeft" state="frozen"/>
      <selection pane="bottomLeft" activeCell="M77" sqref="M77"/>
    </sheetView>
  </sheetViews>
  <sheetFormatPr defaultRowHeight="12.75"/>
  <cols>
    <col min="1" max="1" width="2.140625" style="125" customWidth="1"/>
    <col min="2" max="2" width="35.140625" style="125" customWidth="1"/>
    <col min="3" max="5" width="13" style="125" customWidth="1"/>
    <col min="6" max="10" width="13.5703125" style="125" customWidth="1"/>
    <col min="11" max="11" width="3.7109375" style="125" customWidth="1"/>
    <col min="12" max="14" width="13.7109375" style="125" customWidth="1"/>
    <col min="15" max="16" width="11.85546875" style="125" customWidth="1"/>
    <col min="17" max="16384" width="9.140625" style="125"/>
  </cols>
  <sheetData>
    <row r="1" spans="2:28">
      <c r="B1" s="124"/>
      <c r="C1" s="124"/>
    </row>
    <row r="2" spans="2:28">
      <c r="B2" s="124"/>
      <c r="C2" s="124"/>
      <c r="I2" s="178"/>
    </row>
    <row r="3" spans="2:28">
      <c r="B3" s="126" t="s">
        <v>5</v>
      </c>
      <c r="C3" s="126"/>
      <c r="D3" s="402"/>
      <c r="E3" s="403" t="s">
        <v>15</v>
      </c>
      <c r="F3" s="402"/>
      <c r="L3" s="687" t="s">
        <v>17</v>
      </c>
      <c r="M3" s="687">
        <v>2022</v>
      </c>
    </row>
    <row r="4" spans="2:28">
      <c r="L4" s="687" t="s">
        <v>13</v>
      </c>
      <c r="M4" s="687">
        <v>2023</v>
      </c>
    </row>
    <row r="5" spans="2:28">
      <c r="B5" s="125" t="s">
        <v>90</v>
      </c>
      <c r="E5" s="404">
        <v>2022</v>
      </c>
      <c r="L5" s="687" t="s">
        <v>12</v>
      </c>
      <c r="M5" s="687">
        <v>2024</v>
      </c>
    </row>
    <row r="6" spans="2:28">
      <c r="L6" s="687" t="s">
        <v>14</v>
      </c>
      <c r="M6" s="687">
        <v>2025</v>
      </c>
    </row>
    <row r="7" spans="2:28">
      <c r="B7" s="125" t="s">
        <v>6</v>
      </c>
      <c r="D7" s="125" t="s">
        <v>7</v>
      </c>
      <c r="E7" s="279" t="str">
        <f>IF(E5=2021,"HY21",IF(E5&lt;2021, E5,E5-1&amp;"/"&amp;E5-2000))</f>
        <v>2021/22</v>
      </c>
      <c r="G7" s="281" t="s">
        <v>117</v>
      </c>
      <c r="L7" s="687" t="s">
        <v>15</v>
      </c>
      <c r="M7" s="687">
        <v>2026</v>
      </c>
    </row>
    <row r="8" spans="2:28">
      <c r="B8" s="125" t="s">
        <v>8</v>
      </c>
      <c r="D8" s="125" t="s">
        <v>7</v>
      </c>
      <c r="E8" s="279" t="str">
        <f>IF(E5=2022,"HY21",IF(E5&lt;2022,E5-1,E5-2&amp;"/"&amp;E5-2001))</f>
        <v>HY21</v>
      </c>
      <c r="G8" s="279" t="s">
        <v>104</v>
      </c>
    </row>
    <row r="9" spans="2:28">
      <c r="B9" s="125" t="s">
        <v>9</v>
      </c>
      <c r="D9" s="125" t="s">
        <v>7</v>
      </c>
      <c r="E9" s="279">
        <f>IF(E5=2023,"HY21",IF(E5&lt;2023,E5-2,E5-3&amp;"/"&amp;E5-2002))</f>
        <v>2020</v>
      </c>
    </row>
    <row r="10" spans="2:28">
      <c r="B10" s="125" t="s">
        <v>10</v>
      </c>
      <c r="D10" s="125" t="s">
        <v>7</v>
      </c>
      <c r="E10" s="279">
        <f>IF(E5=2024,"HY21",IF(E5&lt;2024,E5-3,E5-4&amp;"/"&amp;E5-2003))</f>
        <v>2019</v>
      </c>
    </row>
    <row r="11" spans="2:28">
      <c r="B11" s="125" t="s">
        <v>30</v>
      </c>
      <c r="D11" s="125" t="s">
        <v>7</v>
      </c>
      <c r="E11" s="279">
        <f>IF(E5=2025,"HY21",IF(E5&lt;2025,E5-4,E5-5&amp;"/"&amp;E5-2004))</f>
        <v>2018</v>
      </c>
    </row>
    <row r="12" spans="2:28" ht="13.5" thickBot="1"/>
    <row r="13" spans="2:28" ht="24" customHeight="1">
      <c r="B13" s="90" t="s">
        <v>11</v>
      </c>
      <c r="C13" s="286"/>
      <c r="D13" s="96" t="s">
        <v>98</v>
      </c>
      <c r="E13" s="96"/>
      <c r="F13" s="96"/>
      <c r="G13" s="96"/>
      <c r="H13" s="96"/>
      <c r="I13" s="91"/>
    </row>
    <row r="14" spans="2:28">
      <c r="B14" s="312" t="s">
        <v>38</v>
      </c>
      <c r="C14" s="313"/>
      <c r="D14" s="127"/>
      <c r="E14" s="330">
        <v>108.6</v>
      </c>
      <c r="F14" s="97"/>
      <c r="G14" s="128"/>
      <c r="H14" s="128"/>
      <c r="I14" s="93"/>
      <c r="L14" s="128"/>
    </row>
    <row r="15" spans="2:28">
      <c r="B15" s="310" t="s">
        <v>37</v>
      </c>
      <c r="C15" s="287"/>
      <c r="D15" s="97"/>
      <c r="E15" s="331">
        <v>110.7</v>
      </c>
      <c r="F15" s="128"/>
      <c r="G15" s="129" t="s">
        <v>39</v>
      </c>
      <c r="H15" s="130">
        <f t="shared" ref="H15:H23" si="0">E15/E14-1</f>
        <v>1.9337016574585641E-2</v>
      </c>
      <c r="I15" s="93"/>
      <c r="L15" s="68"/>
    </row>
    <row r="16" spans="2:28">
      <c r="B16" s="310" t="s">
        <v>36</v>
      </c>
      <c r="C16" s="287"/>
      <c r="D16" s="97"/>
      <c r="E16" s="332">
        <v>113</v>
      </c>
      <c r="F16" s="128"/>
      <c r="G16" s="131" t="s">
        <v>40</v>
      </c>
      <c r="H16" s="132">
        <f t="shared" si="0"/>
        <v>2.0776874435411097E-2</v>
      </c>
      <c r="I16" s="93"/>
      <c r="K16" s="772" t="s">
        <v>101</v>
      </c>
      <c r="L16" s="772"/>
      <c r="M16" s="772"/>
      <c r="N16" s="772"/>
      <c r="O16" s="772"/>
      <c r="P16" s="772"/>
      <c r="Q16" s="772"/>
      <c r="R16" s="772"/>
      <c r="S16" s="772"/>
      <c r="T16" s="772"/>
      <c r="U16" s="772"/>
      <c r="V16" s="772"/>
      <c r="W16" s="772"/>
      <c r="X16" s="772"/>
      <c r="Y16" s="772"/>
      <c r="Z16" s="772"/>
      <c r="AA16" s="772"/>
      <c r="AB16" s="772"/>
    </row>
    <row r="17" spans="2:28">
      <c r="B17" s="310" t="s">
        <v>35</v>
      </c>
      <c r="C17" s="287"/>
      <c r="D17" s="133"/>
      <c r="E17" s="332">
        <v>114.8</v>
      </c>
      <c r="F17" s="128"/>
      <c r="G17" s="131" t="s">
        <v>41</v>
      </c>
      <c r="H17" s="132">
        <f t="shared" si="0"/>
        <v>1.5929203539823078E-2</v>
      </c>
      <c r="I17" s="93"/>
      <c r="K17" s="772" t="s">
        <v>100</v>
      </c>
      <c r="L17" s="772"/>
      <c r="M17" s="772"/>
      <c r="N17" s="772"/>
      <c r="O17" s="772"/>
      <c r="P17" s="772"/>
      <c r="Q17" s="772"/>
      <c r="R17" s="772"/>
      <c r="S17" s="772"/>
      <c r="T17" s="772"/>
      <c r="U17" s="772"/>
      <c r="V17" s="772"/>
      <c r="W17" s="772"/>
      <c r="X17" s="772"/>
      <c r="Y17" s="772"/>
      <c r="Z17" s="772"/>
      <c r="AA17" s="772"/>
      <c r="AB17" s="772"/>
    </row>
    <row r="18" spans="2:28" ht="12.75" customHeight="1">
      <c r="B18" s="310" t="s">
        <v>99</v>
      </c>
      <c r="C18" s="287"/>
      <c r="D18" s="133"/>
      <c r="E18" s="332">
        <v>116.2</v>
      </c>
      <c r="F18" s="128"/>
      <c r="G18" s="131" t="s">
        <v>97</v>
      </c>
      <c r="H18" s="132">
        <f t="shared" si="0"/>
        <v>1.2195121951219523E-2</v>
      </c>
      <c r="I18" s="93"/>
      <c r="K18" s="773" t="s">
        <v>102</v>
      </c>
      <c r="L18" s="773"/>
      <c r="M18" s="773"/>
      <c r="N18" s="773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  <c r="AA18" s="773"/>
      <c r="AB18" s="773"/>
    </row>
    <row r="19" spans="2:28">
      <c r="B19" s="310" t="s">
        <v>91</v>
      </c>
      <c r="C19" s="287"/>
      <c r="D19" s="133"/>
      <c r="E19" s="332">
        <v>117.2</v>
      </c>
      <c r="F19" s="128"/>
      <c r="G19" s="131" t="s">
        <v>108</v>
      </c>
      <c r="H19" s="132">
        <f t="shared" si="0"/>
        <v>8.6058519793459354E-3</v>
      </c>
      <c r="I19" s="93"/>
      <c r="K19" s="773"/>
      <c r="L19" s="773"/>
      <c r="M19" s="773"/>
      <c r="N19" s="773"/>
      <c r="O19" s="773"/>
      <c r="P19" s="773"/>
      <c r="Q19" s="773"/>
      <c r="R19" s="773"/>
      <c r="S19" s="773"/>
      <c r="T19" s="773"/>
      <c r="U19" s="773"/>
      <c r="V19" s="773"/>
      <c r="W19" s="773"/>
      <c r="X19" s="773"/>
      <c r="Y19" s="773"/>
      <c r="Z19" s="773"/>
      <c r="AA19" s="773"/>
      <c r="AB19" s="773"/>
    </row>
    <row r="20" spans="2:28">
      <c r="B20" s="310" t="s">
        <v>92</v>
      </c>
      <c r="C20" s="287"/>
      <c r="D20" s="133"/>
      <c r="E20" s="332">
        <f>E19*(1+H24)</f>
        <v>119.54328185756815</v>
      </c>
      <c r="F20" s="128"/>
      <c r="G20" s="131" t="s">
        <v>109</v>
      </c>
      <c r="H20" s="132">
        <f t="shared" si="0"/>
        <v>1.9993872504847632E-2</v>
      </c>
      <c r="I20" s="93"/>
      <c r="K20" s="773"/>
      <c r="L20" s="773"/>
      <c r="M20" s="773"/>
      <c r="N20" s="773"/>
      <c r="O20" s="773"/>
      <c r="P20" s="773"/>
      <c r="Q20" s="773"/>
      <c r="R20" s="773"/>
      <c r="S20" s="773"/>
      <c r="T20" s="773"/>
      <c r="U20" s="773"/>
      <c r="V20" s="773"/>
      <c r="W20" s="773"/>
      <c r="X20" s="773"/>
      <c r="Y20" s="773"/>
      <c r="Z20" s="773"/>
      <c r="AA20" s="773"/>
      <c r="AB20" s="773"/>
    </row>
    <row r="21" spans="2:28">
      <c r="B21" s="310" t="s">
        <v>93</v>
      </c>
      <c r="C21" s="287"/>
      <c r="D21" s="133"/>
      <c r="E21" s="332">
        <f>E20*(1+H24)</f>
        <v>121.93341499383943</v>
      </c>
      <c r="F21" s="128"/>
      <c r="G21" s="131" t="s">
        <v>110</v>
      </c>
      <c r="H21" s="132">
        <f t="shared" si="0"/>
        <v>1.9993872504847632E-2</v>
      </c>
      <c r="I21" s="93"/>
    </row>
    <row r="22" spans="2:28">
      <c r="B22" s="310" t="s">
        <v>94</v>
      </c>
      <c r="C22" s="287"/>
      <c r="D22" s="133"/>
      <c r="E22" s="332">
        <f>E21*(1+H24)</f>
        <v>124.37133614730693</v>
      </c>
      <c r="F22" s="128"/>
      <c r="G22" s="131" t="s">
        <v>111</v>
      </c>
      <c r="H22" s="132">
        <f t="shared" si="0"/>
        <v>1.9993872504847632E-2</v>
      </c>
      <c r="I22" s="93"/>
    </row>
    <row r="23" spans="2:28">
      <c r="B23" s="311" t="s">
        <v>95</v>
      </c>
      <c r="C23" s="288"/>
      <c r="D23" s="134"/>
      <c r="E23" s="332">
        <f>E22*(1+H24)</f>
        <v>126.85800078549374</v>
      </c>
      <c r="F23" s="128"/>
      <c r="G23" s="135" t="s">
        <v>112</v>
      </c>
      <c r="H23" s="136">
        <f t="shared" si="0"/>
        <v>1.9993872504847632E-2</v>
      </c>
      <c r="I23" s="93"/>
    </row>
    <row r="24" spans="2:28">
      <c r="B24" s="92"/>
      <c r="C24" s="97"/>
      <c r="D24" s="97"/>
      <c r="E24" s="137"/>
      <c r="F24" s="97"/>
      <c r="G24" s="128" t="s">
        <v>315</v>
      </c>
      <c r="H24" s="707">
        <v>1.9993872504847632E-2</v>
      </c>
      <c r="I24" s="93"/>
    </row>
    <row r="25" spans="2:28">
      <c r="B25" s="92" t="str">
        <f>"CPI " &amp;$E$10</f>
        <v>CPI 2019</v>
      </c>
      <c r="C25" s="97"/>
      <c r="D25" s="97"/>
      <c r="E25" s="138">
        <f>VLOOKUP(B25,G$15:H$23,2,FALSE)</f>
        <v>2.0776874435411097E-2</v>
      </c>
      <c r="F25" s="155" t="s">
        <v>96</v>
      </c>
      <c r="G25" s="128"/>
      <c r="H25" s="128"/>
      <c r="I25" s="93"/>
    </row>
    <row r="26" spans="2:28">
      <c r="B26" s="92" t="str">
        <f>"CPI " &amp;$E$9</f>
        <v>CPI 2020</v>
      </c>
      <c r="C26" s="97"/>
      <c r="D26" s="97"/>
      <c r="E26" s="138">
        <f>VLOOKUP(B26,G$15:H$23,2,FALSE)</f>
        <v>1.5929203539823078E-2</v>
      </c>
      <c r="F26" s="155" t="s">
        <v>73</v>
      </c>
      <c r="G26" s="128"/>
      <c r="H26" s="128"/>
      <c r="I26" s="93"/>
    </row>
    <row r="27" spans="2:28">
      <c r="B27" s="92" t="str">
        <f>"CPI " &amp;$E$8</f>
        <v>CPI HY21</v>
      </c>
      <c r="C27" s="97"/>
      <c r="D27" s="97"/>
      <c r="E27" s="138">
        <f>VLOOKUP(B27,G$15:H$23,2,FALSE)</f>
        <v>1.2195121951219523E-2</v>
      </c>
      <c r="F27" s="155" t="s">
        <v>72</v>
      </c>
      <c r="G27" s="128"/>
      <c r="H27" s="128"/>
      <c r="I27" s="93"/>
    </row>
    <row r="28" spans="2:28">
      <c r="B28" s="92" t="str">
        <f>"CPI " &amp;$E$7</f>
        <v>CPI 2021/22</v>
      </c>
      <c r="C28" s="97"/>
      <c r="D28" s="97"/>
      <c r="E28" s="138">
        <f>VLOOKUP(B28,G$15:H$23,2,FALSE)</f>
        <v>8.6058519793459354E-3</v>
      </c>
      <c r="F28" s="155" t="s">
        <v>77</v>
      </c>
      <c r="G28" s="128"/>
      <c r="H28" s="128"/>
      <c r="I28" s="93"/>
    </row>
    <row r="29" spans="2:28" ht="13.5" thickBot="1">
      <c r="B29" s="94"/>
      <c r="C29" s="98"/>
      <c r="D29" s="98"/>
      <c r="E29" s="98"/>
      <c r="F29" s="98"/>
      <c r="G29" s="98"/>
      <c r="H29" s="98"/>
      <c r="I29" s="95"/>
    </row>
    <row r="31" spans="2:28" ht="13.5" thickBot="1"/>
    <row r="32" spans="2:28">
      <c r="B32" s="305" t="s">
        <v>78</v>
      </c>
      <c r="C32" s="306"/>
      <c r="D32" s="307"/>
      <c r="E32" s="128"/>
      <c r="F32" s="298"/>
      <c r="G32" s="299"/>
      <c r="H32" s="299"/>
      <c r="I32" s="292"/>
      <c r="J32" s="299"/>
      <c r="K32" s="300"/>
      <c r="L32" s="300"/>
      <c r="M32" s="300"/>
      <c r="N32" s="301"/>
    </row>
    <row r="33" spans="2:15">
      <c r="B33" s="308" t="str">
        <f>$E$7</f>
        <v>2021/22</v>
      </c>
      <c r="C33" s="289"/>
      <c r="D33" s="309"/>
      <c r="E33" s="85"/>
      <c r="F33" s="302" t="s">
        <v>104</v>
      </c>
      <c r="G33" s="139" t="s">
        <v>103</v>
      </c>
      <c r="H33" s="139" t="s">
        <v>105</v>
      </c>
      <c r="I33" s="140" t="s">
        <v>106</v>
      </c>
      <c r="J33" s="139" t="s">
        <v>107</v>
      </c>
      <c r="K33" s="149"/>
      <c r="L33" s="291">
        <v>2019</v>
      </c>
      <c r="M33" s="291">
        <v>2020</v>
      </c>
      <c r="N33" s="303" t="s">
        <v>113</v>
      </c>
    </row>
    <row r="34" spans="2:15">
      <c r="B34" s="141" t="str">
        <f>$B$47</f>
        <v>AusNet Services</v>
      </c>
      <c r="C34" s="128"/>
      <c r="D34" s="142">
        <f>HLOOKUP($B$33,$F$33:$J$38,2,FALSE)</f>
        <v>2.7779190487684468E-2</v>
      </c>
      <c r="E34" s="128"/>
      <c r="F34" s="405">
        <v>2.7779190487684468E-2</v>
      </c>
      <c r="G34" s="406">
        <v>2.59576697431112E-2</v>
      </c>
      <c r="H34" s="407">
        <v>2.4136148998538064E-2</v>
      </c>
      <c r="I34" s="406">
        <v>2.2314628253964928E-2</v>
      </c>
      <c r="J34" s="407">
        <v>2.0493107509391796E-2</v>
      </c>
      <c r="K34" s="149"/>
      <c r="L34" s="408">
        <v>3.7427334064515393E-2</v>
      </c>
      <c r="M34" s="408">
        <v>3.6258595682746808E-2</v>
      </c>
      <c r="N34" s="409">
        <v>1.2006969247515809E-2</v>
      </c>
    </row>
    <row r="35" spans="2:15">
      <c r="B35" s="141" t="str">
        <f>$B$48</f>
        <v>CitiPower</v>
      </c>
      <c r="C35" s="128"/>
      <c r="D35" s="142">
        <f>HLOOKUP($B$33,$F$33:$J$38,3,FALSE)</f>
        <v>2.6738665770133396E-2</v>
      </c>
      <c r="E35" s="128"/>
      <c r="F35" s="405">
        <v>2.6738665770133396E-2</v>
      </c>
      <c r="G35" s="406">
        <v>2.4903607047524857E-2</v>
      </c>
      <c r="H35" s="407">
        <v>2.3068548324916317E-2</v>
      </c>
      <c r="I35" s="406">
        <v>2.1233489602307642E-2</v>
      </c>
      <c r="J35" s="407">
        <v>1.9398430879698968E-2</v>
      </c>
      <c r="K35" s="149"/>
      <c r="L35" s="408">
        <v>3.5080474747029383E-2</v>
      </c>
      <c r="M35" s="408">
        <v>3.3621044143256104E-2</v>
      </c>
      <c r="N35" s="409">
        <v>1.1767001750233951E-2</v>
      </c>
    </row>
    <row r="36" spans="2:15">
      <c r="B36" s="141" t="str">
        <f>$B$49</f>
        <v>Jemena</v>
      </c>
      <c r="C36" s="128"/>
      <c r="D36" s="142">
        <f>HLOOKUP($B$33,$F$33:$J$38,4,FALSE)</f>
        <v>2.8504498758880059E-2</v>
      </c>
      <c r="E36" s="128"/>
      <c r="F36" s="405">
        <v>2.8504498758880059E-2</v>
      </c>
      <c r="G36" s="406">
        <v>2.6413525074088631E-2</v>
      </c>
      <c r="H36" s="407">
        <v>2.4322551389297196E-2</v>
      </c>
      <c r="I36" s="406">
        <v>2.2231577704505769E-2</v>
      </c>
      <c r="J36" s="407">
        <v>2.0140604019714337E-2</v>
      </c>
      <c r="K36" s="149"/>
      <c r="L36" s="408">
        <v>3.7669116070430331E-2</v>
      </c>
      <c r="M36" s="408">
        <v>3.6561951019833616E-2</v>
      </c>
      <c r="N36" s="409">
        <v>1.2159804517669136E-2</v>
      </c>
    </row>
    <row r="37" spans="2:15">
      <c r="B37" s="141" t="str">
        <f>$B$50</f>
        <v>Powercor</v>
      </c>
      <c r="C37" s="128"/>
      <c r="D37" s="142">
        <f>HLOOKUP($B$33,$F$33:$J$38,5,FALSE)</f>
        <v>2.6738665770133396E-2</v>
      </c>
      <c r="E37" s="128"/>
      <c r="F37" s="405">
        <v>2.6738665770133396E-2</v>
      </c>
      <c r="G37" s="406">
        <v>2.4903607047524857E-2</v>
      </c>
      <c r="H37" s="407">
        <v>2.3068548324916317E-2</v>
      </c>
      <c r="I37" s="406">
        <v>2.1233489602307642E-2</v>
      </c>
      <c r="J37" s="407">
        <v>1.9398430879698968E-2</v>
      </c>
      <c r="K37" s="149"/>
      <c r="L37" s="408">
        <v>3.5080474747029383E-2</v>
      </c>
      <c r="M37" s="408">
        <v>3.3621044143256104E-2</v>
      </c>
      <c r="N37" s="409">
        <v>1.1767001750233951E-2</v>
      </c>
    </row>
    <row r="38" spans="2:15">
      <c r="B38" s="141" t="str">
        <f>$B$51</f>
        <v>United Energy</v>
      </c>
      <c r="C38" s="128"/>
      <c r="D38" s="142">
        <f>HLOOKUP($B$33,$F$33:$J$38,6,FALSE)</f>
        <v>2.7065292365717621E-2</v>
      </c>
      <c r="E38" s="128"/>
      <c r="F38" s="405">
        <v>2.7065292365717621E-2</v>
      </c>
      <c r="G38" s="406">
        <v>2.5162393825536089E-2</v>
      </c>
      <c r="H38" s="407">
        <v>2.3259495285354558E-2</v>
      </c>
      <c r="I38" s="406">
        <v>2.1356596745173165E-2</v>
      </c>
      <c r="J38" s="407">
        <v>1.9453698204991633E-2</v>
      </c>
      <c r="K38" s="149"/>
      <c r="L38" s="408">
        <v>3.7516149645275165E-2</v>
      </c>
      <c r="M38" s="408">
        <v>3.6002053810034157E-2</v>
      </c>
      <c r="N38" s="764">
        <v>1.1743753013586388E-2</v>
      </c>
      <c r="O38" s="145"/>
    </row>
    <row r="39" spans="2:15">
      <c r="B39" s="141"/>
      <c r="C39" s="128"/>
      <c r="D39" s="142"/>
      <c r="E39" s="128"/>
      <c r="F39" s="154"/>
      <c r="G39" s="319"/>
      <c r="H39" s="317"/>
      <c r="I39" s="319"/>
      <c r="J39" s="317"/>
      <c r="K39" s="149"/>
      <c r="L39" s="149"/>
      <c r="M39" s="149"/>
      <c r="N39" s="297"/>
    </row>
    <row r="40" spans="2:15" ht="13.5" thickBot="1">
      <c r="B40" s="337" t="str">
        <f>"rvw (t) "&amp;E$7</f>
        <v>rvw (t) 2021/22</v>
      </c>
      <c r="C40" s="338"/>
      <c r="D40" s="339">
        <f>VLOOKUP(E$3,B34:D38,3,FALSE)</f>
        <v>2.7065292365717621E-2</v>
      </c>
      <c r="E40" s="155" t="s">
        <v>77</v>
      </c>
      <c r="F40" s="335">
        <f>VLOOKUP($E$3,$B$34:$J$38,5,FALSE)</f>
        <v>2.7065292365717621E-2</v>
      </c>
      <c r="G40" s="336">
        <f>VLOOKUP($E$3,$B34:$J$38,6,FALSE)</f>
        <v>2.5162393825536089E-2</v>
      </c>
      <c r="H40" s="333">
        <f>VLOOKUP($E$3,$B$34:$J$38,7,FALSE)</f>
        <v>2.3259495285354558E-2</v>
      </c>
      <c r="I40" s="336">
        <f>VLOOKUP($E$3,$B$34:$J$38,8,FALSE)</f>
        <v>2.1356596745173165E-2</v>
      </c>
      <c r="J40" s="333">
        <f>VLOOKUP($E$3,$B$34:$J$38,9,FALSE)</f>
        <v>1.9453698204991633E-2</v>
      </c>
      <c r="K40" s="304"/>
      <c r="L40" s="333">
        <f>VLOOKUP($E$3,$B$34:$N$38,11,FALSE)</f>
        <v>3.7516149645275165E-2</v>
      </c>
      <c r="M40" s="333">
        <f>VLOOKUP($E$3,$B$34:$N$38,12,FALSE)</f>
        <v>3.6002053810034157E-2</v>
      </c>
      <c r="N40" s="334">
        <f>VLOOKUP($E$3,$B$34:$N$38,13,FALSE)</f>
        <v>1.1743753013586388E-2</v>
      </c>
    </row>
    <row r="41" spans="2:15">
      <c r="B41" s="340" t="str">
        <f>"rvw for "&amp;E$8</f>
        <v>rvw for HY21</v>
      </c>
      <c r="C41" s="341"/>
      <c r="D41" s="342">
        <f>HLOOKUP($E8,F$33:N$40,8,FALSE)</f>
        <v>1.1743753013586388E-2</v>
      </c>
      <c r="E41" s="144" t="s">
        <v>72</v>
      </c>
    </row>
    <row r="42" spans="2:15">
      <c r="B42" s="340" t="str">
        <f>"rvw for "&amp;E$9</f>
        <v>rvw for 2020</v>
      </c>
      <c r="C42" s="341"/>
      <c r="D42" s="342">
        <f>HLOOKUP($E9,F$33:N$40,8,FALSE)</f>
        <v>3.6002053810034157E-2</v>
      </c>
      <c r="E42" s="144" t="s">
        <v>73</v>
      </c>
    </row>
    <row r="43" spans="2:15" ht="13.5" thickBot="1">
      <c r="B43" s="343" t="str">
        <f>"rvw for "&amp;E$10</f>
        <v>rvw for 2019</v>
      </c>
      <c r="C43" s="344"/>
      <c r="D43" s="345">
        <f>HLOOKUP($E10,F$33:N$40,8,FALSE)</f>
        <v>3.7516149645275165E-2</v>
      </c>
      <c r="E43" s="144" t="s">
        <v>96</v>
      </c>
    </row>
    <row r="45" spans="2:15" ht="13.5" thickBot="1">
      <c r="B45" s="145" t="s">
        <v>71</v>
      </c>
      <c r="C45" s="145"/>
    </row>
    <row r="46" spans="2:15">
      <c r="B46" s="146" t="str">
        <f>E7</f>
        <v>2021/22</v>
      </c>
      <c r="C46" s="151"/>
      <c r="D46" s="143"/>
      <c r="F46" s="293" t="s">
        <v>104</v>
      </c>
      <c r="G46" s="294" t="s">
        <v>103</v>
      </c>
      <c r="H46" s="294" t="s">
        <v>105</v>
      </c>
      <c r="I46" s="294" t="s">
        <v>106</v>
      </c>
      <c r="J46" s="295" t="s">
        <v>107</v>
      </c>
    </row>
    <row r="47" spans="2:15">
      <c r="B47" s="141" t="s">
        <v>17</v>
      </c>
      <c r="C47" s="128"/>
      <c r="D47" s="147" t="str">
        <f>IF(E$7="2021/22","n/a",HLOOKUP($B$46,$G$46:$J$51,2,FALSE))</f>
        <v>n/a</v>
      </c>
      <c r="F47" s="410">
        <v>690786240.19554794</v>
      </c>
      <c r="G47" s="407">
        <v>1.7261118507287343E-2</v>
      </c>
      <c r="H47" s="407">
        <v>1.7261118507287343E-2</v>
      </c>
      <c r="I47" s="407">
        <v>1.7261118507287343E-2</v>
      </c>
      <c r="J47" s="411">
        <v>1.7261118507287343E-2</v>
      </c>
      <c r="L47" s="271"/>
    </row>
    <row r="48" spans="2:15">
      <c r="B48" s="231" t="s">
        <v>13</v>
      </c>
      <c r="C48" s="153"/>
      <c r="D48" s="147" t="str">
        <f>IF(E$7="2021/22","n/a",HLOOKUP($B$46,$G$46:$J$51,2,FALSE))</f>
        <v>n/a</v>
      </c>
      <c r="F48" s="410">
        <v>291393865.81513411</v>
      </c>
      <c r="G48" s="407">
        <v>0.01</v>
      </c>
      <c r="H48" s="407">
        <v>0.01</v>
      </c>
      <c r="I48" s="407">
        <v>0.01</v>
      </c>
      <c r="J48" s="411">
        <v>0.01</v>
      </c>
      <c r="L48" s="271"/>
    </row>
    <row r="49" spans="2:15">
      <c r="B49" s="141" t="s">
        <v>12</v>
      </c>
      <c r="C49" s="128"/>
      <c r="D49" s="147" t="str">
        <f>IF(E$7="2021/22","n/a",HLOOKUP($B$46,$G$46:$J$51,2,FALSE))</f>
        <v>n/a</v>
      </c>
      <c r="F49" s="410">
        <v>261430320.04919395</v>
      </c>
      <c r="G49" s="407">
        <v>8.9999999999999993E-3</v>
      </c>
      <c r="H49" s="407">
        <v>8.9999999999999993E-3</v>
      </c>
      <c r="I49" s="407">
        <v>8.9999999999999993E-3</v>
      </c>
      <c r="J49" s="411">
        <v>8.9999999999999993E-3</v>
      </c>
      <c r="L49" s="272"/>
      <c r="N49" s="273"/>
    </row>
    <row r="50" spans="2:15">
      <c r="B50" s="141" t="s">
        <v>14</v>
      </c>
      <c r="C50" s="128"/>
      <c r="D50" s="147" t="str">
        <f>IF(E$7="2021/22","n/a",HLOOKUP($B$46,$G$46:$J$51,2,FALSE))</f>
        <v>n/a</v>
      </c>
      <c r="F50" s="410">
        <v>664476590.42818999</v>
      </c>
      <c r="G50" s="407">
        <v>1E-3</v>
      </c>
      <c r="H50" s="407">
        <v>1E-3</v>
      </c>
      <c r="I50" s="407">
        <v>1E-3</v>
      </c>
      <c r="J50" s="411">
        <v>1E-3</v>
      </c>
      <c r="L50" s="150"/>
      <c r="M50" s="274"/>
      <c r="N50" s="275"/>
    </row>
    <row r="51" spans="2:15">
      <c r="B51" s="141" t="s">
        <v>15</v>
      </c>
      <c r="C51" s="128"/>
      <c r="D51" s="147" t="str">
        <f>IF(E$7="2021/22","n/a",HLOOKUP($B$46,$G$46:$J$51,2,FALSE))</f>
        <v>n/a</v>
      </c>
      <c r="F51" s="410">
        <v>412785124.19457853</v>
      </c>
      <c r="G51" s="407">
        <v>1.4999999999999999E-2</v>
      </c>
      <c r="H51" s="407">
        <v>1.4999999999999999E-2</v>
      </c>
      <c r="I51" s="407">
        <v>1.4999999999999999E-2</v>
      </c>
      <c r="J51" s="411">
        <v>1.4999999999999999E-2</v>
      </c>
    </row>
    <row r="52" spans="2:15">
      <c r="B52" s="141"/>
      <c r="C52" s="128"/>
      <c r="D52" s="142"/>
      <c r="F52" s="296"/>
      <c r="G52" s="149"/>
      <c r="H52" s="149"/>
      <c r="I52" s="149"/>
      <c r="J52" s="297"/>
    </row>
    <row r="53" spans="2:15" ht="13.5" thickBot="1">
      <c r="B53" s="346" t="str">
        <f>"Xt for "&amp;E$7</f>
        <v>Xt for 2021/22</v>
      </c>
      <c r="C53" s="347"/>
      <c r="D53" s="348" t="str">
        <f>VLOOKUP(E$3,B47:D51,3,FALSE)</f>
        <v>n/a</v>
      </c>
      <c r="F53" s="349">
        <f>VLOOKUP($E$3,$B$47:$J$51,5,FALSE)</f>
        <v>412785124.19457853</v>
      </c>
      <c r="G53" s="333">
        <f>VLOOKUP($E$3,$B$47:$J$51,6,FALSE)</f>
        <v>1.4999999999999999E-2</v>
      </c>
      <c r="H53" s="333">
        <f>VLOOKUP($E$3,$B$47:$J$51,7,FALSE)</f>
        <v>1.4999999999999999E-2</v>
      </c>
      <c r="I53" s="333">
        <f>VLOOKUP($E$3,$B$47:$J$51,8,FALSE)</f>
        <v>1.4999999999999999E-2</v>
      </c>
      <c r="J53" s="334">
        <f>VLOOKUP($E$3,$B$47:$J$51,9,FALSE)</f>
        <v>1.4999999999999999E-2</v>
      </c>
    </row>
    <row r="55" spans="2:15" ht="13.5" thickBot="1">
      <c r="B55" s="145" t="s">
        <v>116</v>
      </c>
      <c r="C55" s="145"/>
      <c r="F55" s="150"/>
    </row>
    <row r="56" spans="2:15">
      <c r="B56" s="356" t="s">
        <v>16</v>
      </c>
      <c r="C56" s="357"/>
      <c r="D56" s="292" t="str">
        <f>$E$7</f>
        <v>2021/22</v>
      </c>
      <c r="E56" s="148"/>
      <c r="F56" s="314" t="s">
        <v>104</v>
      </c>
      <c r="G56" s="315" t="s">
        <v>103</v>
      </c>
      <c r="H56" s="315" t="s">
        <v>105</v>
      </c>
      <c r="I56" s="315" t="s">
        <v>106</v>
      </c>
      <c r="J56" s="316" t="s">
        <v>107</v>
      </c>
      <c r="K56" s="128"/>
      <c r="L56" s="128"/>
    </row>
    <row r="57" spans="2:15">
      <c r="B57" s="141" t="str">
        <f>$B$47</f>
        <v>AusNet Services</v>
      </c>
      <c r="C57" s="128"/>
      <c r="D57" s="323">
        <f>HLOOKUP($D$56,$F$56:$J$61,2,FALSE)</f>
        <v>404100</v>
      </c>
      <c r="E57" s="148"/>
      <c r="F57" s="329">
        <v>404100</v>
      </c>
      <c r="G57" s="412">
        <v>0</v>
      </c>
      <c r="H57" s="412">
        <v>0</v>
      </c>
      <c r="I57" s="412">
        <v>0</v>
      </c>
      <c r="J57" s="413">
        <v>0</v>
      </c>
      <c r="K57" s="128"/>
      <c r="L57" s="128"/>
    </row>
    <row r="58" spans="2:15">
      <c r="B58" s="141" t="str">
        <f>$B$48</f>
        <v>CitiPower</v>
      </c>
      <c r="C58" s="128"/>
      <c r="D58" s="323">
        <f>HLOOKUP($D$56,$F$56:$J$61,3,FALSE)</f>
        <v>31500</v>
      </c>
      <c r="E58" s="148"/>
      <c r="F58" s="329">
        <v>31500</v>
      </c>
      <c r="G58" s="412">
        <v>0</v>
      </c>
      <c r="H58" s="412">
        <v>0</v>
      </c>
      <c r="I58" s="412">
        <v>0</v>
      </c>
      <c r="J58" s="413">
        <v>0</v>
      </c>
      <c r="K58" s="128"/>
      <c r="L58" s="128"/>
    </row>
    <row r="59" spans="2:15">
      <c r="B59" s="141" t="str">
        <f>$B$49</f>
        <v>Jemena</v>
      </c>
      <c r="C59" s="128"/>
      <c r="D59" s="323">
        <f>HLOOKUP($D$56,$F$56:$J$61,4,FALSE)</f>
        <v>116400</v>
      </c>
      <c r="E59" s="148"/>
      <c r="F59" s="329">
        <v>116400</v>
      </c>
      <c r="G59" s="412">
        <v>0</v>
      </c>
      <c r="H59" s="412">
        <v>0</v>
      </c>
      <c r="I59" s="412">
        <v>0</v>
      </c>
      <c r="J59" s="413">
        <v>0</v>
      </c>
      <c r="K59" s="128"/>
      <c r="L59" s="128"/>
      <c r="N59" s="83"/>
      <c r="O59" s="83"/>
    </row>
    <row r="60" spans="2:15">
      <c r="B60" s="141" t="str">
        <f>$B$50</f>
        <v>Powercor</v>
      </c>
      <c r="C60" s="128"/>
      <c r="D60" s="323">
        <f>HLOOKUP($D$56,$F$56:$J$61,5,FALSE)</f>
        <v>3745200</v>
      </c>
      <c r="E60" s="148"/>
      <c r="F60" s="329">
        <v>3745200</v>
      </c>
      <c r="G60" s="412">
        <v>0</v>
      </c>
      <c r="H60" s="412">
        <v>0</v>
      </c>
      <c r="I60" s="412">
        <v>0</v>
      </c>
      <c r="J60" s="413">
        <v>0</v>
      </c>
      <c r="K60" s="128"/>
      <c r="L60" s="128"/>
    </row>
    <row r="61" spans="2:15">
      <c r="B61" s="141" t="str">
        <f>$B$51</f>
        <v>United Energy</v>
      </c>
      <c r="C61" s="128"/>
      <c r="D61" s="323">
        <f>HLOOKUP($D$56,$F$56:$J$61,6,FALSE)</f>
        <v>62400</v>
      </c>
      <c r="E61" s="148"/>
      <c r="F61" s="329">
        <v>62400</v>
      </c>
      <c r="G61" s="412">
        <v>0</v>
      </c>
      <c r="H61" s="412">
        <v>0</v>
      </c>
      <c r="I61" s="412">
        <v>0</v>
      </c>
      <c r="J61" s="413">
        <v>0</v>
      </c>
      <c r="K61" s="128"/>
      <c r="L61" s="128"/>
    </row>
    <row r="62" spans="2:15">
      <c r="B62" s="141"/>
      <c r="C62" s="128"/>
      <c r="D62" s="324"/>
      <c r="E62" s="148"/>
      <c r="F62" s="154"/>
      <c r="G62" s="317"/>
      <c r="H62" s="317"/>
      <c r="I62" s="317"/>
      <c r="J62" s="318"/>
      <c r="K62" s="128"/>
      <c r="L62" s="128"/>
    </row>
    <row r="63" spans="2:15" ht="13.5" thickBot="1">
      <c r="B63" s="350" t="str">
        <f>"f factor (t) "&amp;E$7</f>
        <v>f factor (t) 2021/22</v>
      </c>
      <c r="C63" s="351"/>
      <c r="D63" s="354">
        <f>VLOOKUP(E$3,B57:D61,3,FALSE)</f>
        <v>62400</v>
      </c>
      <c r="E63" s="148"/>
      <c r="F63" s="349">
        <f>VLOOKUP($E$3,$B$57:$J$61,5,FALSE)</f>
        <v>62400</v>
      </c>
      <c r="G63" s="352">
        <f>VLOOKUP($E$3,$B$57:$J$61,6,FALSE)</f>
        <v>0</v>
      </c>
      <c r="H63" s="352">
        <f>VLOOKUP($E$3,$B$57:$J$61,7,FALSE)</f>
        <v>0</v>
      </c>
      <c r="I63" s="352">
        <f>VLOOKUP($E$3,$B$57:$J$61,8,FALSE)</f>
        <v>0</v>
      </c>
      <c r="J63" s="353">
        <f>VLOOKUP($E$3,$B$57:$J$61,9,FALSE)</f>
        <v>0</v>
      </c>
      <c r="K63" s="128"/>
      <c r="L63" s="128"/>
    </row>
    <row r="64" spans="2:15" ht="13.5" thickBot="1">
      <c r="F64" s="150"/>
    </row>
    <row r="65" spans="2:18">
      <c r="B65" s="356" t="s">
        <v>147</v>
      </c>
      <c r="C65" s="357"/>
      <c r="D65" s="292" t="str">
        <f>$E$7</f>
        <v>2021/22</v>
      </c>
      <c r="E65" s="148"/>
      <c r="F65" s="293" t="s">
        <v>104</v>
      </c>
      <c r="G65" s="294" t="s">
        <v>103</v>
      </c>
      <c r="H65" s="294" t="s">
        <v>105</v>
      </c>
      <c r="I65" s="294" t="s">
        <v>106</v>
      </c>
      <c r="J65" s="295" t="s">
        <v>107</v>
      </c>
      <c r="K65" s="128"/>
      <c r="L65" s="681" t="s">
        <v>114</v>
      </c>
      <c r="M65" s="680"/>
      <c r="N65" s="680"/>
      <c r="O65" s="680"/>
      <c r="P65" s="680"/>
      <c r="Q65" s="680"/>
      <c r="R65" s="680"/>
    </row>
    <row r="66" spans="2:18">
      <c r="B66" s="141" t="str">
        <f>$B$47</f>
        <v>AusNet Services</v>
      </c>
      <c r="C66" s="128"/>
      <c r="D66" s="486">
        <f>HLOOKUP($D$65,$F$65:$J$70,2,FALSE)</f>
        <v>-5739373.4829396345</v>
      </c>
      <c r="E66" s="148"/>
      <c r="F66" s="487">
        <v>-5739373.4829396345</v>
      </c>
      <c r="G66" s="488">
        <v>0</v>
      </c>
      <c r="H66" s="488">
        <v>0</v>
      </c>
      <c r="I66" s="488">
        <v>0</v>
      </c>
      <c r="J66" s="489">
        <v>0</v>
      </c>
      <c r="K66" s="128"/>
      <c r="L66" s="128"/>
      <c r="M66" s="247"/>
    </row>
    <row r="67" spans="2:18">
      <c r="B67" s="141" t="str">
        <f>$B$48</f>
        <v>CitiPower</v>
      </c>
      <c r="C67" s="128"/>
      <c r="D67" s="486">
        <f>HLOOKUP($D$65,$F$65:$J$70,3,FALSE)</f>
        <v>8232190.1972744903</v>
      </c>
      <c r="E67" s="148"/>
      <c r="F67" s="487">
        <v>8232190.1972744903</v>
      </c>
      <c r="G67" s="488">
        <v>0</v>
      </c>
      <c r="H67" s="488">
        <v>0</v>
      </c>
      <c r="I67" s="488">
        <v>0</v>
      </c>
      <c r="J67" s="489">
        <v>0</v>
      </c>
      <c r="K67" s="128"/>
      <c r="L67" s="128"/>
      <c r="M67" s="247"/>
    </row>
    <row r="68" spans="2:18">
      <c r="B68" s="141" t="str">
        <f>$B$49</f>
        <v>Jemena</v>
      </c>
      <c r="C68" s="128"/>
      <c r="D68" s="486">
        <f>HLOOKUP($D$65,$F$65:$J$70,4,FALSE)</f>
        <v>4750418.67955318</v>
      </c>
      <c r="E68" s="148"/>
      <c r="F68" s="487">
        <v>4750418.67955318</v>
      </c>
      <c r="G68" s="488">
        <v>0</v>
      </c>
      <c r="H68" s="488">
        <v>0</v>
      </c>
      <c r="I68" s="488">
        <v>0</v>
      </c>
      <c r="J68" s="489">
        <v>0</v>
      </c>
      <c r="K68" s="128"/>
      <c r="L68" s="128"/>
      <c r="M68" s="247"/>
      <c r="N68" s="83"/>
      <c r="O68" s="83"/>
      <c r="P68" s="83"/>
      <c r="Q68" s="83"/>
    </row>
    <row r="69" spans="2:18">
      <c r="B69" s="141" t="str">
        <f>$B$50</f>
        <v>Powercor</v>
      </c>
      <c r="C69" s="128"/>
      <c r="D69" s="486">
        <f>HLOOKUP($D$65,$F$65:$J$70,5,FALSE)</f>
        <v>19459049.066352211</v>
      </c>
      <c r="E69" s="148"/>
      <c r="F69" s="487">
        <v>19459049.066352211</v>
      </c>
      <c r="G69" s="488">
        <v>0</v>
      </c>
      <c r="H69" s="488">
        <v>0</v>
      </c>
      <c r="I69" s="488">
        <v>0</v>
      </c>
      <c r="J69" s="489">
        <v>0</v>
      </c>
      <c r="K69" s="128"/>
      <c r="L69" s="128"/>
      <c r="M69" s="247"/>
    </row>
    <row r="70" spans="2:18">
      <c r="B70" s="141" t="str">
        <f>$B$51</f>
        <v>United Energy</v>
      </c>
      <c r="C70" s="128"/>
      <c r="D70" s="486">
        <f>HLOOKUP($D$65,$F$65:$J$70,6,FALSE)</f>
        <v>0</v>
      </c>
      <c r="E70" s="148"/>
      <c r="F70" s="765">
        <v>0</v>
      </c>
      <c r="G70" s="488">
        <v>0</v>
      </c>
      <c r="H70" s="488">
        <v>0</v>
      </c>
      <c r="I70" s="488">
        <v>0</v>
      </c>
      <c r="J70" s="489">
        <v>0</v>
      </c>
      <c r="K70" s="128"/>
      <c r="L70" s="763"/>
      <c r="M70" s="726"/>
    </row>
    <row r="71" spans="2:18">
      <c r="B71" s="141"/>
      <c r="C71" s="128"/>
      <c r="D71" s="232"/>
      <c r="E71" s="148"/>
      <c r="F71" s="154"/>
      <c r="G71" s="317"/>
      <c r="H71" s="317"/>
      <c r="I71" s="317"/>
      <c r="J71" s="318"/>
      <c r="K71" s="128"/>
      <c r="L71" s="128"/>
      <c r="M71" s="232"/>
    </row>
    <row r="72" spans="2:18" ht="13.5" thickBot="1">
      <c r="B72" s="350" t="str">
        <f>"S factor (t) "&amp;E$7</f>
        <v>S factor (t) 2021/22</v>
      </c>
      <c r="C72" s="351"/>
      <c r="D72" s="493">
        <f>VLOOKUP(E$3,B66:D70,3,FALSE)</f>
        <v>0</v>
      </c>
      <c r="E72" s="148"/>
      <c r="F72" s="490">
        <f>VLOOKUP($E$3,$B$66:$J$70,5,FALSE)</f>
        <v>0</v>
      </c>
      <c r="G72" s="491">
        <f>VLOOKUP($E$3,$B$66:$J$70,6,FALSE)</f>
        <v>0</v>
      </c>
      <c r="H72" s="491">
        <f>VLOOKUP($E$3,$B$66:$J$70,7,FALSE)</f>
        <v>0</v>
      </c>
      <c r="I72" s="491">
        <f>VLOOKUP($E$3,$B$66:$J$70,8,FALSE)</f>
        <v>0</v>
      </c>
      <c r="J72" s="492">
        <f>VLOOKUP($E$3,$B$66:$J$70,9,FALSE)</f>
        <v>0</v>
      </c>
      <c r="K72" s="128"/>
      <c r="L72" s="128"/>
      <c r="M72" s="232"/>
    </row>
    <row r="73" spans="2:18" ht="13.5" thickBot="1">
      <c r="F73" s="150"/>
    </row>
    <row r="74" spans="2:18">
      <c r="B74" s="356" t="s">
        <v>146</v>
      </c>
      <c r="C74" s="357"/>
      <c r="D74" s="292" t="str">
        <f>$E$7</f>
        <v>2021/22</v>
      </c>
      <c r="E74" s="148"/>
      <c r="F74" s="293" t="s">
        <v>104</v>
      </c>
      <c r="G74" s="294" t="s">
        <v>103</v>
      </c>
      <c r="H74" s="294" t="s">
        <v>105</v>
      </c>
      <c r="I74" s="294" t="s">
        <v>106</v>
      </c>
      <c r="J74" s="295" t="s">
        <v>107</v>
      </c>
    </row>
    <row r="75" spans="2:18">
      <c r="B75" s="141" t="str">
        <f>$B$47</f>
        <v>AusNet Services</v>
      </c>
      <c r="C75" s="128"/>
      <c r="D75" s="486">
        <f>HLOOKUP($D$74,$F$74:$J$79,2,FALSE)</f>
        <v>0</v>
      </c>
      <c r="E75" s="148"/>
      <c r="F75" s="508"/>
      <c r="G75" s="509"/>
      <c r="H75" s="488">
        <v>0</v>
      </c>
      <c r="I75" s="488">
        <v>0</v>
      </c>
      <c r="J75" s="489">
        <v>0</v>
      </c>
    </row>
    <row r="76" spans="2:18">
      <c r="B76" s="141" t="str">
        <f>$B$48</f>
        <v>CitiPower</v>
      </c>
      <c r="C76" s="128"/>
      <c r="D76" s="486">
        <f>HLOOKUP($D$74,$F$74:$J$79,3,FALSE)</f>
        <v>0</v>
      </c>
      <c r="E76" s="148"/>
      <c r="F76" s="508"/>
      <c r="G76" s="509"/>
      <c r="H76" s="488">
        <v>0</v>
      </c>
      <c r="I76" s="488">
        <v>0</v>
      </c>
      <c r="J76" s="489">
        <v>0</v>
      </c>
    </row>
    <row r="77" spans="2:18">
      <c r="B77" s="141" t="str">
        <f>$B$49</f>
        <v>Jemena</v>
      </c>
      <c r="C77" s="128"/>
      <c r="D77" s="486">
        <f>HLOOKUP($D$74,$F$74:$J$79,4,FALSE)</f>
        <v>0</v>
      </c>
      <c r="E77" s="148"/>
      <c r="F77" s="508"/>
      <c r="G77" s="509"/>
      <c r="H77" s="488">
        <v>0</v>
      </c>
      <c r="I77" s="488">
        <v>0</v>
      </c>
      <c r="J77" s="489">
        <v>0</v>
      </c>
    </row>
    <row r="78" spans="2:18">
      <c r="B78" s="141" t="str">
        <f>$B$50</f>
        <v>Powercor</v>
      </c>
      <c r="C78" s="128"/>
      <c r="D78" s="486">
        <f>HLOOKUP($D$74,$F$74:$J$79,5,FALSE)</f>
        <v>0</v>
      </c>
      <c r="E78" s="148"/>
      <c r="F78" s="508"/>
      <c r="G78" s="509"/>
      <c r="H78" s="488">
        <v>0</v>
      </c>
      <c r="I78" s="488">
        <v>0</v>
      </c>
      <c r="J78" s="489">
        <v>0</v>
      </c>
    </row>
    <row r="79" spans="2:18">
      <c r="B79" s="141" t="str">
        <f>$B$51</f>
        <v>United Energy</v>
      </c>
      <c r="C79" s="128"/>
      <c r="D79" s="486">
        <f>HLOOKUP($D$74,$F$74:$J$79,6,FALSE)</f>
        <v>0</v>
      </c>
      <c r="E79" s="148"/>
      <c r="F79" s="508"/>
      <c r="G79" s="509"/>
      <c r="H79" s="488">
        <v>0</v>
      </c>
      <c r="I79" s="488">
        <v>0</v>
      </c>
      <c r="J79" s="489">
        <v>0</v>
      </c>
    </row>
    <row r="80" spans="2:18">
      <c r="B80" s="141"/>
      <c r="C80" s="128"/>
      <c r="D80" s="232"/>
      <c r="E80" s="148"/>
      <c r="F80" s="154"/>
      <c r="G80" s="317"/>
      <c r="H80" s="317"/>
      <c r="I80" s="317"/>
      <c r="J80" s="318"/>
    </row>
    <row r="81" spans="2:18" ht="13.5" thickBot="1">
      <c r="B81" s="350" t="str">
        <f>"H factor (t) "&amp;E$7</f>
        <v>H factor (t) 2021/22</v>
      </c>
      <c r="C81" s="351"/>
      <c r="D81" s="493">
        <f>VLOOKUP(E$3,B75:D79,3,FALSE)</f>
        <v>0</v>
      </c>
      <c r="E81" s="148"/>
      <c r="F81" s="490">
        <f>VLOOKUP($E$3,$B$75:$J$79,5,FALSE)</f>
        <v>0</v>
      </c>
      <c r="G81" s="491">
        <f>VLOOKUP($E$3,$B$75:$J$79,6,FALSE)</f>
        <v>0</v>
      </c>
      <c r="H81" s="491">
        <f>VLOOKUP($E$3,$B$75:$J$79,7,FALSE)</f>
        <v>0</v>
      </c>
      <c r="I81" s="491">
        <f>VLOOKUP($E$3,$B$75:$J$79,8,FALSE)</f>
        <v>0</v>
      </c>
      <c r="J81" s="492">
        <f>VLOOKUP($E$3,$B$75:$J$79,9,FALSE)</f>
        <v>0</v>
      </c>
    </row>
    <row r="82" spans="2:18" ht="13.5" thickBot="1">
      <c r="F82" s="150"/>
    </row>
    <row r="83" spans="2:18">
      <c r="B83" s="356" t="s">
        <v>74</v>
      </c>
      <c r="C83" s="357"/>
      <c r="D83" s="292" t="str">
        <f>$E$7</f>
        <v>2021/22</v>
      </c>
      <c r="E83" s="148"/>
      <c r="F83" s="293" t="s">
        <v>104</v>
      </c>
      <c r="G83" s="294" t="s">
        <v>103</v>
      </c>
      <c r="H83" s="294" t="s">
        <v>105</v>
      </c>
      <c r="I83" s="294" t="s">
        <v>106</v>
      </c>
      <c r="J83" s="295" t="s">
        <v>107</v>
      </c>
      <c r="M83" s="711" t="s">
        <v>317</v>
      </c>
      <c r="N83" s="713" t="s">
        <v>113</v>
      </c>
    </row>
    <row r="84" spans="2:18">
      <c r="B84" s="141" t="str">
        <f>$B$47</f>
        <v>AusNet Services</v>
      </c>
      <c r="C84" s="128"/>
      <c r="D84" s="323">
        <f>HLOOKUP($D$83,$F$83:$J$88,2,FALSE)</f>
        <v>-326267.70389637316</v>
      </c>
      <c r="E84" s="148"/>
      <c r="F84" s="329">
        <f>0+(N84*((1+((1+F34)*(1+$H$19)-1))^0.5))</f>
        <v>-326267.70389637316</v>
      </c>
      <c r="G84" s="412">
        <v>0</v>
      </c>
      <c r="H84" s="412">
        <v>0</v>
      </c>
      <c r="I84" s="412">
        <v>0</v>
      </c>
      <c r="J84" s="413">
        <v>0</v>
      </c>
      <c r="M84" s="141" t="str">
        <f>B84</f>
        <v>AusNet Services</v>
      </c>
      <c r="N84" s="712">
        <v>-320452.3307408067</v>
      </c>
    </row>
    <row r="85" spans="2:18">
      <c r="B85" s="141" t="str">
        <f>$B$48</f>
        <v>CitiPower</v>
      </c>
      <c r="C85" s="128"/>
      <c r="D85" s="323">
        <f>HLOOKUP($D$83,$F$83:$J$88,3,FALSE)</f>
        <v>-421275.47697106475</v>
      </c>
      <c r="E85" s="148"/>
      <c r="F85" s="329">
        <f t="shared" ref="F85:F88" si="1">0+(N85*((1+((1+F35)*(1+$H$19)-1))^0.5))</f>
        <v>-421275.47697106475</v>
      </c>
      <c r="G85" s="412">
        <v>0</v>
      </c>
      <c r="H85" s="412">
        <v>0</v>
      </c>
      <c r="I85" s="412">
        <v>0</v>
      </c>
      <c r="J85" s="413">
        <v>0</v>
      </c>
      <c r="M85" s="141" t="str">
        <f>B85</f>
        <v>CitiPower</v>
      </c>
      <c r="N85" s="710">
        <v>-413976.29987341131</v>
      </c>
    </row>
    <row r="86" spans="2:18">
      <c r="B86" s="141" t="str">
        <f>$B$49</f>
        <v>Jemena</v>
      </c>
      <c r="C86" s="128"/>
      <c r="D86" s="323">
        <f>HLOOKUP($D$83,$F$83:$J$88,4,FALSE)</f>
        <v>-210034.93754417138</v>
      </c>
      <c r="E86" s="148"/>
      <c r="F86" s="329">
        <f t="shared" si="1"/>
        <v>-210034.93754417138</v>
      </c>
      <c r="G86" s="412">
        <v>0</v>
      </c>
      <c r="H86" s="412">
        <v>0</v>
      </c>
      <c r="I86" s="412">
        <v>0</v>
      </c>
      <c r="J86" s="413">
        <v>0</v>
      </c>
      <c r="M86" s="141" t="str">
        <f>B86</f>
        <v>Jemena</v>
      </c>
      <c r="N86" s="710">
        <v>-206218.53740757957</v>
      </c>
    </row>
    <row r="87" spans="2:18">
      <c r="B87" s="231" t="str">
        <f>$B$50</f>
        <v>Powercor</v>
      </c>
      <c r="C87" s="153"/>
      <c r="D87" s="323">
        <f>HLOOKUP($D$83,$F$83:$J$88,5,FALSE)</f>
        <v>-936602.72265771229</v>
      </c>
      <c r="E87" s="148"/>
      <c r="F87" s="329">
        <f t="shared" si="1"/>
        <v>-936602.72265771229</v>
      </c>
      <c r="G87" s="412">
        <v>0</v>
      </c>
      <c r="H87" s="412">
        <v>0</v>
      </c>
      <c r="I87" s="412">
        <v>0</v>
      </c>
      <c r="J87" s="413">
        <v>0</v>
      </c>
      <c r="M87" s="141" t="str">
        <f>B87</f>
        <v>Powercor</v>
      </c>
      <c r="N87" s="710">
        <v>-920374.79220238084</v>
      </c>
    </row>
    <row r="88" spans="2:18" ht="13.5" thickBot="1">
      <c r="B88" s="141" t="str">
        <f>$B$51</f>
        <v>United Energy</v>
      </c>
      <c r="C88" s="128"/>
      <c r="D88" s="323">
        <f>HLOOKUP($D$83,$F$83:$J$88,6,FALSE)</f>
        <v>-512728.71942023485</v>
      </c>
      <c r="E88" s="148"/>
      <c r="F88" s="329">
        <f t="shared" si="1"/>
        <v>-512728.71942023485</v>
      </c>
      <c r="G88" s="412">
        <v>0</v>
      </c>
      <c r="H88" s="412">
        <v>0</v>
      </c>
      <c r="I88" s="412">
        <v>0</v>
      </c>
      <c r="J88" s="413">
        <v>0</v>
      </c>
      <c r="M88" s="709" t="str">
        <f>B88</f>
        <v>United Energy</v>
      </c>
      <c r="N88" s="708">
        <v>-503764.8665158372</v>
      </c>
    </row>
    <row r="89" spans="2:18">
      <c r="B89" s="141"/>
      <c r="C89" s="128"/>
      <c r="D89" s="324"/>
      <c r="E89" s="148"/>
      <c r="F89" s="154"/>
      <c r="G89" s="317"/>
      <c r="H89" s="317"/>
      <c r="I89" s="317"/>
      <c r="J89" s="318"/>
    </row>
    <row r="90" spans="2:18" ht="13.5" thickBot="1">
      <c r="B90" s="346" t="str">
        <f>"Pass through amounts (t) "&amp;E$7</f>
        <v>Pass through amounts (t) 2021/22</v>
      </c>
      <c r="C90" s="347"/>
      <c r="D90" s="354">
        <f>VLOOKUP(E$3,B84:D88,3,FALSE)</f>
        <v>-512728.71942023485</v>
      </c>
      <c r="E90" s="148"/>
      <c r="F90" s="349">
        <f>VLOOKUP($E$3,$B$84:$J$88,5,FALSE)</f>
        <v>-512728.71942023485</v>
      </c>
      <c r="G90" s="352">
        <f>VLOOKUP($E$3,$B$84:$J$88,6,FALSE)</f>
        <v>0</v>
      </c>
      <c r="H90" s="352">
        <f>VLOOKUP($E$3,$B$84:$J$88,7,FALSE)</f>
        <v>0</v>
      </c>
      <c r="I90" s="352">
        <f>VLOOKUP($E$3,$B$84:$J$88,8,FALSE)</f>
        <v>0</v>
      </c>
      <c r="J90" s="353">
        <f>VLOOKUP($E$3,$B$84:$J$88,9,FALSE)</f>
        <v>0</v>
      </c>
    </row>
    <row r="91" spans="2:18" ht="13.5" thickBot="1">
      <c r="F91" s="150"/>
    </row>
    <row r="92" spans="2:18">
      <c r="B92" s="356" t="s">
        <v>295</v>
      </c>
      <c r="C92" s="357"/>
      <c r="D92" s="292" t="str">
        <f>IF(E9=2020,"2019/20",IF(E9="HY21","2020/21",E9))</f>
        <v>2019/20</v>
      </c>
      <c r="E92" s="148"/>
      <c r="F92" s="293" t="s">
        <v>149</v>
      </c>
      <c r="G92" s="294" t="s">
        <v>150</v>
      </c>
      <c r="H92" s="294" t="s">
        <v>104</v>
      </c>
      <c r="I92" s="294" t="s">
        <v>103</v>
      </c>
      <c r="J92" s="295" t="s">
        <v>105</v>
      </c>
      <c r="L92" s="680" t="s">
        <v>115</v>
      </c>
      <c r="M92" s="680"/>
      <c r="N92" s="680"/>
      <c r="O92" s="680"/>
      <c r="P92" s="680"/>
      <c r="Q92" s="680"/>
      <c r="R92" s="679"/>
    </row>
    <row r="93" spans="2:18">
      <c r="B93" s="141" t="str">
        <f>$B$47</f>
        <v>AusNet Services</v>
      </c>
      <c r="C93" s="128"/>
      <c r="D93" s="323">
        <f>HLOOKUP($D$92,$F$92:$J$97,2,FALSE)</f>
        <v>497439</v>
      </c>
      <c r="E93" s="148"/>
      <c r="F93" s="329">
        <v>497439</v>
      </c>
      <c r="G93" s="412">
        <v>0</v>
      </c>
      <c r="H93" s="412">
        <v>0</v>
      </c>
      <c r="I93" s="412">
        <v>0</v>
      </c>
      <c r="J93" s="413">
        <v>0</v>
      </c>
    </row>
    <row r="94" spans="2:18">
      <c r="B94" s="141" t="str">
        <f>$B$48</f>
        <v>CitiPower</v>
      </c>
      <c r="C94" s="128"/>
      <c r="D94" s="323">
        <f>HLOOKUP($D$92,$F$92:$J$97,3,FALSE)</f>
        <v>229777</v>
      </c>
      <c r="E94" s="148"/>
      <c r="F94" s="329">
        <v>229777</v>
      </c>
      <c r="G94" s="412">
        <v>0</v>
      </c>
      <c r="H94" s="412">
        <v>0</v>
      </c>
      <c r="I94" s="412">
        <v>0</v>
      </c>
      <c r="J94" s="413">
        <v>0</v>
      </c>
    </row>
    <row r="95" spans="2:18">
      <c r="B95" s="141" t="str">
        <f>$B$49</f>
        <v>Jemena</v>
      </c>
      <c r="C95" s="128"/>
      <c r="D95" s="323">
        <f>HLOOKUP($D$92,$F$92:$J$97,4,FALSE)</f>
        <v>230438</v>
      </c>
      <c r="E95" s="148"/>
      <c r="F95" s="329">
        <v>230438</v>
      </c>
      <c r="G95" s="412">
        <v>0</v>
      </c>
      <c r="H95" s="412">
        <v>0</v>
      </c>
      <c r="I95" s="412">
        <v>0</v>
      </c>
      <c r="J95" s="413">
        <v>0</v>
      </c>
    </row>
    <row r="96" spans="2:18">
      <c r="B96" s="231" t="str">
        <f>$B$50</f>
        <v>Powercor</v>
      </c>
      <c r="C96" s="153"/>
      <c r="D96" s="323">
        <f>HLOOKUP($D$92,$F$92:$J$97,5,FALSE)</f>
        <v>560434</v>
      </c>
      <c r="E96" s="148"/>
      <c r="F96" s="329">
        <v>560434</v>
      </c>
      <c r="G96" s="412">
        <v>0</v>
      </c>
      <c r="H96" s="412">
        <v>0</v>
      </c>
      <c r="I96" s="412">
        <v>0</v>
      </c>
      <c r="J96" s="413">
        <v>0</v>
      </c>
    </row>
    <row r="97" spans="2:16">
      <c r="B97" s="141" t="str">
        <f>$B$51</f>
        <v>United Energy</v>
      </c>
      <c r="C97" s="128"/>
      <c r="D97" s="323">
        <f>HLOOKUP($D$92,$F$92:$J$97,6,FALSE)</f>
        <v>459344</v>
      </c>
      <c r="E97" s="148"/>
      <c r="F97" s="329">
        <v>459344</v>
      </c>
      <c r="G97" s="412">
        <v>0</v>
      </c>
      <c r="H97" s="412">
        <v>0</v>
      </c>
      <c r="I97" s="412">
        <v>0</v>
      </c>
      <c r="J97" s="413">
        <v>0</v>
      </c>
    </row>
    <row r="98" spans="2:16">
      <c r="B98" s="141"/>
      <c r="C98" s="128"/>
      <c r="D98" s="324"/>
      <c r="E98" s="148"/>
      <c r="F98" s="154"/>
      <c r="G98" s="317"/>
      <c r="H98" s="317"/>
      <c r="I98" s="317"/>
      <c r="J98" s="318"/>
    </row>
    <row r="99" spans="2:16" ht="13.5" thickBot="1">
      <c r="B99" s="346" t="str">
        <f>"Licence Fee (t-2) "&amp;D92</f>
        <v>Licence Fee (t-2) 2019/20</v>
      </c>
      <c r="C99" s="347"/>
      <c r="D99" s="354">
        <f>VLOOKUP(E$3,B93:D97,3,FALSE)</f>
        <v>459344</v>
      </c>
      <c r="E99" s="148"/>
      <c r="F99" s="349">
        <f>VLOOKUP($E$3,$B$93:$J$97,5,FALSE)</f>
        <v>459344</v>
      </c>
      <c r="G99" s="352">
        <f>VLOOKUP($E$3,$B$93:$J$97,6,FALSE)</f>
        <v>0</v>
      </c>
      <c r="H99" s="352">
        <f>VLOOKUP($E$3,$B$93:$J$97,7,FALSE)</f>
        <v>0</v>
      </c>
      <c r="I99" s="352">
        <f>VLOOKUP($E$3,$B$93:$J$97,8,FALSE)</f>
        <v>0</v>
      </c>
      <c r="J99" s="353">
        <f>VLOOKUP($E$3,$B$93:$J$97,9,FALSE)</f>
        <v>0</v>
      </c>
    </row>
    <row r="100" spans="2:16" ht="13.5" thickBot="1">
      <c r="F100" s="150"/>
    </row>
    <row r="101" spans="2:16">
      <c r="B101" s="356" t="s">
        <v>160</v>
      </c>
      <c r="C101" s="357"/>
      <c r="D101" s="292" t="str">
        <f>$E$7</f>
        <v>2021/22</v>
      </c>
      <c r="E101" s="148"/>
      <c r="F101" s="293" t="s">
        <v>104</v>
      </c>
      <c r="G101" s="294" t="s">
        <v>103</v>
      </c>
      <c r="H101" s="294" t="s">
        <v>105</v>
      </c>
      <c r="I101" s="294" t="s">
        <v>106</v>
      </c>
      <c r="J101" s="295" t="s">
        <v>107</v>
      </c>
    </row>
    <row r="102" spans="2:16">
      <c r="B102" s="141" t="str">
        <f>$B$47</f>
        <v>AusNet Services</v>
      </c>
      <c r="C102" s="128"/>
      <c r="D102" s="501" t="str">
        <f>IF($D$101=$F$101,"n/a",HLOOKUP($D$101,$F$101:$J$106,2,FALSE))</f>
        <v>n/a</v>
      </c>
      <c r="E102" s="148"/>
      <c r="F102" s="688"/>
      <c r="G102" s="689"/>
      <c r="H102" s="689"/>
      <c r="I102" s="689"/>
      <c r="J102" s="690"/>
    </row>
    <row r="103" spans="2:16">
      <c r="B103" s="141" t="str">
        <f>$B$48</f>
        <v>CitiPower</v>
      </c>
      <c r="C103" s="128"/>
      <c r="D103" s="501" t="str">
        <f>IF($D$101=$F$101,"n/a",HLOOKUP($D$101,$F$101:$J$106,3,FALSE))</f>
        <v>n/a</v>
      </c>
      <c r="E103" s="148"/>
      <c r="F103" s="329">
        <v>0</v>
      </c>
      <c r="G103" s="503">
        <f>F103/4*((((1+M35)*(1+$H$17))^0.5))*(((1+N35)*(1+$H$18)))*(((1+F35)*(1+$H$19)))*((((1+G35)*(1+$H$20))^0.5))</f>
        <v>0</v>
      </c>
      <c r="H103" s="503">
        <f>F103/4*((((1+M35)*(1+$H$17))^0.5))*(((1+N35)*(1+$H$18)))*(((1+F35)*(1+$H$19)))*(((1+G35)*(1+$H$20)))*((((1+H35)*(1+$H$21))^0.5))</f>
        <v>0</v>
      </c>
      <c r="I103" s="503">
        <f>F103/4*((((1+M35)*(1+$H$17))^0.5))*(((1+N35)*(1+$H$18)))*(((1+F35)*(1+$H$19)))*(((1+G35)*(1+$H$20)))*(((1+H35)*(1+$H$21)))*((((1+I35)*(1+$H$22))^0.5))</f>
        <v>0</v>
      </c>
      <c r="J103" s="504">
        <f>F103/4*((((1+M35)*(1+$H$17))^0.5))*(((1+N35)*(1+$H$18)))*(((1+F35)*(1+$H$19)))*(((1+G35)*(1+$H$20)))*(((1+H35)*(1+$H$21)))*(((1+I35)*(1+$H$22)))*((((1+J35)*(1+$H$23))^0.5))</f>
        <v>0</v>
      </c>
      <c r="L103" s="680" t="s">
        <v>316</v>
      </c>
      <c r="M103" s="679"/>
      <c r="N103" s="679"/>
      <c r="O103" s="679"/>
      <c r="P103" s="679"/>
    </row>
    <row r="104" spans="2:16">
      <c r="B104" s="141" t="str">
        <f>$B$49</f>
        <v>Jemena</v>
      </c>
      <c r="C104" s="128"/>
      <c r="D104" s="501" t="str">
        <f>IF($D$101=$F$101,"n/a",HLOOKUP($D$101,$F$101:$J$106,4,FALSE))</f>
        <v>n/a</v>
      </c>
      <c r="E104" s="148"/>
      <c r="F104" s="688"/>
      <c r="G104" s="689"/>
      <c r="H104" s="689"/>
      <c r="I104" s="689"/>
      <c r="J104" s="690"/>
    </row>
    <row r="105" spans="2:16">
      <c r="B105" s="231" t="str">
        <f>$B$50</f>
        <v>Powercor</v>
      </c>
      <c r="C105" s="153"/>
      <c r="D105" s="501" t="str">
        <f>IF($D$101=$F$101,"n/a",HLOOKUP($D$101,$F$101:$J$106,5,FALSE))</f>
        <v>n/a</v>
      </c>
      <c r="E105" s="148"/>
      <c r="F105" s="688"/>
      <c r="G105" s="689"/>
      <c r="H105" s="689"/>
      <c r="I105" s="689"/>
      <c r="J105" s="690"/>
    </row>
    <row r="106" spans="2:16">
      <c r="B106" s="141" t="str">
        <f>$B$51</f>
        <v>United Energy</v>
      </c>
      <c r="C106" s="128"/>
      <c r="D106" s="501" t="str">
        <f>IF($D$101=$F$101,"n/a",HLOOKUP($D$101,$F$101:$J$106,6,FALSE))</f>
        <v>n/a</v>
      </c>
      <c r="E106" s="148"/>
      <c r="F106" s="688"/>
      <c r="G106" s="689"/>
      <c r="H106" s="689"/>
      <c r="I106" s="689"/>
      <c r="J106" s="690"/>
    </row>
    <row r="107" spans="2:16">
      <c r="B107" s="141"/>
      <c r="C107" s="128"/>
      <c r="D107" s="324"/>
      <c r="E107" s="148"/>
      <c r="F107" s="154"/>
      <c r="G107" s="317"/>
      <c r="H107" s="317"/>
      <c r="I107" s="317"/>
      <c r="J107" s="318"/>
    </row>
    <row r="108" spans="2:16" ht="13.5" thickBot="1">
      <c r="B108" s="495" t="str">
        <f>"P factor (t) "&amp;D101</f>
        <v>P factor (t) 2021/22</v>
      </c>
      <c r="C108" s="496"/>
      <c r="D108" s="502" t="str">
        <f>VLOOKUP(E$3,B102:D106,3,FALSE)</f>
        <v>n/a</v>
      </c>
      <c r="E108" s="148"/>
      <c r="F108" s="349">
        <f>VLOOKUP($E$3,$B$102:$J$106,5,FALSE)</f>
        <v>0</v>
      </c>
      <c r="G108" s="352">
        <f>VLOOKUP($E$3,$B$102:$J$106,6,FALSE)</f>
        <v>0</v>
      </c>
      <c r="H108" s="352">
        <f>VLOOKUP($E$3,$B$102:$J$106,7,FALSE)</f>
        <v>0</v>
      </c>
      <c r="I108" s="352">
        <f>VLOOKUP($E$3,$B$102:$J$106,8,FALSE)</f>
        <v>0</v>
      </c>
      <c r="J108" s="353">
        <f>VLOOKUP($E$3,$B$102:$J$106,9,FALSE)</f>
        <v>0</v>
      </c>
    </row>
    <row r="109" spans="2:16" ht="13.5" thickBot="1">
      <c r="F109" s="150"/>
    </row>
    <row r="110" spans="2:16">
      <c r="B110" s="356" t="s">
        <v>163</v>
      </c>
      <c r="C110" s="357"/>
      <c r="D110" s="292" t="str">
        <f>$E$7</f>
        <v>2021/22</v>
      </c>
      <c r="E110" s="148"/>
      <c r="F110" s="293" t="s">
        <v>104</v>
      </c>
      <c r="G110" s="294" t="s">
        <v>103</v>
      </c>
      <c r="H110" s="294" t="s">
        <v>105</v>
      </c>
      <c r="I110" s="294" t="s">
        <v>106</v>
      </c>
      <c r="J110" s="295" t="s">
        <v>107</v>
      </c>
    </row>
    <row r="111" spans="2:16">
      <c r="B111" s="141" t="str">
        <f>$B$47</f>
        <v>AusNet Services</v>
      </c>
      <c r="C111" s="128"/>
      <c r="D111" s="323">
        <f>HLOOKUP($D$110,$F$110:$J$115,2,FALSE)</f>
        <v>0</v>
      </c>
      <c r="E111" s="148"/>
      <c r="F111" s="505">
        <v>0</v>
      </c>
      <c r="G111" s="412">
        <v>0</v>
      </c>
      <c r="H111" s="506">
        <v>0</v>
      </c>
      <c r="I111" s="506">
        <v>0</v>
      </c>
      <c r="J111" s="507">
        <v>0</v>
      </c>
    </row>
    <row r="112" spans="2:16">
      <c r="B112" s="141" t="str">
        <f>$B$48</f>
        <v>CitiPower</v>
      </c>
      <c r="C112" s="128"/>
      <c r="D112" s="323">
        <f>HLOOKUP($D$110,$F$110:$J$115,3,FALSE)</f>
        <v>0</v>
      </c>
      <c r="E112" s="148"/>
      <c r="F112" s="505">
        <v>0</v>
      </c>
      <c r="G112" s="412">
        <v>0</v>
      </c>
      <c r="H112" s="506">
        <v>0</v>
      </c>
      <c r="I112" s="506">
        <v>0</v>
      </c>
      <c r="J112" s="507">
        <v>0</v>
      </c>
    </row>
    <row r="113" spans="2:15">
      <c r="B113" s="141" t="str">
        <f>$B$49</f>
        <v>Jemena</v>
      </c>
      <c r="C113" s="128"/>
      <c r="D113" s="323">
        <f>HLOOKUP($D$110,$F$110:$J$115,4,FALSE)</f>
        <v>0</v>
      </c>
      <c r="E113" s="148"/>
      <c r="F113" s="505">
        <v>0</v>
      </c>
      <c r="G113" s="412">
        <v>0</v>
      </c>
      <c r="H113" s="506">
        <v>0</v>
      </c>
      <c r="I113" s="506">
        <v>0</v>
      </c>
      <c r="J113" s="507">
        <v>0</v>
      </c>
      <c r="M113" s="83"/>
      <c r="N113" s="83"/>
      <c r="O113" s="83"/>
    </row>
    <row r="114" spans="2:15">
      <c r="B114" s="231" t="str">
        <f>$B$50</f>
        <v>Powercor</v>
      </c>
      <c r="C114" s="153"/>
      <c r="D114" s="323">
        <f>HLOOKUP($D$110,$F$110:$J$115,5,FALSE)</f>
        <v>0</v>
      </c>
      <c r="E114" s="148"/>
      <c r="F114" s="505">
        <v>0</v>
      </c>
      <c r="G114" s="412">
        <v>0</v>
      </c>
      <c r="H114" s="506">
        <v>0</v>
      </c>
      <c r="I114" s="506">
        <v>0</v>
      </c>
      <c r="J114" s="507">
        <v>0</v>
      </c>
    </row>
    <row r="115" spans="2:15">
      <c r="B115" s="141" t="str">
        <f>$B$51</f>
        <v>United Energy</v>
      </c>
      <c r="C115" s="128"/>
      <c r="D115" s="323">
        <f>HLOOKUP($D$110,$F$110:$J$115,6,FALSE)</f>
        <v>166500</v>
      </c>
      <c r="E115" s="148"/>
      <c r="F115" s="505">
        <v>166500</v>
      </c>
      <c r="G115" s="412">
        <v>0</v>
      </c>
      <c r="H115" s="506">
        <v>0</v>
      </c>
      <c r="I115" s="506">
        <v>0</v>
      </c>
      <c r="J115" s="507">
        <v>0</v>
      </c>
    </row>
    <row r="116" spans="2:15">
      <c r="B116" s="141"/>
      <c r="C116" s="128"/>
      <c r="D116" s="324"/>
      <c r="E116" s="148"/>
      <c r="F116" s="154"/>
      <c r="G116" s="317"/>
      <c r="H116" s="317"/>
      <c r="I116" s="317"/>
      <c r="J116" s="318"/>
    </row>
    <row r="117" spans="2:15" ht="13.5" thickBot="1">
      <c r="B117" s="350" t="str">
        <f>"DMIS (t) "&amp;E$7</f>
        <v>DMIS (t) 2021/22</v>
      </c>
      <c r="C117" s="351"/>
      <c r="D117" s="354">
        <f>VLOOKUP(E$3,B111:D115,3,FALSE)</f>
        <v>166500</v>
      </c>
      <c r="E117" s="148"/>
      <c r="F117" s="349">
        <f>VLOOKUP($E$3,$B$111:$J$115,5,FALSE)</f>
        <v>166500</v>
      </c>
      <c r="G117" s="352">
        <f>VLOOKUP($E$3,$B$111:$J$115,6,FALSE)</f>
        <v>0</v>
      </c>
      <c r="H117" s="352">
        <f>VLOOKUP($E$3,$B$111:$J$115,7,FALSE)</f>
        <v>0</v>
      </c>
      <c r="I117" s="352">
        <f>VLOOKUP($E$3,$B$111:$J$115,8,FALSE)</f>
        <v>0</v>
      </c>
      <c r="J117" s="353">
        <f>VLOOKUP($E$3,$B$111:$J$115,9,FALSE)</f>
        <v>0</v>
      </c>
    </row>
    <row r="118" spans="2:15" ht="13.5" thickBot="1">
      <c r="F118" s="150"/>
    </row>
    <row r="119" spans="2:15">
      <c r="B119" s="356" t="s">
        <v>85</v>
      </c>
      <c r="C119" s="357"/>
      <c r="D119" s="292" t="str">
        <f>$E$7</f>
        <v>2021/22</v>
      </c>
      <c r="E119" s="148"/>
      <c r="F119" s="293" t="s">
        <v>104</v>
      </c>
      <c r="G119" s="294" t="s">
        <v>103</v>
      </c>
      <c r="H119" s="294" t="s">
        <v>105</v>
      </c>
      <c r="I119" s="294" t="s">
        <v>106</v>
      </c>
      <c r="J119" s="295" t="s">
        <v>107</v>
      </c>
    </row>
    <row r="120" spans="2:15">
      <c r="B120" s="141" t="str">
        <f>$B$47</f>
        <v>AusNet Services</v>
      </c>
      <c r="C120" s="128"/>
      <c r="D120" s="323">
        <f>HLOOKUP($D$119,$F$119:$J$124,2,FALSE)</f>
        <v>0</v>
      </c>
      <c r="E120" s="148"/>
      <c r="F120" s="320"/>
      <c r="G120" s="412">
        <v>0</v>
      </c>
      <c r="H120" s="321"/>
      <c r="I120" s="321"/>
      <c r="J120" s="322"/>
    </row>
    <row r="121" spans="2:15">
      <c r="B121" s="141" t="str">
        <f>$B$48</f>
        <v>CitiPower</v>
      </c>
      <c r="C121" s="128"/>
      <c r="D121" s="323">
        <f>HLOOKUP($D$119,$F$119:$J$124,3,FALSE)</f>
        <v>0</v>
      </c>
      <c r="E121" s="148"/>
      <c r="F121" s="320"/>
      <c r="G121" s="412">
        <v>0</v>
      </c>
      <c r="H121" s="321"/>
      <c r="I121" s="321"/>
      <c r="J121" s="322"/>
    </row>
    <row r="122" spans="2:15">
      <c r="B122" s="141" t="str">
        <f>$B$49</f>
        <v>Jemena</v>
      </c>
      <c r="C122" s="128"/>
      <c r="D122" s="323">
        <f>HLOOKUP($D$119,$F$119:$J$124,4,FALSE)</f>
        <v>0</v>
      </c>
      <c r="E122" s="148"/>
      <c r="F122" s="320"/>
      <c r="G122" s="412">
        <v>0</v>
      </c>
      <c r="H122" s="321"/>
      <c r="I122" s="321"/>
      <c r="J122" s="322"/>
      <c r="M122" s="83"/>
      <c r="N122" s="83"/>
      <c r="O122" s="83"/>
    </row>
    <row r="123" spans="2:15">
      <c r="B123" s="231" t="str">
        <f>$B$50</f>
        <v>Powercor</v>
      </c>
      <c r="C123" s="153"/>
      <c r="D123" s="323">
        <f>HLOOKUP($D$119,$F$119:$J$124,5,FALSE)</f>
        <v>0</v>
      </c>
      <c r="E123" s="148"/>
      <c r="F123" s="320"/>
      <c r="G123" s="412">
        <v>0</v>
      </c>
      <c r="H123" s="321"/>
      <c r="I123" s="321"/>
      <c r="J123" s="322"/>
    </row>
    <row r="124" spans="2:15">
      <c r="B124" s="141" t="str">
        <f>$B$51</f>
        <v>United Energy</v>
      </c>
      <c r="C124" s="128"/>
      <c r="D124" s="323">
        <f>HLOOKUP($D$119,$F$119:$J$124,6,FALSE)</f>
        <v>0</v>
      </c>
      <c r="E124" s="148"/>
      <c r="F124" s="320"/>
      <c r="G124" s="412">
        <v>0</v>
      </c>
      <c r="H124" s="321"/>
      <c r="I124" s="321"/>
      <c r="J124" s="322"/>
    </row>
    <row r="125" spans="2:15">
      <c r="B125" s="141"/>
      <c r="C125" s="128"/>
      <c r="D125" s="324"/>
      <c r="E125" s="148"/>
      <c r="F125" s="154"/>
      <c r="G125" s="317"/>
      <c r="H125" s="317"/>
      <c r="I125" s="317"/>
      <c r="J125" s="318"/>
    </row>
    <row r="126" spans="2:15" ht="13.5" thickBot="1">
      <c r="B126" s="350" t="str">
        <f>"DMIA (t) "&amp;E$7</f>
        <v>DMIA (t) 2021/22</v>
      </c>
      <c r="C126" s="351"/>
      <c r="D126" s="354">
        <f>VLOOKUP(E$3,B120:D124,3,FALSE)</f>
        <v>0</v>
      </c>
      <c r="E126" s="148"/>
      <c r="F126" s="349">
        <f>VLOOKUP($E$3,$B$120:$J$124,5,FALSE)</f>
        <v>0</v>
      </c>
      <c r="G126" s="352">
        <f>VLOOKUP($E$3,$B$120:$J$124,6,FALSE)</f>
        <v>0</v>
      </c>
      <c r="H126" s="352">
        <f>VLOOKUP($E$3,$B$120:$J$124,7,FALSE)</f>
        <v>0</v>
      </c>
      <c r="I126" s="352">
        <f>VLOOKUP($E$3,$B$120:$J$124,8,FALSE)</f>
        <v>0</v>
      </c>
      <c r="J126" s="353">
        <f>VLOOKUP($E$3,$B$120:$J$124,9,FALSE)</f>
        <v>0</v>
      </c>
    </row>
    <row r="127" spans="2:15">
      <c r="F127" s="150"/>
    </row>
    <row r="128" spans="2:15" ht="13.5" thickBot="1">
      <c r="B128" s="145" t="s">
        <v>122</v>
      </c>
      <c r="C128" s="145"/>
      <c r="F128" s="150"/>
    </row>
    <row r="129" spans="2:14">
      <c r="B129" s="356" t="s">
        <v>159</v>
      </c>
      <c r="C129" s="151">
        <f>E10</f>
        <v>2019</v>
      </c>
      <c r="D129" s="151">
        <f>E9</f>
        <v>2020</v>
      </c>
      <c r="E129" s="290" t="str">
        <f>E8</f>
        <v>HY21</v>
      </c>
      <c r="F129" s="293" t="s">
        <v>104</v>
      </c>
      <c r="G129" s="294" t="s">
        <v>103</v>
      </c>
      <c r="H129" s="294" t="s">
        <v>105</v>
      </c>
      <c r="I129" s="294" t="s">
        <v>106</v>
      </c>
      <c r="J129" s="294" t="s">
        <v>107</v>
      </c>
      <c r="K129" s="300"/>
      <c r="L129" s="294">
        <v>2019</v>
      </c>
      <c r="M129" s="294">
        <v>2020</v>
      </c>
      <c r="N129" s="295" t="s">
        <v>113</v>
      </c>
    </row>
    <row r="130" spans="2:14">
      <c r="B130" s="141" t="str">
        <f>$B$47</f>
        <v>AusNet Services</v>
      </c>
      <c r="C130" s="323">
        <f>HLOOKUP($C$129,$F$129:$N$134,2,FALSE)</f>
        <v>655156567.74552536</v>
      </c>
      <c r="D130" s="323">
        <f>HLOOKUP($D$129,$F$129:$N$134,2,FALSE)</f>
        <v>674885824.51730084</v>
      </c>
      <c r="E130" s="325">
        <f>HLOOKUP($E$129,$F$129:$N$134,2,FALSE)</f>
        <v>296082545.54450083</v>
      </c>
      <c r="F130" s="329">
        <v>0</v>
      </c>
      <c r="G130" s="412">
        <v>0</v>
      </c>
      <c r="H130" s="412">
        <v>0</v>
      </c>
      <c r="I130" s="412">
        <v>0</v>
      </c>
      <c r="J130" s="412">
        <v>0</v>
      </c>
      <c r="K130" s="328"/>
      <c r="L130" s="412">
        <v>655156567.74552536</v>
      </c>
      <c r="M130" s="412">
        <v>674885824.51730084</v>
      </c>
      <c r="N130" s="413">
        <v>296082545.54450083</v>
      </c>
    </row>
    <row r="131" spans="2:14">
      <c r="B131" s="141" t="str">
        <f>$B$48</f>
        <v>CitiPower</v>
      </c>
      <c r="C131" s="323">
        <f>HLOOKUP($C$129,$F$129:$N$134,3,FALSE)</f>
        <v>296807003.91472268</v>
      </c>
      <c r="D131" s="323">
        <f>HLOOKUP($D$129,$F$129:$N$134,3,FALSE)</f>
        <v>311411434.19474888</v>
      </c>
      <c r="E131" s="325">
        <f>HLOOKUP($E$129,$F$129:$N$134,3,FALSE)</f>
        <v>131344767.78462578</v>
      </c>
      <c r="F131" s="329">
        <v>0</v>
      </c>
      <c r="G131" s="412">
        <v>0</v>
      </c>
      <c r="H131" s="412">
        <v>0</v>
      </c>
      <c r="I131" s="412">
        <v>0</v>
      </c>
      <c r="J131" s="412">
        <v>0</v>
      </c>
      <c r="K131" s="328"/>
      <c r="L131" s="412">
        <v>296807003.91472268</v>
      </c>
      <c r="M131" s="412">
        <v>311411434.19474888</v>
      </c>
      <c r="N131" s="413">
        <v>131344767.78462578</v>
      </c>
    </row>
    <row r="132" spans="2:14">
      <c r="B132" s="141" t="str">
        <f>$B$49</f>
        <v>Jemena</v>
      </c>
      <c r="C132" s="323">
        <f>HLOOKUP($C$129,$F$129:$N$134,4,FALSE)</f>
        <v>266812928.18318599</v>
      </c>
      <c r="D132" s="323">
        <f>HLOOKUP($D$129,$F$129:$N$134,4,FALSE)</f>
        <v>276596802.4723351</v>
      </c>
      <c r="E132" s="325">
        <f>HLOOKUP($E$129,$F$129:$N$134,4,FALSE)</f>
        <v>117654758.41350099</v>
      </c>
      <c r="F132" s="329">
        <v>0</v>
      </c>
      <c r="G132" s="412">
        <v>0</v>
      </c>
      <c r="H132" s="412">
        <v>0</v>
      </c>
      <c r="I132" s="412">
        <v>0</v>
      </c>
      <c r="J132" s="412">
        <v>0</v>
      </c>
      <c r="K132" s="328"/>
      <c r="L132" s="412">
        <v>266812928.18318599</v>
      </c>
      <c r="M132" s="412">
        <v>276596802.4723351</v>
      </c>
      <c r="N132" s="413">
        <v>117654758.41350099</v>
      </c>
    </row>
    <row r="133" spans="2:14">
      <c r="B133" s="231" t="str">
        <f>$B$50</f>
        <v>Powercor</v>
      </c>
      <c r="C133" s="323">
        <f>HLOOKUP($C$129,$F$129:$N$134,5,FALSE)</f>
        <v>666859909.53708792</v>
      </c>
      <c r="D133" s="323">
        <f>HLOOKUP($D$129,$F$129:$N$134,5,FALSE)</f>
        <v>692501133.1183244</v>
      </c>
      <c r="E133" s="325">
        <f>HLOOKUP($E$129,$F$129:$N$134,5,FALSE)</f>
        <v>303428601.64135236</v>
      </c>
      <c r="F133" s="329">
        <v>0</v>
      </c>
      <c r="G133" s="412">
        <v>0</v>
      </c>
      <c r="H133" s="412">
        <v>0</v>
      </c>
      <c r="I133" s="412">
        <v>0</v>
      </c>
      <c r="J133" s="412">
        <v>0</v>
      </c>
      <c r="K133" s="328"/>
      <c r="L133" s="412">
        <v>666859909.53708792</v>
      </c>
      <c r="M133" s="412">
        <v>692501133.1183244</v>
      </c>
      <c r="N133" s="413">
        <v>303428601.64135236</v>
      </c>
    </row>
    <row r="134" spans="2:14">
      <c r="B134" s="141" t="str">
        <f>$B$51</f>
        <v>United Energy</v>
      </c>
      <c r="C134" s="323">
        <f>HLOOKUP($C$129,$F$129:$N$134,6,FALSE)</f>
        <v>450164788.09860957</v>
      </c>
      <c r="D134" s="323">
        <f>HLOOKUP($D$129,$F$129:$N$134,6,FALSE)</f>
        <v>457268883.40897518</v>
      </c>
      <c r="E134" s="325">
        <f>HLOOKUP($E$129,$F$129:$N$134,6,FALSE)</f>
        <v>184626512.11703053</v>
      </c>
      <c r="F134" s="329">
        <v>0</v>
      </c>
      <c r="G134" s="412">
        <v>0</v>
      </c>
      <c r="H134" s="412">
        <v>0</v>
      </c>
      <c r="I134" s="412">
        <v>0</v>
      </c>
      <c r="J134" s="412">
        <v>0</v>
      </c>
      <c r="K134" s="328"/>
      <c r="L134" s="412">
        <v>450164788.09860957</v>
      </c>
      <c r="M134" s="412">
        <v>457268883.40897518</v>
      </c>
      <c r="N134" s="413">
        <v>184626512.11703053</v>
      </c>
    </row>
    <row r="135" spans="2:14">
      <c r="B135" s="141"/>
      <c r="C135" s="324"/>
      <c r="D135" s="324"/>
      <c r="E135" s="326"/>
      <c r="F135" s="154"/>
      <c r="G135" s="317"/>
      <c r="H135" s="317"/>
      <c r="I135" s="317"/>
      <c r="J135" s="317"/>
      <c r="K135" s="149"/>
      <c r="L135" s="317"/>
      <c r="M135" s="317"/>
      <c r="N135" s="318"/>
    </row>
    <row r="136" spans="2:14" ht="13.5" thickBot="1">
      <c r="B136" s="346" t="str">
        <f>"TAR for "&amp;C129&amp;" - "&amp;E129</f>
        <v>TAR for 2019 - HY21</v>
      </c>
      <c r="C136" s="354">
        <f>VLOOKUP(E$3,B130:C134,2,FALSE)</f>
        <v>450164788.09860957</v>
      </c>
      <c r="D136" s="354">
        <f>VLOOKUP(E$3,B130:D134,3,FALSE)</f>
        <v>457268883.40897518</v>
      </c>
      <c r="E136" s="355">
        <f>VLOOKUP(E$3,B130:E134,4,FALSE)</f>
        <v>184626512.11703053</v>
      </c>
      <c r="F136" s="349">
        <f>VLOOKUP($E$3,$B$130:$J$134,5,FALSE)</f>
        <v>0</v>
      </c>
      <c r="G136" s="352">
        <f>VLOOKUP($E$3,$B$130:$N$134,6,FALSE)</f>
        <v>0</v>
      </c>
      <c r="H136" s="352">
        <f>VLOOKUP($E$3,$B$130:$N$134,7,FALSE)</f>
        <v>0</v>
      </c>
      <c r="I136" s="352">
        <f>VLOOKUP($E$3,$B$130:$N$134,8,FALSE)</f>
        <v>0</v>
      </c>
      <c r="J136" s="352">
        <f>VLOOKUP($E$3,$B$130:$N$134,9,FALSE)</f>
        <v>0</v>
      </c>
      <c r="K136" s="327"/>
      <c r="L136" s="352">
        <f>VLOOKUP($E$3,$B$130:$N$134,11,FALSE)</f>
        <v>450164788.09860957</v>
      </c>
      <c r="M136" s="352">
        <f>VLOOKUP($E$3,$B$130:$N$134,12,FALSE)</f>
        <v>457268883.40897518</v>
      </c>
      <c r="N136" s="353">
        <f>VLOOKUP($E$3,$B$130:$N$134,13,FALSE)</f>
        <v>184626512.11703053</v>
      </c>
    </row>
    <row r="137" spans="2:14">
      <c r="C137" s="280" t="s">
        <v>10</v>
      </c>
      <c r="D137" s="280" t="s">
        <v>9</v>
      </c>
      <c r="E137" s="280" t="s">
        <v>8</v>
      </c>
    </row>
    <row r="138" spans="2:14" ht="13.5" thickBot="1"/>
    <row r="139" spans="2:14">
      <c r="B139" s="356" t="s">
        <v>148</v>
      </c>
      <c r="C139" s="357"/>
      <c r="D139" s="292" t="str">
        <f>E8</f>
        <v>HY21</v>
      </c>
      <c r="E139" s="148"/>
      <c r="F139" s="293" t="s">
        <v>104</v>
      </c>
      <c r="G139" s="294" t="s">
        <v>103</v>
      </c>
      <c r="H139" s="294" t="s">
        <v>105</v>
      </c>
      <c r="I139" s="294" t="s">
        <v>106</v>
      </c>
      <c r="J139" s="295" t="s">
        <v>107</v>
      </c>
    </row>
    <row r="140" spans="2:14">
      <c r="B140" s="141" t="str">
        <f>$B$47</f>
        <v>AusNet Services</v>
      </c>
      <c r="C140" s="128"/>
      <c r="D140" s="323" t="str">
        <f>IF($E$7=$G$8,"n/a",HLOOKUP($D$139,$F$139:$J$144,2,FALSE))</f>
        <v>n/a</v>
      </c>
      <c r="E140" s="148"/>
      <c r="F140" s="329">
        <v>0</v>
      </c>
      <c r="G140" s="412">
        <v>0</v>
      </c>
      <c r="H140" s="412">
        <v>0</v>
      </c>
      <c r="I140" s="412">
        <v>0</v>
      </c>
      <c r="J140" s="413">
        <v>0</v>
      </c>
    </row>
    <row r="141" spans="2:14">
      <c r="B141" s="141" t="str">
        <f>$B$48</f>
        <v>CitiPower</v>
      </c>
      <c r="C141" s="128"/>
      <c r="D141" s="323" t="str">
        <f>IF($E$7=$G$8,"n/a",HLOOKUP($D$139,$F$139:$J$144,3,FALSE))</f>
        <v>n/a</v>
      </c>
      <c r="E141" s="148"/>
      <c r="F141" s="329">
        <v>0</v>
      </c>
      <c r="G141" s="412">
        <v>0</v>
      </c>
      <c r="H141" s="412">
        <v>0</v>
      </c>
      <c r="I141" s="412">
        <v>0</v>
      </c>
      <c r="J141" s="413">
        <v>0</v>
      </c>
    </row>
    <row r="142" spans="2:14">
      <c r="B142" s="141" t="str">
        <f>$B$49</f>
        <v>Jemena</v>
      </c>
      <c r="C142" s="128"/>
      <c r="D142" s="323" t="str">
        <f>IF($E$7=$G$8,"n/a",HLOOKUP($D$139,$F$139:$J$144,4,FALSE))</f>
        <v>n/a</v>
      </c>
      <c r="E142" s="148"/>
      <c r="F142" s="329">
        <v>0</v>
      </c>
      <c r="G142" s="412">
        <v>0</v>
      </c>
      <c r="H142" s="412">
        <v>0</v>
      </c>
      <c r="I142" s="412">
        <v>0</v>
      </c>
      <c r="J142" s="413">
        <v>0</v>
      </c>
    </row>
    <row r="143" spans="2:14">
      <c r="B143" s="231" t="str">
        <f>$B$50</f>
        <v>Powercor</v>
      </c>
      <c r="C143" s="153"/>
      <c r="D143" s="323" t="str">
        <f>IF($E$7=$G$8,"n/a",HLOOKUP($D$139,$F$139:$J$144,5,FALSE))</f>
        <v>n/a</v>
      </c>
      <c r="E143" s="148"/>
      <c r="F143" s="329">
        <v>0</v>
      </c>
      <c r="G143" s="412">
        <v>0</v>
      </c>
      <c r="H143" s="412">
        <v>0</v>
      </c>
      <c r="I143" s="412">
        <v>0</v>
      </c>
      <c r="J143" s="413">
        <v>0</v>
      </c>
    </row>
    <row r="144" spans="2:14">
      <c r="B144" s="141" t="str">
        <f>$B$51</f>
        <v>United Energy</v>
      </c>
      <c r="C144" s="128"/>
      <c r="D144" s="323" t="str">
        <f>IF($E$7=$G$8,"n/a",HLOOKUP($D$139,$F$139:$J$144,6,FALSE))</f>
        <v>n/a</v>
      </c>
      <c r="E144" s="148"/>
      <c r="F144" s="329">
        <v>0</v>
      </c>
      <c r="G144" s="412">
        <v>0</v>
      </c>
      <c r="H144" s="412">
        <v>0</v>
      </c>
      <c r="I144" s="412">
        <v>0</v>
      </c>
      <c r="J144" s="413">
        <v>0</v>
      </c>
    </row>
    <row r="145" spans="2:10">
      <c r="B145" s="141"/>
      <c r="C145" s="128"/>
      <c r="D145" s="324"/>
      <c r="E145" s="148"/>
      <c r="F145" s="154"/>
      <c r="G145" s="317"/>
      <c r="H145" s="317"/>
      <c r="I145" s="317"/>
      <c r="J145" s="318"/>
    </row>
    <row r="146" spans="2:10" s="152" customFormat="1" ht="13.5" thickBot="1">
      <c r="B146" s="346" t="str">
        <f>"DUOS AAR (t-1) "&amp;E8</f>
        <v>DUOS AAR (t-1) HY21</v>
      </c>
      <c r="C146" s="347"/>
      <c r="D146" s="354" t="str">
        <f>VLOOKUP(E$3,B140:D144,3,FALSE)</f>
        <v>n/a</v>
      </c>
      <c r="E146" s="148"/>
      <c r="F146" s="349">
        <f>VLOOKUP($E$3,$B$140:$J$144,5,FALSE)</f>
        <v>0</v>
      </c>
      <c r="G146" s="352">
        <f>VLOOKUP($E$3,$B$140:$J$144,6,FALSE)</f>
        <v>0</v>
      </c>
      <c r="H146" s="352">
        <f>VLOOKUP($E$3,$B$140:$J$144,7,FALSE)</f>
        <v>0</v>
      </c>
      <c r="I146" s="352">
        <f>VLOOKUP($E$3,$B$140:$J$144,8,FALSE)</f>
        <v>0</v>
      </c>
      <c r="J146" s="353">
        <f>VLOOKUP($E$3,$B$140:$J$144,9,FALSE)</f>
        <v>0</v>
      </c>
    </row>
    <row r="147" spans="2:10" s="152" customFormat="1" ht="13.5" thickBot="1"/>
    <row r="148" spans="2:10" s="152" customFormat="1">
      <c r="B148" s="356" t="s">
        <v>155</v>
      </c>
      <c r="C148" s="357"/>
      <c r="D148" s="292" t="str">
        <f>E8</f>
        <v>HY21</v>
      </c>
      <c r="E148" s="148"/>
      <c r="F148" s="293" t="s">
        <v>104</v>
      </c>
      <c r="G148" s="294" t="s">
        <v>103</v>
      </c>
      <c r="H148" s="294" t="s">
        <v>105</v>
      </c>
      <c r="I148" s="294" t="s">
        <v>106</v>
      </c>
      <c r="J148" s="295" t="s">
        <v>107</v>
      </c>
    </row>
    <row r="149" spans="2:10" s="152" customFormat="1">
      <c r="B149" s="141" t="str">
        <f>$B$47</f>
        <v>AusNet Services</v>
      </c>
      <c r="C149" s="128"/>
      <c r="D149" s="323" t="str">
        <f>IF($E$7=$G$8,"n/a",HLOOKUP($D$148,$F$148:$J$153,2,FALSE))</f>
        <v>n/a</v>
      </c>
      <c r="E149" s="148"/>
      <c r="F149" s="329">
        <v>0</v>
      </c>
      <c r="G149" s="412">
        <v>0</v>
      </c>
      <c r="H149" s="412">
        <v>0</v>
      </c>
      <c r="I149" s="412">
        <v>0</v>
      </c>
      <c r="J149" s="413">
        <v>0</v>
      </c>
    </row>
    <row r="150" spans="2:10" s="152" customFormat="1">
      <c r="B150" s="141" t="str">
        <f>$B$48</f>
        <v>CitiPower</v>
      </c>
      <c r="C150" s="128"/>
      <c r="D150" s="323" t="str">
        <f>IF($E$7=$G$8,"n/a",HLOOKUP($D$148,$F$148:$J$153,3,FALSE))</f>
        <v>n/a</v>
      </c>
      <c r="E150" s="148"/>
      <c r="F150" s="329">
        <v>0</v>
      </c>
      <c r="G150" s="412">
        <v>0</v>
      </c>
      <c r="H150" s="412">
        <v>0</v>
      </c>
      <c r="I150" s="412">
        <v>0</v>
      </c>
      <c r="J150" s="413">
        <v>0</v>
      </c>
    </row>
    <row r="151" spans="2:10" s="152" customFormat="1">
      <c r="B151" s="141" t="str">
        <f>$B$49</f>
        <v>Jemena</v>
      </c>
      <c r="C151" s="128"/>
      <c r="D151" s="323" t="str">
        <f>IF($E$7=$G$8,"n/a",HLOOKUP($D$148,$F$148:$J$153,4,FALSE))</f>
        <v>n/a</v>
      </c>
      <c r="E151" s="148"/>
      <c r="F151" s="329">
        <v>0</v>
      </c>
      <c r="G151" s="412">
        <v>0</v>
      </c>
      <c r="H151" s="412">
        <v>0</v>
      </c>
      <c r="I151" s="412">
        <v>0</v>
      </c>
      <c r="J151" s="413">
        <v>0</v>
      </c>
    </row>
    <row r="152" spans="2:10" s="152" customFormat="1">
      <c r="B152" s="231" t="str">
        <f>$B$50</f>
        <v>Powercor</v>
      </c>
      <c r="C152" s="153"/>
      <c r="D152" s="323" t="str">
        <f>IF($E$7=$G$8,"n/a",HLOOKUP($D$148,$F$148:$J$153,5,FALSE))</f>
        <v>n/a</v>
      </c>
      <c r="E152" s="148"/>
      <c r="F152" s="329">
        <v>0</v>
      </c>
      <c r="G152" s="412">
        <v>0</v>
      </c>
      <c r="H152" s="412">
        <v>0</v>
      </c>
      <c r="I152" s="412">
        <v>0</v>
      </c>
      <c r="J152" s="413">
        <v>0</v>
      </c>
    </row>
    <row r="153" spans="2:10" s="152" customFormat="1">
      <c r="B153" s="141" t="str">
        <f>$B$51</f>
        <v>United Energy</v>
      </c>
      <c r="C153" s="128"/>
      <c r="D153" s="323" t="str">
        <f>IF($E$7=$G$8,"n/a",HLOOKUP($D$148,$F$148:$J$153,6,FALSE))</f>
        <v>n/a</v>
      </c>
      <c r="E153" s="148"/>
      <c r="F153" s="329">
        <v>0</v>
      </c>
      <c r="G153" s="412">
        <v>0</v>
      </c>
      <c r="H153" s="412">
        <v>0</v>
      </c>
      <c r="I153" s="412">
        <v>0</v>
      </c>
      <c r="J153" s="413">
        <v>0</v>
      </c>
    </row>
    <row r="154" spans="2:10" s="152" customFormat="1">
      <c r="B154" s="141"/>
      <c r="C154" s="128"/>
      <c r="D154" s="324"/>
      <c r="E154" s="148"/>
      <c r="F154" s="154"/>
      <c r="G154" s="317"/>
      <c r="H154" s="317"/>
      <c r="I154" s="317"/>
      <c r="J154" s="318"/>
    </row>
    <row r="155" spans="2:10" s="152" customFormat="1" ht="13.5" thickBot="1">
      <c r="B155" s="346" t="str">
        <f>"DUOS O/U adjustment (t-1) "&amp;E$8</f>
        <v>DUOS O/U adjustment (t-1) HY21</v>
      </c>
      <c r="C155" s="347"/>
      <c r="D155" s="354" t="str">
        <f>VLOOKUP(E$3,B149:D153,3,FALSE)</f>
        <v>n/a</v>
      </c>
      <c r="E155" s="148"/>
      <c r="F155" s="349">
        <f>VLOOKUP($E$3,$B$149:$J$153,5,FALSE)</f>
        <v>0</v>
      </c>
      <c r="G155" s="352">
        <f>VLOOKUP($E$3,$B$149:$J$153,6,FALSE)</f>
        <v>0</v>
      </c>
      <c r="H155" s="352">
        <f>VLOOKUP($E$3,$B$149:$J$153,7,FALSE)</f>
        <v>0</v>
      </c>
      <c r="I155" s="352">
        <f>VLOOKUP($E$3,$B$149:$J$153,8,FALSE)</f>
        <v>0</v>
      </c>
      <c r="J155" s="353">
        <f>VLOOKUP($E$3,$B$149:$J$153,9,FALSE)</f>
        <v>0</v>
      </c>
    </row>
    <row r="156" spans="2:10">
      <c r="B156" s="152"/>
      <c r="C156" s="152"/>
      <c r="D156" s="152"/>
      <c r="E156" s="152"/>
      <c r="F156" s="152"/>
      <c r="G156" s="152"/>
      <c r="H156" s="152"/>
      <c r="I156" s="152"/>
      <c r="J156" s="152"/>
    </row>
    <row r="183" ht="13.5" customHeight="1"/>
  </sheetData>
  <mergeCells count="3">
    <mergeCell ref="K16:AB16"/>
    <mergeCell ref="K17:AB17"/>
    <mergeCell ref="K18:AB20"/>
  </mergeCells>
  <dataValidations count="2">
    <dataValidation type="list" allowBlank="1" showInputMessage="1" showErrorMessage="1" sqref="E3">
      <formula1>$L$3:$L$7</formula1>
    </dataValidation>
    <dataValidation type="list" allowBlank="1" showInputMessage="1" showErrorMessage="1" sqref="E5">
      <formula1>$M$3:$M$7</formula1>
    </dataValidation>
  </dataValidations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39997558519241921"/>
  </sheetPr>
  <dimension ref="B5:G30"/>
  <sheetViews>
    <sheetView showGridLines="0" zoomScale="80" zoomScaleNormal="80" workbookViewId="0">
      <selection activeCell="D37" sqref="D37"/>
    </sheetView>
  </sheetViews>
  <sheetFormatPr defaultRowHeight="12.75"/>
  <cols>
    <col min="1" max="1" width="9.140625" style="519"/>
    <col min="2" max="2" width="45.7109375" style="519" customWidth="1"/>
    <col min="3" max="5" width="23.42578125" style="519" customWidth="1"/>
    <col min="6" max="6" width="15.140625" style="519" customWidth="1"/>
    <col min="7" max="7" width="23.42578125" style="519" customWidth="1"/>
    <col min="8" max="16384" width="9.140625" style="519"/>
  </cols>
  <sheetData>
    <row r="5" spans="2:6" ht="13.5" thickBot="1"/>
    <row r="6" spans="2:6">
      <c r="B6" s="526" t="s">
        <v>259</v>
      </c>
      <c r="C6" s="594" t="s">
        <v>260</v>
      </c>
      <c r="D6" s="594" t="s">
        <v>261</v>
      </c>
      <c r="E6" s="594" t="s">
        <v>262</v>
      </c>
      <c r="F6" s="595" t="s">
        <v>195</v>
      </c>
    </row>
    <row r="7" spans="2:6">
      <c r="B7" s="376" t="str">
        <f>IF('Side constraints'!B21="","",'Side constraints'!B21)</f>
        <v>Residential</v>
      </c>
      <c r="C7" s="596">
        <v>214137.81774909282</v>
      </c>
      <c r="D7" s="729">
        <v>350389.79821544117</v>
      </c>
      <c r="E7" s="729">
        <v>67992.083551224016</v>
      </c>
      <c r="F7" s="597" t="str">
        <f>IF(C7="","",IF(C7&lt;D7,IF(C7&gt;E7,"YES","NO"),"NO"))</f>
        <v>YES</v>
      </c>
    </row>
    <row r="8" spans="2:6">
      <c r="B8" s="376" t="str">
        <f>IF('Side constraints'!B22="","",'Side constraints'!B22)</f>
        <v>Small and medium business</v>
      </c>
      <c r="C8" s="596">
        <v>91990.661752477026</v>
      </c>
      <c r="D8" s="729">
        <v>175194.89910772059</v>
      </c>
      <c r="E8" s="729">
        <v>20397.625065367203</v>
      </c>
      <c r="F8" s="597" t="str">
        <f t="shared" ref="F8:F23" si="0">IF(C8="","",IF(C8&lt;D8,IF(C8&gt;E8,"YES","NO"),"NO"))</f>
        <v>YES</v>
      </c>
    </row>
    <row r="9" spans="2:6">
      <c r="B9" s="376" t="str">
        <f>IF('Side constraints'!B23="","",'Side constraints'!B23)</f>
        <v>Large low voltage</v>
      </c>
      <c r="C9" s="596">
        <v>88895.555890930089</v>
      </c>
      <c r="D9" s="729">
        <v>218993.62388465067</v>
      </c>
      <c r="E9" s="729">
        <v>21247.526109757502</v>
      </c>
      <c r="F9" s="597" t="str">
        <f t="shared" si="0"/>
        <v>YES</v>
      </c>
    </row>
    <row r="10" spans="2:6">
      <c r="B10" s="376" t="str">
        <f>IF('Side constraints'!B24="","",'Side constraints'!B24)</f>
        <v>High Voltage</v>
      </c>
      <c r="C10" s="596">
        <v>15259.497889243057</v>
      </c>
      <c r="D10" s="729">
        <v>131396.17433079041</v>
      </c>
      <c r="E10" s="729">
        <v>5099.4062663418008</v>
      </c>
      <c r="F10" s="597" t="str">
        <f t="shared" si="0"/>
        <v>YES</v>
      </c>
    </row>
    <row r="11" spans="2:6">
      <c r="B11" s="376" t="str">
        <f>IF('Side constraints'!B25="","",'Side constraints'!B25)</f>
        <v>Subtransmission</v>
      </c>
      <c r="C11" s="596">
        <v>87.145781955000018</v>
      </c>
      <c r="D11" s="729">
        <v>89609.584245421778</v>
      </c>
      <c r="E11" s="729">
        <v>0</v>
      </c>
      <c r="F11" s="597" t="str">
        <f t="shared" si="0"/>
        <v>YES</v>
      </c>
    </row>
    <row r="12" spans="2:6">
      <c r="B12" s="376" t="str">
        <f>IF('Side constraints'!B26="","",'Side constraints'!B26)</f>
        <v/>
      </c>
      <c r="C12" s="596" t="str">
        <f>IF('Side constraints'!D26="","",'Side constraints'!D26/1000)</f>
        <v/>
      </c>
      <c r="D12" s="655"/>
      <c r="E12" s="655"/>
      <c r="F12" s="597" t="str">
        <f t="shared" si="0"/>
        <v/>
      </c>
    </row>
    <row r="13" spans="2:6">
      <c r="B13" s="376" t="str">
        <f>IF('Side constraints'!B27="","",'Side constraints'!B27)</f>
        <v/>
      </c>
      <c r="C13" s="596" t="str">
        <f>IF('Side constraints'!D27="","",'Side constraints'!D27/1000)</f>
        <v/>
      </c>
      <c r="D13" s="655"/>
      <c r="E13" s="655"/>
      <c r="F13" s="597" t="str">
        <f t="shared" si="0"/>
        <v/>
      </c>
    </row>
    <row r="14" spans="2:6">
      <c r="B14" s="376" t="str">
        <f>IF('Side constraints'!B28="","",'Side constraints'!B28)</f>
        <v/>
      </c>
      <c r="C14" s="596" t="str">
        <f>IF('Side constraints'!D28="","",'Side constraints'!D28/1000)</f>
        <v/>
      </c>
      <c r="D14" s="655"/>
      <c r="E14" s="655"/>
      <c r="F14" s="597" t="str">
        <f t="shared" si="0"/>
        <v/>
      </c>
    </row>
    <row r="15" spans="2:6">
      <c r="B15" s="376" t="str">
        <f>IF('Side constraints'!B29="","",'Side constraints'!B29)</f>
        <v/>
      </c>
      <c r="C15" s="596" t="str">
        <f>IF('Side constraints'!D29="","",'Side constraints'!D29/1000)</f>
        <v/>
      </c>
      <c r="D15" s="655"/>
      <c r="E15" s="655"/>
      <c r="F15" s="597" t="str">
        <f t="shared" si="0"/>
        <v/>
      </c>
    </row>
    <row r="16" spans="2:6">
      <c r="B16" s="376" t="str">
        <f>IF('Side constraints'!B30="","",'Side constraints'!B30)</f>
        <v/>
      </c>
      <c r="C16" s="596" t="str">
        <f>IF('Side constraints'!D30="","",'Side constraints'!D30/1000)</f>
        <v/>
      </c>
      <c r="D16" s="655"/>
      <c r="E16" s="655"/>
      <c r="F16" s="597" t="str">
        <f t="shared" si="0"/>
        <v/>
      </c>
    </row>
    <row r="17" spans="2:7">
      <c r="B17" s="376" t="str">
        <f>IF('Side constraints'!B31="","",'Side constraints'!B31)</f>
        <v/>
      </c>
      <c r="C17" s="596" t="str">
        <f>IF('Side constraints'!D31="","",'Side constraints'!D31/1000)</f>
        <v/>
      </c>
      <c r="D17" s="655"/>
      <c r="E17" s="655"/>
      <c r="F17" s="597" t="str">
        <f t="shared" si="0"/>
        <v/>
      </c>
    </row>
    <row r="18" spans="2:7">
      <c r="B18" s="376" t="str">
        <f>IF('Side constraints'!B32="","",'Side constraints'!B32)</f>
        <v/>
      </c>
      <c r="C18" s="596" t="str">
        <f>IF('Side constraints'!D32="","",'Side constraints'!D32/1000)</f>
        <v/>
      </c>
      <c r="D18" s="655"/>
      <c r="E18" s="655"/>
      <c r="F18" s="597" t="str">
        <f t="shared" si="0"/>
        <v/>
      </c>
    </row>
    <row r="19" spans="2:7">
      <c r="B19" s="376" t="str">
        <f>IF('Side constraints'!B33="","",'Side constraints'!B33)</f>
        <v/>
      </c>
      <c r="C19" s="596" t="str">
        <f>IF('Side constraints'!D33="","",'Side constraints'!D33/1000)</f>
        <v/>
      </c>
      <c r="D19" s="655"/>
      <c r="E19" s="655"/>
      <c r="F19" s="597" t="str">
        <f t="shared" si="0"/>
        <v/>
      </c>
    </row>
    <row r="20" spans="2:7">
      <c r="B20" s="376" t="str">
        <f>IF('Side constraints'!B34="","",'Side constraints'!B34)</f>
        <v/>
      </c>
      <c r="C20" s="596" t="str">
        <f>IF('Side constraints'!D34="","",'Side constraints'!D34/1000)</f>
        <v/>
      </c>
      <c r="D20" s="655"/>
      <c r="E20" s="655"/>
      <c r="F20" s="597" t="str">
        <f t="shared" si="0"/>
        <v/>
      </c>
    </row>
    <row r="21" spans="2:7">
      <c r="B21" s="376" t="str">
        <f>IF('Side constraints'!B35="","",'Side constraints'!B35)</f>
        <v/>
      </c>
      <c r="C21" s="596" t="str">
        <f>IF('Side constraints'!D35="","",'Side constraints'!D35/1000)</f>
        <v/>
      </c>
      <c r="D21" s="655"/>
      <c r="E21" s="655"/>
      <c r="F21" s="597" t="str">
        <f t="shared" si="0"/>
        <v/>
      </c>
    </row>
    <row r="22" spans="2:7">
      <c r="B22" s="376" t="str">
        <f>IF('Side constraints'!B36="","",'Side constraints'!B36)</f>
        <v/>
      </c>
      <c r="C22" s="596" t="str">
        <f>IF('Side constraints'!D36="","",'Side constraints'!D36/1000)</f>
        <v/>
      </c>
      <c r="D22" s="655"/>
      <c r="E22" s="655"/>
      <c r="F22" s="597" t="str">
        <f t="shared" si="0"/>
        <v/>
      </c>
    </row>
    <row r="23" spans="2:7" ht="13.5" thickBot="1">
      <c r="B23" s="377" t="str">
        <f>IF('Side constraints'!B37="","",'Side constraints'!B37)</f>
        <v/>
      </c>
      <c r="C23" s="598" t="str">
        <f>IF('Side constraints'!D37="","",'Side constraints'!D37/1000)</f>
        <v/>
      </c>
      <c r="D23" s="656"/>
      <c r="E23" s="656"/>
      <c r="F23" s="599" t="str">
        <f t="shared" si="0"/>
        <v/>
      </c>
    </row>
    <row r="24" spans="2:7">
      <c r="C24" s="593"/>
      <c r="D24" s="520"/>
      <c r="E24" s="520"/>
      <c r="F24" s="520"/>
      <c r="G24" s="520"/>
    </row>
    <row r="25" spans="2:7">
      <c r="C25" s="593"/>
      <c r="D25" s="520"/>
      <c r="E25" s="520"/>
      <c r="F25" s="520"/>
      <c r="G25" s="520"/>
    </row>
    <row r="26" spans="2:7">
      <c r="B26" s="774" t="s">
        <v>297</v>
      </c>
      <c r="C26" s="774"/>
      <c r="D26" s="774"/>
      <c r="E26" s="774"/>
      <c r="F26" s="520"/>
      <c r="G26" s="520"/>
    </row>
    <row r="27" spans="2:7">
      <c r="C27" s="520"/>
      <c r="D27" s="520"/>
      <c r="E27" s="520"/>
      <c r="F27" s="520"/>
      <c r="G27" s="520"/>
    </row>
    <row r="28" spans="2:7">
      <c r="C28" s="520"/>
      <c r="D28" s="520"/>
      <c r="E28" s="520"/>
      <c r="F28" s="520"/>
      <c r="G28" s="520"/>
    </row>
    <row r="29" spans="2:7">
      <c r="C29" s="520"/>
      <c r="D29" s="520"/>
      <c r="E29" s="520"/>
      <c r="F29" s="520"/>
      <c r="G29" s="520"/>
    </row>
    <row r="30" spans="2:7">
      <c r="C30" s="520"/>
      <c r="D30" s="520"/>
      <c r="E30" s="520"/>
      <c r="F30" s="520"/>
      <c r="G30" s="520"/>
    </row>
  </sheetData>
  <mergeCells count="1">
    <mergeCell ref="B26:E26"/>
  </mergeCells>
  <conditionalFormatting sqref="F7:F23">
    <cfRule type="cellIs" dxfId="44" priority="1" operator="equal">
      <formula>"NO"</formula>
    </cfRule>
    <cfRule type="cellIs" dxfId="43" priority="2" operator="equal">
      <formula>"YES"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7" tint="0.39997558519241921"/>
  </sheetPr>
  <dimension ref="B1:X48"/>
  <sheetViews>
    <sheetView showGridLines="0" zoomScale="80" zoomScaleNormal="80" workbookViewId="0">
      <selection activeCell="B4" sqref="B4"/>
    </sheetView>
  </sheetViews>
  <sheetFormatPr defaultRowHeight="12.75"/>
  <cols>
    <col min="1" max="1" width="1.85546875" style="519" customWidth="1"/>
    <col min="2" max="2" width="38.28515625" style="519" customWidth="1"/>
    <col min="3" max="3" width="22.140625" style="519" customWidth="1"/>
    <col min="4" max="19" width="11.5703125" style="519" customWidth="1"/>
    <col min="20" max="23" width="11" style="519" customWidth="1"/>
    <col min="24" max="16384" width="9.140625" style="519"/>
  </cols>
  <sheetData>
    <row r="1" spans="2:24" ht="13.5" thickBot="1"/>
    <row r="2" spans="2:24">
      <c r="D2" s="521" t="s">
        <v>268</v>
      </c>
      <c r="E2" s="522"/>
      <c r="F2" s="647">
        <v>5.0000000000000001E-3</v>
      </c>
    </row>
    <row r="3" spans="2:24">
      <c r="D3" s="376" t="s">
        <v>269</v>
      </c>
      <c r="E3" s="523"/>
      <c r="F3" s="648">
        <v>0.01</v>
      </c>
    </row>
    <row r="4" spans="2:24" ht="13.5" thickBot="1">
      <c r="D4" s="377" t="str">
        <f>"ARR "&amp;Input!E7</f>
        <v>ARR 2021/22</v>
      </c>
      <c r="E4" s="525"/>
      <c r="F4" s="649">
        <f>Dist.!C16+Dist.!C17</f>
        <v>413014024.19457853</v>
      </c>
      <c r="I4" s="531" t="s">
        <v>288</v>
      </c>
      <c r="J4" s="531"/>
      <c r="K4" s="531"/>
      <c r="L4" s="531"/>
      <c r="M4" s="531"/>
      <c r="N4" s="531"/>
      <c r="O4" s="531"/>
      <c r="P4" s="532"/>
      <c r="Q4" s="532"/>
    </row>
    <row r="5" spans="2:24">
      <c r="I5" s="531" t="s">
        <v>298</v>
      </c>
      <c r="J5" s="531"/>
      <c r="K5" s="531"/>
      <c r="L5" s="531"/>
      <c r="M5" s="531"/>
      <c r="N5" s="531"/>
      <c r="O5" s="531"/>
      <c r="P5" s="532"/>
      <c r="Q5" s="532"/>
    </row>
    <row r="7" spans="2:24" ht="13.5" thickBot="1">
      <c r="B7" s="637" t="s">
        <v>292</v>
      </c>
    </row>
    <row r="8" spans="2:24">
      <c r="B8" s="775" t="s">
        <v>266</v>
      </c>
      <c r="C8" s="777" t="s">
        <v>259</v>
      </c>
      <c r="D8" s="663"/>
      <c r="E8" s="664"/>
      <c r="F8" s="664"/>
      <c r="G8" s="664"/>
      <c r="H8" s="777"/>
      <c r="I8" s="777"/>
      <c r="J8" s="777"/>
      <c r="K8" s="777"/>
      <c r="L8" s="777"/>
      <c r="M8" s="777"/>
      <c r="N8" s="777"/>
      <c r="O8" s="781"/>
      <c r="P8" s="777" t="s">
        <v>287</v>
      </c>
      <c r="Q8" s="777"/>
      <c r="R8" s="777"/>
      <c r="S8" s="779"/>
      <c r="T8" s="777" t="str">
        <f>"Forecast Revenue "&amp;Input!E7</f>
        <v>Forecast Revenue 2021/22</v>
      </c>
      <c r="U8" s="777"/>
      <c r="V8" s="777"/>
      <c r="W8" s="777"/>
      <c r="X8" s="779" t="s">
        <v>195</v>
      </c>
    </row>
    <row r="9" spans="2:24">
      <c r="B9" s="776"/>
      <c r="C9" s="778"/>
      <c r="D9" s="653" t="s">
        <v>238</v>
      </c>
      <c r="E9" s="639"/>
      <c r="F9" s="639"/>
      <c r="G9" s="639"/>
      <c r="H9" s="639"/>
      <c r="I9" s="639"/>
      <c r="J9" s="639"/>
      <c r="K9" s="639"/>
      <c r="L9" s="639"/>
      <c r="M9" s="639"/>
      <c r="N9" s="639"/>
      <c r="O9" s="662"/>
      <c r="P9" s="639" t="s">
        <v>267</v>
      </c>
      <c r="Q9" s="639" t="s">
        <v>187</v>
      </c>
      <c r="R9" s="639" t="s">
        <v>188</v>
      </c>
      <c r="S9" s="658" t="s">
        <v>28</v>
      </c>
      <c r="T9" s="639" t="s">
        <v>267</v>
      </c>
      <c r="U9" s="639" t="s">
        <v>187</v>
      </c>
      <c r="V9" s="639" t="s">
        <v>188</v>
      </c>
      <c r="W9" s="639" t="s">
        <v>296</v>
      </c>
      <c r="X9" s="780"/>
    </row>
    <row r="10" spans="2:24">
      <c r="B10" s="600" t="s">
        <v>358</v>
      </c>
      <c r="C10" s="642" t="s">
        <v>351</v>
      </c>
      <c r="D10" s="788" t="s">
        <v>361</v>
      </c>
      <c r="E10" s="789"/>
      <c r="F10" s="789"/>
      <c r="G10" s="789"/>
      <c r="H10" s="789"/>
      <c r="I10" s="789"/>
      <c r="J10" s="789"/>
      <c r="K10" s="789"/>
      <c r="L10" s="789"/>
      <c r="M10" s="789"/>
      <c r="N10" s="789"/>
      <c r="O10" s="790"/>
      <c r="P10" s="588">
        <v>0</v>
      </c>
      <c r="Q10" s="588">
        <v>0</v>
      </c>
      <c r="R10" s="588">
        <v>0</v>
      </c>
      <c r="S10" s="659">
        <f>IF(B10="","",SUM(P10:R10))</f>
        <v>0</v>
      </c>
      <c r="T10" s="588">
        <v>0</v>
      </c>
      <c r="U10" s="588">
        <v>0</v>
      </c>
      <c r="V10" s="588">
        <v>0</v>
      </c>
      <c r="W10" s="683">
        <f>IF(B10="","",T10/Dist.!$C$11)</f>
        <v>0</v>
      </c>
      <c r="X10" s="524" t="str">
        <f t="shared" ref="X10:X25" si="0">IF(B10="","",IF(W10&lt;=$F$2,"YES","NO"))</f>
        <v>YES</v>
      </c>
    </row>
    <row r="11" spans="2:24">
      <c r="B11" s="600" t="s">
        <v>359</v>
      </c>
      <c r="C11" s="643" t="s">
        <v>360</v>
      </c>
      <c r="D11" s="792" t="s">
        <v>362</v>
      </c>
      <c r="E11" s="793"/>
      <c r="F11" s="793"/>
      <c r="G11" s="793"/>
      <c r="H11" s="793"/>
      <c r="I11" s="793"/>
      <c r="J11" s="793"/>
      <c r="K11" s="793"/>
      <c r="L11" s="793"/>
      <c r="M11" s="793"/>
      <c r="N11" s="793"/>
      <c r="O11" s="794"/>
      <c r="P11" s="588">
        <v>0</v>
      </c>
      <c r="Q11" s="588">
        <v>0</v>
      </c>
      <c r="R11" s="588">
        <v>0</v>
      </c>
      <c r="S11" s="660">
        <f t="shared" ref="S11:S25" si="1">IF(B11="","",SUM(P11:R11))</f>
        <v>0</v>
      </c>
      <c r="T11" s="588">
        <v>0</v>
      </c>
      <c r="U11" s="588">
        <v>0</v>
      </c>
      <c r="V11" s="588">
        <v>0</v>
      </c>
      <c r="W11" s="684">
        <f>IF(B11="","",T11/Dist.!$C$11)</f>
        <v>0</v>
      </c>
      <c r="X11" s="524" t="str">
        <f t="shared" si="0"/>
        <v>YES</v>
      </c>
    </row>
    <row r="12" spans="2:24">
      <c r="B12" s="600"/>
      <c r="C12" s="643"/>
      <c r="D12" s="782"/>
      <c r="E12" s="783"/>
      <c r="F12" s="783"/>
      <c r="G12" s="783"/>
      <c r="H12" s="783"/>
      <c r="I12" s="783"/>
      <c r="J12" s="783"/>
      <c r="K12" s="783"/>
      <c r="L12" s="783"/>
      <c r="M12" s="783"/>
      <c r="N12" s="783"/>
      <c r="O12" s="784"/>
      <c r="P12" s="588"/>
      <c r="Q12" s="588"/>
      <c r="R12" s="588"/>
      <c r="S12" s="660" t="str">
        <f t="shared" si="1"/>
        <v/>
      </c>
      <c r="T12" s="588"/>
      <c r="U12" s="588"/>
      <c r="V12" s="588"/>
      <c r="W12" s="684" t="str">
        <f>IF(B12="","",T12/Dist.!$C$11)</f>
        <v/>
      </c>
      <c r="X12" s="524" t="str">
        <f t="shared" si="0"/>
        <v/>
      </c>
    </row>
    <row r="13" spans="2:24">
      <c r="B13" s="600"/>
      <c r="C13" s="643"/>
      <c r="D13" s="782"/>
      <c r="E13" s="783"/>
      <c r="F13" s="783"/>
      <c r="G13" s="783"/>
      <c r="H13" s="783"/>
      <c r="I13" s="783"/>
      <c r="J13" s="783"/>
      <c r="K13" s="783"/>
      <c r="L13" s="783"/>
      <c r="M13" s="783"/>
      <c r="N13" s="783"/>
      <c r="O13" s="784"/>
      <c r="P13" s="588"/>
      <c r="Q13" s="588"/>
      <c r="R13" s="588"/>
      <c r="S13" s="660" t="str">
        <f t="shared" si="1"/>
        <v/>
      </c>
      <c r="T13" s="588"/>
      <c r="U13" s="588"/>
      <c r="V13" s="588"/>
      <c r="W13" s="684" t="str">
        <f>IF(B13="","",T13/Dist.!$C$11)</f>
        <v/>
      </c>
      <c r="X13" s="524" t="str">
        <f t="shared" si="0"/>
        <v/>
      </c>
    </row>
    <row r="14" spans="2:24">
      <c r="B14" s="600"/>
      <c r="C14" s="643"/>
      <c r="D14" s="782"/>
      <c r="E14" s="783"/>
      <c r="F14" s="783"/>
      <c r="G14" s="783"/>
      <c r="H14" s="783"/>
      <c r="I14" s="783"/>
      <c r="J14" s="783"/>
      <c r="K14" s="783"/>
      <c r="L14" s="783"/>
      <c r="M14" s="783"/>
      <c r="N14" s="783"/>
      <c r="O14" s="784"/>
      <c r="P14" s="588"/>
      <c r="Q14" s="588"/>
      <c r="R14" s="588"/>
      <c r="S14" s="660" t="str">
        <f t="shared" si="1"/>
        <v/>
      </c>
      <c r="T14" s="588"/>
      <c r="U14" s="588"/>
      <c r="V14" s="588"/>
      <c r="W14" s="684" t="str">
        <f>IF(B14="","",T14/Dist.!$C$11)</f>
        <v/>
      </c>
      <c r="X14" s="524" t="str">
        <f t="shared" si="0"/>
        <v/>
      </c>
    </row>
    <row r="15" spans="2:24">
      <c r="B15" s="600"/>
      <c r="C15" s="643"/>
      <c r="D15" s="782"/>
      <c r="E15" s="783"/>
      <c r="F15" s="783"/>
      <c r="G15" s="783"/>
      <c r="H15" s="783"/>
      <c r="I15" s="783"/>
      <c r="J15" s="783"/>
      <c r="K15" s="783"/>
      <c r="L15" s="783"/>
      <c r="M15" s="783"/>
      <c r="N15" s="783"/>
      <c r="O15" s="784"/>
      <c r="P15" s="588"/>
      <c r="Q15" s="588"/>
      <c r="R15" s="588"/>
      <c r="S15" s="660" t="str">
        <f t="shared" si="1"/>
        <v/>
      </c>
      <c r="T15" s="588"/>
      <c r="U15" s="588"/>
      <c r="V15" s="588"/>
      <c r="W15" s="684" t="str">
        <f>IF(B15="","",T15/Dist.!$C$11)</f>
        <v/>
      </c>
      <c r="X15" s="524" t="str">
        <f t="shared" si="0"/>
        <v/>
      </c>
    </row>
    <row r="16" spans="2:24">
      <c r="B16" s="600"/>
      <c r="C16" s="643"/>
      <c r="D16" s="782"/>
      <c r="E16" s="783"/>
      <c r="F16" s="783"/>
      <c r="G16" s="783"/>
      <c r="H16" s="783"/>
      <c r="I16" s="783"/>
      <c r="J16" s="783"/>
      <c r="K16" s="783"/>
      <c r="L16" s="783"/>
      <c r="M16" s="783"/>
      <c r="N16" s="783"/>
      <c r="O16" s="784"/>
      <c r="P16" s="588"/>
      <c r="Q16" s="588"/>
      <c r="R16" s="588"/>
      <c r="S16" s="660" t="str">
        <f t="shared" si="1"/>
        <v/>
      </c>
      <c r="T16" s="588"/>
      <c r="U16" s="588"/>
      <c r="V16" s="588"/>
      <c r="W16" s="684" t="str">
        <f>IF(B16="","",T16/Dist.!$C$11)</f>
        <v/>
      </c>
      <c r="X16" s="524" t="str">
        <f t="shared" si="0"/>
        <v/>
      </c>
    </row>
    <row r="17" spans="2:24">
      <c r="B17" s="600"/>
      <c r="C17" s="643"/>
      <c r="D17" s="782"/>
      <c r="E17" s="783"/>
      <c r="F17" s="783"/>
      <c r="G17" s="783"/>
      <c r="H17" s="783"/>
      <c r="I17" s="783"/>
      <c r="J17" s="783"/>
      <c r="K17" s="783"/>
      <c r="L17" s="783"/>
      <c r="M17" s="783"/>
      <c r="N17" s="783"/>
      <c r="O17" s="784"/>
      <c r="P17" s="588"/>
      <c r="Q17" s="588"/>
      <c r="R17" s="588"/>
      <c r="S17" s="660" t="str">
        <f t="shared" si="1"/>
        <v/>
      </c>
      <c r="T17" s="588"/>
      <c r="U17" s="588"/>
      <c r="V17" s="588"/>
      <c r="W17" s="684" t="str">
        <f>IF(B17="","",T17/Dist.!$C$11)</f>
        <v/>
      </c>
      <c r="X17" s="524" t="str">
        <f t="shared" si="0"/>
        <v/>
      </c>
    </row>
    <row r="18" spans="2:24">
      <c r="B18" s="600"/>
      <c r="C18" s="643"/>
      <c r="D18" s="782"/>
      <c r="E18" s="783"/>
      <c r="F18" s="783"/>
      <c r="G18" s="783"/>
      <c r="H18" s="783"/>
      <c r="I18" s="783"/>
      <c r="J18" s="783"/>
      <c r="K18" s="783"/>
      <c r="L18" s="783"/>
      <c r="M18" s="783"/>
      <c r="N18" s="783"/>
      <c r="O18" s="784"/>
      <c r="P18" s="588"/>
      <c r="Q18" s="588"/>
      <c r="R18" s="588"/>
      <c r="S18" s="660" t="str">
        <f t="shared" si="1"/>
        <v/>
      </c>
      <c r="T18" s="588"/>
      <c r="U18" s="588"/>
      <c r="V18" s="588"/>
      <c r="W18" s="684" t="str">
        <f>IF(B18="","",T18/Dist.!$C$11)</f>
        <v/>
      </c>
      <c r="X18" s="524" t="str">
        <f t="shared" si="0"/>
        <v/>
      </c>
    </row>
    <row r="19" spans="2:24">
      <c r="B19" s="600"/>
      <c r="C19" s="643"/>
      <c r="D19" s="782"/>
      <c r="E19" s="783"/>
      <c r="F19" s="783"/>
      <c r="G19" s="783"/>
      <c r="H19" s="783"/>
      <c r="I19" s="783"/>
      <c r="J19" s="783"/>
      <c r="K19" s="783"/>
      <c r="L19" s="783"/>
      <c r="M19" s="783"/>
      <c r="N19" s="783"/>
      <c r="O19" s="784"/>
      <c r="P19" s="588"/>
      <c r="Q19" s="588"/>
      <c r="R19" s="588"/>
      <c r="S19" s="660" t="str">
        <f t="shared" si="1"/>
        <v/>
      </c>
      <c r="T19" s="588"/>
      <c r="U19" s="588"/>
      <c r="V19" s="588"/>
      <c r="W19" s="684" t="str">
        <f>IF(B19="","",T19/Dist.!$C$11)</f>
        <v/>
      </c>
      <c r="X19" s="524" t="str">
        <f t="shared" si="0"/>
        <v/>
      </c>
    </row>
    <row r="20" spans="2:24">
      <c r="B20" s="600"/>
      <c r="C20" s="643"/>
      <c r="D20" s="782"/>
      <c r="E20" s="783"/>
      <c r="F20" s="783"/>
      <c r="G20" s="783"/>
      <c r="H20" s="783"/>
      <c r="I20" s="783"/>
      <c r="J20" s="783"/>
      <c r="K20" s="783"/>
      <c r="L20" s="783"/>
      <c r="M20" s="783"/>
      <c r="N20" s="783"/>
      <c r="O20" s="784"/>
      <c r="P20" s="588"/>
      <c r="Q20" s="588"/>
      <c r="R20" s="588"/>
      <c r="S20" s="660" t="str">
        <f t="shared" si="1"/>
        <v/>
      </c>
      <c r="T20" s="588"/>
      <c r="U20" s="588"/>
      <c r="V20" s="588"/>
      <c r="W20" s="684" t="str">
        <f>IF(B20="","",T20/Dist.!$C$11)</f>
        <v/>
      </c>
      <c r="X20" s="524" t="str">
        <f t="shared" si="0"/>
        <v/>
      </c>
    </row>
    <row r="21" spans="2:24">
      <c r="B21" s="600"/>
      <c r="C21" s="643"/>
      <c r="D21" s="782"/>
      <c r="E21" s="783"/>
      <c r="F21" s="783"/>
      <c r="G21" s="783"/>
      <c r="H21" s="783"/>
      <c r="I21" s="783"/>
      <c r="J21" s="783"/>
      <c r="K21" s="783"/>
      <c r="L21" s="783"/>
      <c r="M21" s="783"/>
      <c r="N21" s="783"/>
      <c r="O21" s="784"/>
      <c r="P21" s="588"/>
      <c r="Q21" s="588"/>
      <c r="R21" s="588"/>
      <c r="S21" s="660" t="str">
        <f t="shared" si="1"/>
        <v/>
      </c>
      <c r="T21" s="588"/>
      <c r="U21" s="588"/>
      <c r="V21" s="588"/>
      <c r="W21" s="684" t="str">
        <f>IF(B21="","",T21/Dist.!$C$11)</f>
        <v/>
      </c>
      <c r="X21" s="524" t="str">
        <f t="shared" si="0"/>
        <v/>
      </c>
    </row>
    <row r="22" spans="2:24">
      <c r="B22" s="600"/>
      <c r="C22" s="643"/>
      <c r="D22" s="782"/>
      <c r="E22" s="783"/>
      <c r="F22" s="783"/>
      <c r="G22" s="783"/>
      <c r="H22" s="783"/>
      <c r="I22" s="783"/>
      <c r="J22" s="783"/>
      <c r="K22" s="783"/>
      <c r="L22" s="783"/>
      <c r="M22" s="783"/>
      <c r="N22" s="783"/>
      <c r="O22" s="784"/>
      <c r="P22" s="588"/>
      <c r="Q22" s="588"/>
      <c r="R22" s="588"/>
      <c r="S22" s="660" t="str">
        <f t="shared" si="1"/>
        <v/>
      </c>
      <c r="T22" s="588"/>
      <c r="U22" s="588"/>
      <c r="V22" s="588"/>
      <c r="W22" s="684" t="str">
        <f>IF(B22="","",T22/Dist.!$C$11)</f>
        <v/>
      </c>
      <c r="X22" s="524" t="str">
        <f t="shared" si="0"/>
        <v/>
      </c>
    </row>
    <row r="23" spans="2:24">
      <c r="B23" s="600"/>
      <c r="C23" s="643"/>
      <c r="D23" s="782"/>
      <c r="E23" s="783"/>
      <c r="F23" s="783"/>
      <c r="G23" s="783"/>
      <c r="H23" s="783"/>
      <c r="I23" s="783"/>
      <c r="J23" s="783"/>
      <c r="K23" s="783"/>
      <c r="L23" s="783"/>
      <c r="M23" s="783"/>
      <c r="N23" s="783"/>
      <c r="O23" s="784"/>
      <c r="P23" s="588"/>
      <c r="Q23" s="588"/>
      <c r="R23" s="588"/>
      <c r="S23" s="660" t="str">
        <f t="shared" si="1"/>
        <v/>
      </c>
      <c r="T23" s="588"/>
      <c r="U23" s="588"/>
      <c r="V23" s="588"/>
      <c r="W23" s="684" t="str">
        <f>IF(B23="","",T23/Dist.!$C$11)</f>
        <v/>
      </c>
      <c r="X23" s="524" t="str">
        <f t="shared" si="0"/>
        <v/>
      </c>
    </row>
    <row r="24" spans="2:24">
      <c r="B24" s="600"/>
      <c r="C24" s="643"/>
      <c r="D24" s="782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O24" s="784"/>
      <c r="P24" s="588"/>
      <c r="Q24" s="588"/>
      <c r="R24" s="588"/>
      <c r="S24" s="660" t="str">
        <f t="shared" si="1"/>
        <v/>
      </c>
      <c r="T24" s="588"/>
      <c r="U24" s="588"/>
      <c r="V24" s="588"/>
      <c r="W24" s="684" t="str">
        <f>IF(B24="","",T24/Dist.!$C$11)</f>
        <v/>
      </c>
      <c r="X24" s="524" t="str">
        <f t="shared" si="0"/>
        <v/>
      </c>
    </row>
    <row r="25" spans="2:24" ht="13.5" thickBot="1">
      <c r="B25" s="600"/>
      <c r="C25" s="644"/>
      <c r="D25" s="785"/>
      <c r="E25" s="786"/>
      <c r="F25" s="786"/>
      <c r="G25" s="786"/>
      <c r="H25" s="786"/>
      <c r="I25" s="786"/>
      <c r="J25" s="786"/>
      <c r="K25" s="786"/>
      <c r="L25" s="786"/>
      <c r="M25" s="786"/>
      <c r="N25" s="786"/>
      <c r="O25" s="787"/>
      <c r="P25" s="588"/>
      <c r="Q25" s="588"/>
      <c r="R25" s="588"/>
      <c r="S25" s="660" t="str">
        <f t="shared" si="1"/>
        <v/>
      </c>
      <c r="T25" s="588"/>
      <c r="U25" s="588"/>
      <c r="V25" s="588"/>
      <c r="W25" s="684" t="str">
        <f>IF(B25="","",T25/Dist.!$C$11)</f>
        <v/>
      </c>
      <c r="X25" s="524" t="str">
        <f t="shared" si="0"/>
        <v/>
      </c>
    </row>
    <row r="26" spans="2:24" ht="13.5" thickBot="1">
      <c r="B26" s="640"/>
      <c r="C26" s="640"/>
      <c r="D26" s="640"/>
      <c r="E26" s="640"/>
      <c r="F26" s="640"/>
      <c r="G26" s="640"/>
      <c r="H26" s="640"/>
      <c r="I26" s="640"/>
      <c r="J26" s="640"/>
      <c r="K26" s="640"/>
      <c r="L26" s="640"/>
      <c r="M26" s="640"/>
      <c r="N26" s="640"/>
      <c r="O26" s="640"/>
      <c r="P26" s="645">
        <f>IF(COUNT(P10:P25)=0,"",SUM(P10:P25))</f>
        <v>0</v>
      </c>
      <c r="Q26" s="646">
        <f>IF(COUNT(Q10:Q25)=0,"",SUM(Q10:Q25))</f>
        <v>0</v>
      </c>
      <c r="R26" s="646">
        <f>IF(COUNT(R10:R25)=0,"",SUM(R10:R25))</f>
        <v>0</v>
      </c>
      <c r="S26" s="661" t="str">
        <f>IF(SUM(S10:S25)=0,"",SUM(S10:S25))</f>
        <v/>
      </c>
      <c r="T26" s="645">
        <f>IF(COUNT(T10:T25)=0,"",SUM(T10:T25))</f>
        <v>0</v>
      </c>
      <c r="U26" s="646">
        <f>IF(COUNT(U10:U25)=0,"",SUM(U10:U25))</f>
        <v>0</v>
      </c>
      <c r="V26" s="646">
        <f>IF(COUNT(V10:V25)=0,"",SUM(V10:V25))</f>
        <v>0</v>
      </c>
      <c r="W26" s="685" t="str">
        <f>IF(SUM(W10:W25)=0,"",T26/Dist.!$C$11)</f>
        <v/>
      </c>
      <c r="X26" s="661" t="str">
        <f>IF(W26="","",IF(W26&lt;=$F$3,"YES","NO"))</f>
        <v/>
      </c>
    </row>
    <row r="27" spans="2:24">
      <c r="B27" s="650"/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38"/>
      <c r="U27" s="638"/>
      <c r="V27" s="638"/>
      <c r="W27" s="638"/>
      <c r="X27" s="638"/>
    </row>
    <row r="28" spans="2:24">
      <c r="B28" s="650"/>
      <c r="C28" s="650"/>
      <c r="D28" s="650"/>
      <c r="E28" s="650"/>
      <c r="F28" s="650"/>
      <c r="G28" s="650"/>
      <c r="H28" s="650"/>
      <c r="I28" s="531" t="s">
        <v>299</v>
      </c>
      <c r="J28" s="531"/>
      <c r="K28" s="531"/>
      <c r="L28" s="531"/>
      <c r="M28" s="531"/>
      <c r="N28" s="531"/>
      <c r="O28" s="650"/>
      <c r="P28" s="650"/>
      <c r="Q28" s="650"/>
      <c r="R28" s="650"/>
      <c r="S28" s="650"/>
      <c r="T28" s="638"/>
      <c r="U28" s="638"/>
      <c r="V28" s="638"/>
      <c r="W28" s="638"/>
      <c r="X28" s="638"/>
    </row>
    <row r="29" spans="2:24" ht="13.5" thickBot="1">
      <c r="B29" s="637" t="s">
        <v>293</v>
      </c>
    </row>
    <row r="30" spans="2:24">
      <c r="B30" s="775" t="s">
        <v>266</v>
      </c>
      <c r="C30" s="777" t="s">
        <v>259</v>
      </c>
      <c r="D30" s="791" t="s">
        <v>282</v>
      </c>
      <c r="E30" s="777"/>
      <c r="F30" s="777"/>
      <c r="G30" s="781"/>
      <c r="H30" s="791" t="s">
        <v>283</v>
      </c>
      <c r="I30" s="777"/>
      <c r="J30" s="777"/>
      <c r="K30" s="781"/>
      <c r="L30" s="791" t="s">
        <v>284</v>
      </c>
      <c r="M30" s="777"/>
      <c r="N30" s="777"/>
      <c r="O30" s="781"/>
      <c r="P30" s="791" t="s">
        <v>285</v>
      </c>
      <c r="Q30" s="777"/>
      <c r="R30" s="777"/>
      <c r="S30" s="781"/>
      <c r="T30" s="777" t="str">
        <f>"Estimated Revenue "&amp;Input!E8</f>
        <v>Estimated Revenue HY21</v>
      </c>
      <c r="U30" s="777"/>
      <c r="V30" s="777"/>
      <c r="W30" s="779"/>
    </row>
    <row r="31" spans="2:24">
      <c r="B31" s="776"/>
      <c r="C31" s="778"/>
      <c r="D31" s="653" t="s">
        <v>271</v>
      </c>
      <c r="E31" s="639" t="s">
        <v>270</v>
      </c>
      <c r="F31" s="639" t="s">
        <v>272</v>
      </c>
      <c r="G31" s="651" t="s">
        <v>273</v>
      </c>
      <c r="H31" s="653" t="s">
        <v>271</v>
      </c>
      <c r="I31" s="639" t="s">
        <v>270</v>
      </c>
      <c r="J31" s="639" t="s">
        <v>272</v>
      </c>
      <c r="K31" s="651" t="s">
        <v>273</v>
      </c>
      <c r="L31" s="653" t="s">
        <v>271</v>
      </c>
      <c r="M31" s="639" t="s">
        <v>270</v>
      </c>
      <c r="N31" s="639" t="s">
        <v>272</v>
      </c>
      <c r="O31" s="651" t="s">
        <v>273</v>
      </c>
      <c r="P31" s="653" t="s">
        <v>271</v>
      </c>
      <c r="Q31" s="639" t="s">
        <v>270</v>
      </c>
      <c r="R31" s="639" t="s">
        <v>272</v>
      </c>
      <c r="S31" s="651" t="s">
        <v>273</v>
      </c>
      <c r="T31" s="639" t="s">
        <v>267</v>
      </c>
      <c r="U31" s="639" t="s">
        <v>187</v>
      </c>
      <c r="V31" s="639" t="s">
        <v>188</v>
      </c>
      <c r="W31" s="658" t="s">
        <v>28</v>
      </c>
    </row>
    <row r="32" spans="2:24">
      <c r="B32" s="600"/>
      <c r="C32" s="642"/>
      <c r="D32" s="588"/>
      <c r="E32" s="588"/>
      <c r="F32" s="588"/>
      <c r="G32" s="652"/>
      <c r="H32" s="588"/>
      <c r="I32" s="588"/>
      <c r="J32" s="588"/>
      <c r="K32" s="588"/>
      <c r="L32" s="654"/>
      <c r="M32" s="588"/>
      <c r="N32" s="588"/>
      <c r="O32" s="588"/>
      <c r="P32" s="654"/>
      <c r="Q32" s="588"/>
      <c r="R32" s="588"/>
      <c r="S32" s="652"/>
      <c r="T32" s="588"/>
      <c r="U32" s="588"/>
      <c r="V32" s="588"/>
      <c r="W32" s="659" t="str">
        <f t="shared" ref="W32:W47" si="2">IF(B32="","",SUM(T32:V32))</f>
        <v/>
      </c>
    </row>
    <row r="33" spans="2:23">
      <c r="B33" s="600"/>
      <c r="C33" s="643"/>
      <c r="D33" s="588"/>
      <c r="E33" s="588"/>
      <c r="F33" s="588"/>
      <c r="G33" s="652"/>
      <c r="H33" s="588"/>
      <c r="I33" s="588"/>
      <c r="J33" s="588"/>
      <c r="K33" s="588"/>
      <c r="L33" s="654"/>
      <c r="M33" s="588"/>
      <c r="N33" s="588"/>
      <c r="O33" s="588"/>
      <c r="P33" s="654"/>
      <c r="Q33" s="588"/>
      <c r="R33" s="588"/>
      <c r="S33" s="652"/>
      <c r="T33" s="588"/>
      <c r="U33" s="588"/>
      <c r="V33" s="588"/>
      <c r="W33" s="660" t="str">
        <f t="shared" si="2"/>
        <v/>
      </c>
    </row>
    <row r="34" spans="2:23">
      <c r="B34" s="600"/>
      <c r="C34" s="643"/>
      <c r="D34" s="588"/>
      <c r="E34" s="588"/>
      <c r="F34" s="588"/>
      <c r="G34" s="652"/>
      <c r="H34" s="588"/>
      <c r="I34" s="588"/>
      <c r="J34" s="588"/>
      <c r="K34" s="588"/>
      <c r="L34" s="654"/>
      <c r="M34" s="588"/>
      <c r="N34" s="588"/>
      <c r="O34" s="588"/>
      <c r="P34" s="654"/>
      <c r="Q34" s="588"/>
      <c r="R34" s="588"/>
      <c r="S34" s="652"/>
      <c r="T34" s="588"/>
      <c r="U34" s="588"/>
      <c r="V34" s="588"/>
      <c r="W34" s="660" t="str">
        <f t="shared" si="2"/>
        <v/>
      </c>
    </row>
    <row r="35" spans="2:23">
      <c r="B35" s="600"/>
      <c r="C35" s="643"/>
      <c r="D35" s="588"/>
      <c r="E35" s="588"/>
      <c r="F35" s="588"/>
      <c r="G35" s="652"/>
      <c r="H35" s="588"/>
      <c r="I35" s="588"/>
      <c r="J35" s="588"/>
      <c r="K35" s="588"/>
      <c r="L35" s="654"/>
      <c r="M35" s="588"/>
      <c r="N35" s="588"/>
      <c r="O35" s="588"/>
      <c r="P35" s="654"/>
      <c r="Q35" s="588"/>
      <c r="R35" s="588"/>
      <c r="S35" s="652"/>
      <c r="T35" s="588"/>
      <c r="U35" s="588"/>
      <c r="V35" s="588"/>
      <c r="W35" s="660" t="str">
        <f t="shared" si="2"/>
        <v/>
      </c>
    </row>
    <row r="36" spans="2:23">
      <c r="B36" s="600"/>
      <c r="C36" s="643"/>
      <c r="D36" s="588"/>
      <c r="E36" s="588"/>
      <c r="F36" s="588"/>
      <c r="G36" s="652"/>
      <c r="H36" s="588"/>
      <c r="I36" s="588"/>
      <c r="J36" s="588"/>
      <c r="K36" s="588"/>
      <c r="L36" s="654"/>
      <c r="M36" s="588"/>
      <c r="N36" s="588"/>
      <c r="O36" s="588"/>
      <c r="P36" s="654"/>
      <c r="Q36" s="588"/>
      <c r="R36" s="588"/>
      <c r="S36" s="652"/>
      <c r="T36" s="588"/>
      <c r="U36" s="588"/>
      <c r="V36" s="588"/>
      <c r="W36" s="660" t="str">
        <f t="shared" si="2"/>
        <v/>
      </c>
    </row>
    <row r="37" spans="2:23">
      <c r="B37" s="600"/>
      <c r="C37" s="643"/>
      <c r="D37" s="588"/>
      <c r="E37" s="588"/>
      <c r="F37" s="588"/>
      <c r="G37" s="652"/>
      <c r="H37" s="588"/>
      <c r="I37" s="588"/>
      <c r="J37" s="588"/>
      <c r="K37" s="588"/>
      <c r="L37" s="654"/>
      <c r="M37" s="588"/>
      <c r="N37" s="588"/>
      <c r="O37" s="588"/>
      <c r="P37" s="654"/>
      <c r="Q37" s="588"/>
      <c r="R37" s="588"/>
      <c r="S37" s="652"/>
      <c r="T37" s="588"/>
      <c r="U37" s="588"/>
      <c r="V37" s="588"/>
      <c r="W37" s="660" t="str">
        <f t="shared" si="2"/>
        <v/>
      </c>
    </row>
    <row r="38" spans="2:23">
      <c r="B38" s="600"/>
      <c r="C38" s="643"/>
      <c r="D38" s="588"/>
      <c r="E38" s="588"/>
      <c r="F38" s="588"/>
      <c r="G38" s="652"/>
      <c r="H38" s="588"/>
      <c r="I38" s="588"/>
      <c r="J38" s="588"/>
      <c r="K38" s="588"/>
      <c r="L38" s="654"/>
      <c r="M38" s="588"/>
      <c r="N38" s="588"/>
      <c r="O38" s="588"/>
      <c r="P38" s="654"/>
      <c r="Q38" s="588"/>
      <c r="R38" s="588"/>
      <c r="S38" s="652"/>
      <c r="T38" s="588"/>
      <c r="U38" s="588"/>
      <c r="V38" s="588"/>
      <c r="W38" s="660" t="str">
        <f t="shared" si="2"/>
        <v/>
      </c>
    </row>
    <row r="39" spans="2:23">
      <c r="B39" s="600"/>
      <c r="C39" s="643"/>
      <c r="D39" s="588"/>
      <c r="E39" s="588"/>
      <c r="F39" s="588"/>
      <c r="G39" s="652"/>
      <c r="H39" s="588"/>
      <c r="I39" s="588"/>
      <c r="J39" s="588"/>
      <c r="K39" s="588"/>
      <c r="L39" s="654"/>
      <c r="M39" s="588"/>
      <c r="N39" s="588"/>
      <c r="O39" s="588"/>
      <c r="P39" s="654"/>
      <c r="Q39" s="588"/>
      <c r="R39" s="588"/>
      <c r="S39" s="652"/>
      <c r="T39" s="588"/>
      <c r="U39" s="588"/>
      <c r="V39" s="588"/>
      <c r="W39" s="660" t="str">
        <f t="shared" si="2"/>
        <v/>
      </c>
    </row>
    <row r="40" spans="2:23">
      <c r="B40" s="600"/>
      <c r="C40" s="643"/>
      <c r="D40" s="588"/>
      <c r="E40" s="588"/>
      <c r="F40" s="588"/>
      <c r="G40" s="652"/>
      <c r="H40" s="588"/>
      <c r="I40" s="588"/>
      <c r="J40" s="588"/>
      <c r="K40" s="588"/>
      <c r="L40" s="654"/>
      <c r="M40" s="588"/>
      <c r="N40" s="588"/>
      <c r="O40" s="588"/>
      <c r="P40" s="654"/>
      <c r="Q40" s="588"/>
      <c r="R40" s="588"/>
      <c r="S40" s="652"/>
      <c r="T40" s="588"/>
      <c r="U40" s="588"/>
      <c r="V40" s="588"/>
      <c r="W40" s="660" t="str">
        <f t="shared" si="2"/>
        <v/>
      </c>
    </row>
    <row r="41" spans="2:23">
      <c r="B41" s="600"/>
      <c r="C41" s="643"/>
      <c r="D41" s="588"/>
      <c r="E41" s="588"/>
      <c r="F41" s="588"/>
      <c r="G41" s="652"/>
      <c r="H41" s="588"/>
      <c r="I41" s="588"/>
      <c r="J41" s="588"/>
      <c r="K41" s="588"/>
      <c r="L41" s="654"/>
      <c r="M41" s="588"/>
      <c r="N41" s="588"/>
      <c r="O41" s="588"/>
      <c r="P41" s="654"/>
      <c r="Q41" s="588"/>
      <c r="R41" s="588"/>
      <c r="S41" s="652"/>
      <c r="T41" s="588"/>
      <c r="U41" s="588"/>
      <c r="V41" s="588"/>
      <c r="W41" s="660" t="str">
        <f t="shared" si="2"/>
        <v/>
      </c>
    </row>
    <row r="42" spans="2:23">
      <c r="B42" s="600"/>
      <c r="C42" s="643"/>
      <c r="D42" s="588"/>
      <c r="E42" s="588"/>
      <c r="F42" s="588"/>
      <c r="G42" s="652"/>
      <c r="H42" s="588"/>
      <c r="I42" s="588"/>
      <c r="J42" s="588"/>
      <c r="K42" s="588"/>
      <c r="L42" s="654"/>
      <c r="M42" s="588"/>
      <c r="N42" s="588"/>
      <c r="O42" s="588"/>
      <c r="P42" s="654"/>
      <c r="Q42" s="588"/>
      <c r="R42" s="588"/>
      <c r="S42" s="652"/>
      <c r="T42" s="588"/>
      <c r="U42" s="588"/>
      <c r="V42" s="588"/>
      <c r="W42" s="660" t="str">
        <f t="shared" si="2"/>
        <v/>
      </c>
    </row>
    <row r="43" spans="2:23">
      <c r="B43" s="600"/>
      <c r="C43" s="643"/>
      <c r="D43" s="588"/>
      <c r="E43" s="588"/>
      <c r="F43" s="588"/>
      <c r="G43" s="652"/>
      <c r="H43" s="588"/>
      <c r="I43" s="588"/>
      <c r="J43" s="588"/>
      <c r="K43" s="588"/>
      <c r="L43" s="654"/>
      <c r="M43" s="588"/>
      <c r="N43" s="588"/>
      <c r="O43" s="588"/>
      <c r="P43" s="654"/>
      <c r="Q43" s="588"/>
      <c r="R43" s="588"/>
      <c r="S43" s="652"/>
      <c r="T43" s="588"/>
      <c r="U43" s="588"/>
      <c r="V43" s="588"/>
      <c r="W43" s="660" t="str">
        <f t="shared" si="2"/>
        <v/>
      </c>
    </row>
    <row r="44" spans="2:23">
      <c r="B44" s="600"/>
      <c r="C44" s="643"/>
      <c r="D44" s="588"/>
      <c r="E44" s="588"/>
      <c r="F44" s="588"/>
      <c r="G44" s="652"/>
      <c r="H44" s="588"/>
      <c r="I44" s="588"/>
      <c r="J44" s="588"/>
      <c r="K44" s="588"/>
      <c r="L44" s="654"/>
      <c r="M44" s="588"/>
      <c r="N44" s="588"/>
      <c r="O44" s="588"/>
      <c r="P44" s="654"/>
      <c r="Q44" s="588"/>
      <c r="R44" s="588"/>
      <c r="S44" s="652"/>
      <c r="T44" s="588"/>
      <c r="U44" s="588"/>
      <c r="V44" s="588"/>
      <c r="W44" s="660" t="str">
        <f t="shared" si="2"/>
        <v/>
      </c>
    </row>
    <row r="45" spans="2:23">
      <c r="B45" s="600"/>
      <c r="C45" s="643"/>
      <c r="D45" s="588"/>
      <c r="E45" s="588"/>
      <c r="F45" s="588"/>
      <c r="G45" s="652"/>
      <c r="H45" s="588"/>
      <c r="I45" s="588"/>
      <c r="J45" s="588"/>
      <c r="K45" s="588"/>
      <c r="L45" s="654"/>
      <c r="M45" s="588"/>
      <c r="N45" s="588"/>
      <c r="O45" s="588"/>
      <c r="P45" s="654"/>
      <c r="Q45" s="588"/>
      <c r="R45" s="588"/>
      <c r="S45" s="652"/>
      <c r="T45" s="588"/>
      <c r="U45" s="588"/>
      <c r="V45" s="588"/>
      <c r="W45" s="660" t="str">
        <f t="shared" si="2"/>
        <v/>
      </c>
    </row>
    <row r="46" spans="2:23">
      <c r="B46" s="600"/>
      <c r="C46" s="643"/>
      <c r="D46" s="588"/>
      <c r="E46" s="588"/>
      <c r="F46" s="588"/>
      <c r="G46" s="652"/>
      <c r="H46" s="588"/>
      <c r="I46" s="588"/>
      <c r="J46" s="588"/>
      <c r="K46" s="588"/>
      <c r="L46" s="654"/>
      <c r="M46" s="588"/>
      <c r="N46" s="588"/>
      <c r="O46" s="588"/>
      <c r="P46" s="654"/>
      <c r="Q46" s="588"/>
      <c r="R46" s="588"/>
      <c r="S46" s="652"/>
      <c r="T46" s="588"/>
      <c r="U46" s="588"/>
      <c r="V46" s="588"/>
      <c r="W46" s="660" t="str">
        <f t="shared" si="2"/>
        <v/>
      </c>
    </row>
    <row r="47" spans="2:23" ht="13.5" thickBot="1">
      <c r="B47" s="600"/>
      <c r="C47" s="644"/>
      <c r="D47" s="588"/>
      <c r="E47" s="588"/>
      <c r="F47" s="588"/>
      <c r="G47" s="652"/>
      <c r="H47" s="588"/>
      <c r="I47" s="588"/>
      <c r="J47" s="588"/>
      <c r="K47" s="588"/>
      <c r="L47" s="654"/>
      <c r="M47" s="588"/>
      <c r="N47" s="588"/>
      <c r="O47" s="588"/>
      <c r="P47" s="654"/>
      <c r="Q47" s="588"/>
      <c r="R47" s="588"/>
      <c r="S47" s="652"/>
      <c r="T47" s="588"/>
      <c r="U47" s="588"/>
      <c r="V47" s="588"/>
      <c r="W47" s="660" t="str">
        <f t="shared" si="2"/>
        <v/>
      </c>
    </row>
    <row r="48" spans="2:23" ht="13.5" thickBot="1">
      <c r="B48" s="640"/>
      <c r="C48" s="640"/>
      <c r="D48" s="640"/>
      <c r="E48" s="640"/>
      <c r="F48" s="640"/>
      <c r="G48" s="640"/>
      <c r="H48" s="640"/>
      <c r="I48" s="640"/>
      <c r="J48" s="640"/>
      <c r="K48" s="640"/>
      <c r="L48" s="640"/>
      <c r="M48" s="640"/>
      <c r="N48" s="640"/>
      <c r="O48" s="640"/>
      <c r="P48" s="640"/>
      <c r="Q48" s="640"/>
      <c r="R48" s="640"/>
      <c r="S48" s="641"/>
      <c r="T48" s="645" t="str">
        <f>IF(SUM(T32:T47)=0,"",SUM(T32:T47))</f>
        <v/>
      </c>
      <c r="U48" s="646" t="str">
        <f>IF(SUM(U32:U47)=0,"",SUM(U32:U47))</f>
        <v/>
      </c>
      <c r="V48" s="646" t="str">
        <f>IF(SUM(V32:V47)=0,"",SUM(V32:V47))</f>
        <v/>
      </c>
      <c r="W48" s="661" t="str">
        <f>IF(SUM(W32:W47)=0,"",SUM(W32:W47))</f>
        <v/>
      </c>
    </row>
  </sheetData>
  <mergeCells count="30">
    <mergeCell ref="D10:O10"/>
    <mergeCell ref="T8:W8"/>
    <mergeCell ref="B30:B31"/>
    <mergeCell ref="C30:C31"/>
    <mergeCell ref="D30:G30"/>
    <mergeCell ref="H30:K30"/>
    <mergeCell ref="L30:O30"/>
    <mergeCell ref="P30:S30"/>
    <mergeCell ref="T30:W30"/>
    <mergeCell ref="D15:O15"/>
    <mergeCell ref="D14:O14"/>
    <mergeCell ref="D13:O13"/>
    <mergeCell ref="D12:O12"/>
    <mergeCell ref="D11:O11"/>
    <mergeCell ref="D20:O20"/>
    <mergeCell ref="D19:O19"/>
    <mergeCell ref="D18:O18"/>
    <mergeCell ref="D17:O17"/>
    <mergeCell ref="D16:O16"/>
    <mergeCell ref="D25:O25"/>
    <mergeCell ref="D24:O24"/>
    <mergeCell ref="D23:O23"/>
    <mergeCell ref="D22:O22"/>
    <mergeCell ref="D21:O21"/>
    <mergeCell ref="B8:B9"/>
    <mergeCell ref="C8:C9"/>
    <mergeCell ref="X8:X9"/>
    <mergeCell ref="P8:S8"/>
    <mergeCell ref="L8:O8"/>
    <mergeCell ref="H8:K8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0.39997558519241921"/>
  </sheetPr>
  <dimension ref="A2:AD74"/>
  <sheetViews>
    <sheetView showGridLines="0" zoomScale="80" zoomScaleNormal="80" workbookViewId="0">
      <selection activeCell="G4" sqref="G4"/>
    </sheetView>
  </sheetViews>
  <sheetFormatPr defaultRowHeight="14.25"/>
  <cols>
    <col min="1" max="1" width="1.5703125" style="1" customWidth="1"/>
    <col min="2" max="2" width="59.7109375" style="2" customWidth="1"/>
    <col min="3" max="3" width="18.5703125" style="3" customWidth="1"/>
    <col min="4" max="4" width="3.28515625" style="4" customWidth="1"/>
    <col min="5" max="5" width="18.5703125" style="4" customWidth="1"/>
    <col min="6" max="6" width="9.5703125" style="4" customWidth="1"/>
    <col min="7" max="7" width="61.140625" style="4" customWidth="1"/>
    <col min="8" max="8" width="7" style="4" customWidth="1"/>
    <col min="9" max="10" width="18.140625" style="5" customWidth="1"/>
    <col min="11" max="12" width="18.140625" style="4" customWidth="1"/>
    <col min="13" max="16" width="9.140625" style="4" customWidth="1"/>
    <col min="17" max="17" width="18.42578125" style="4" bestFit="1" customWidth="1"/>
    <col min="18" max="20" width="9.140625" style="4"/>
    <col min="21" max="21" width="9.140625" style="4" customWidth="1"/>
    <col min="22" max="255" width="9.140625" style="4"/>
    <col min="256" max="256" width="2.7109375" style="4" customWidth="1"/>
    <col min="257" max="257" width="114.42578125" style="4" customWidth="1"/>
    <col min="258" max="258" width="0" style="4" hidden="1" customWidth="1"/>
    <col min="259" max="259" width="27.5703125" style="4" customWidth="1"/>
    <col min="260" max="260" width="20" style="4" customWidth="1"/>
    <col min="261" max="261" width="18.28515625" style="4" customWidth="1"/>
    <col min="262" max="262" width="20.140625" style="4" customWidth="1"/>
    <col min="263" max="263" width="10.7109375" style="4" customWidth="1"/>
    <col min="264" max="264" width="14.42578125" style="4" bestFit="1" customWidth="1"/>
    <col min="265" max="265" width="10.7109375" style="4" customWidth="1"/>
    <col min="266" max="266" width="12.7109375" style="4" bestFit="1" customWidth="1"/>
    <col min="267" max="269" width="8.42578125" style="4" customWidth="1"/>
    <col min="270" max="272" width="13" style="4" customWidth="1"/>
    <col min="273" max="276" width="9.140625" style="4"/>
    <col min="277" max="277" width="8.7109375" style="4" customWidth="1"/>
    <col min="278" max="511" width="9.140625" style="4"/>
    <col min="512" max="512" width="2.7109375" style="4" customWidth="1"/>
    <col min="513" max="513" width="114.42578125" style="4" customWidth="1"/>
    <col min="514" max="514" width="0" style="4" hidden="1" customWidth="1"/>
    <col min="515" max="515" width="27.5703125" style="4" customWidth="1"/>
    <col min="516" max="516" width="20" style="4" customWidth="1"/>
    <col min="517" max="517" width="18.28515625" style="4" customWidth="1"/>
    <col min="518" max="518" width="20.140625" style="4" customWidth="1"/>
    <col min="519" max="519" width="10.7109375" style="4" customWidth="1"/>
    <col min="520" max="520" width="14.42578125" style="4" bestFit="1" customWidth="1"/>
    <col min="521" max="521" width="10.7109375" style="4" customWidth="1"/>
    <col min="522" max="522" width="12.7109375" style="4" bestFit="1" customWidth="1"/>
    <col min="523" max="525" width="8.42578125" style="4" customWidth="1"/>
    <col min="526" max="528" width="13" style="4" customWidth="1"/>
    <col min="529" max="532" width="9.140625" style="4"/>
    <col min="533" max="533" width="8.7109375" style="4" customWidth="1"/>
    <col min="534" max="767" width="9.140625" style="4"/>
    <col min="768" max="768" width="2.7109375" style="4" customWidth="1"/>
    <col min="769" max="769" width="114.42578125" style="4" customWidth="1"/>
    <col min="770" max="770" width="0" style="4" hidden="1" customWidth="1"/>
    <col min="771" max="771" width="27.5703125" style="4" customWidth="1"/>
    <col min="772" max="772" width="20" style="4" customWidth="1"/>
    <col min="773" max="773" width="18.28515625" style="4" customWidth="1"/>
    <col min="774" max="774" width="20.140625" style="4" customWidth="1"/>
    <col min="775" max="775" width="10.7109375" style="4" customWidth="1"/>
    <col min="776" max="776" width="14.42578125" style="4" bestFit="1" customWidth="1"/>
    <col min="777" max="777" width="10.7109375" style="4" customWidth="1"/>
    <col min="778" max="778" width="12.7109375" style="4" bestFit="1" customWidth="1"/>
    <col min="779" max="781" width="8.42578125" style="4" customWidth="1"/>
    <col min="782" max="784" width="13" style="4" customWidth="1"/>
    <col min="785" max="788" width="9.140625" style="4"/>
    <col min="789" max="789" width="8.7109375" style="4" customWidth="1"/>
    <col min="790" max="1023" width="9.140625" style="4"/>
    <col min="1024" max="1024" width="2.7109375" style="4" customWidth="1"/>
    <col min="1025" max="1025" width="114.42578125" style="4" customWidth="1"/>
    <col min="1026" max="1026" width="0" style="4" hidden="1" customWidth="1"/>
    <col min="1027" max="1027" width="27.5703125" style="4" customWidth="1"/>
    <col min="1028" max="1028" width="20" style="4" customWidth="1"/>
    <col min="1029" max="1029" width="18.28515625" style="4" customWidth="1"/>
    <col min="1030" max="1030" width="20.140625" style="4" customWidth="1"/>
    <col min="1031" max="1031" width="10.7109375" style="4" customWidth="1"/>
    <col min="1032" max="1032" width="14.42578125" style="4" bestFit="1" customWidth="1"/>
    <col min="1033" max="1033" width="10.7109375" style="4" customWidth="1"/>
    <col min="1034" max="1034" width="12.7109375" style="4" bestFit="1" customWidth="1"/>
    <col min="1035" max="1037" width="8.42578125" style="4" customWidth="1"/>
    <col min="1038" max="1040" width="13" style="4" customWidth="1"/>
    <col min="1041" max="1044" width="9.140625" style="4"/>
    <col min="1045" max="1045" width="8.7109375" style="4" customWidth="1"/>
    <col min="1046" max="1279" width="9.140625" style="4"/>
    <col min="1280" max="1280" width="2.7109375" style="4" customWidth="1"/>
    <col min="1281" max="1281" width="114.42578125" style="4" customWidth="1"/>
    <col min="1282" max="1282" width="0" style="4" hidden="1" customWidth="1"/>
    <col min="1283" max="1283" width="27.5703125" style="4" customWidth="1"/>
    <col min="1284" max="1284" width="20" style="4" customWidth="1"/>
    <col min="1285" max="1285" width="18.28515625" style="4" customWidth="1"/>
    <col min="1286" max="1286" width="20.140625" style="4" customWidth="1"/>
    <col min="1287" max="1287" width="10.7109375" style="4" customWidth="1"/>
    <col min="1288" max="1288" width="14.42578125" style="4" bestFit="1" customWidth="1"/>
    <col min="1289" max="1289" width="10.7109375" style="4" customWidth="1"/>
    <col min="1290" max="1290" width="12.7109375" style="4" bestFit="1" customWidth="1"/>
    <col min="1291" max="1293" width="8.42578125" style="4" customWidth="1"/>
    <col min="1294" max="1296" width="13" style="4" customWidth="1"/>
    <col min="1297" max="1300" width="9.140625" style="4"/>
    <col min="1301" max="1301" width="8.7109375" style="4" customWidth="1"/>
    <col min="1302" max="1535" width="9.140625" style="4"/>
    <col min="1536" max="1536" width="2.7109375" style="4" customWidth="1"/>
    <col min="1537" max="1537" width="114.42578125" style="4" customWidth="1"/>
    <col min="1538" max="1538" width="0" style="4" hidden="1" customWidth="1"/>
    <col min="1539" max="1539" width="27.5703125" style="4" customWidth="1"/>
    <col min="1540" max="1540" width="20" style="4" customWidth="1"/>
    <col min="1541" max="1541" width="18.28515625" style="4" customWidth="1"/>
    <col min="1542" max="1542" width="20.140625" style="4" customWidth="1"/>
    <col min="1543" max="1543" width="10.7109375" style="4" customWidth="1"/>
    <col min="1544" max="1544" width="14.42578125" style="4" bestFit="1" customWidth="1"/>
    <col min="1545" max="1545" width="10.7109375" style="4" customWidth="1"/>
    <col min="1546" max="1546" width="12.7109375" style="4" bestFit="1" customWidth="1"/>
    <col min="1547" max="1549" width="8.42578125" style="4" customWidth="1"/>
    <col min="1550" max="1552" width="13" style="4" customWidth="1"/>
    <col min="1553" max="1556" width="9.140625" style="4"/>
    <col min="1557" max="1557" width="8.7109375" style="4" customWidth="1"/>
    <col min="1558" max="1791" width="9.140625" style="4"/>
    <col min="1792" max="1792" width="2.7109375" style="4" customWidth="1"/>
    <col min="1793" max="1793" width="114.42578125" style="4" customWidth="1"/>
    <col min="1794" max="1794" width="0" style="4" hidden="1" customWidth="1"/>
    <col min="1795" max="1795" width="27.5703125" style="4" customWidth="1"/>
    <col min="1796" max="1796" width="20" style="4" customWidth="1"/>
    <col min="1797" max="1797" width="18.28515625" style="4" customWidth="1"/>
    <col min="1798" max="1798" width="20.140625" style="4" customWidth="1"/>
    <col min="1799" max="1799" width="10.7109375" style="4" customWidth="1"/>
    <col min="1800" max="1800" width="14.42578125" style="4" bestFit="1" customWidth="1"/>
    <col min="1801" max="1801" width="10.7109375" style="4" customWidth="1"/>
    <col min="1802" max="1802" width="12.7109375" style="4" bestFit="1" customWidth="1"/>
    <col min="1803" max="1805" width="8.42578125" style="4" customWidth="1"/>
    <col min="1806" max="1808" width="13" style="4" customWidth="1"/>
    <col min="1809" max="1812" width="9.140625" style="4"/>
    <col min="1813" max="1813" width="8.7109375" style="4" customWidth="1"/>
    <col min="1814" max="2047" width="9.140625" style="4"/>
    <col min="2048" max="2048" width="2.7109375" style="4" customWidth="1"/>
    <col min="2049" max="2049" width="114.42578125" style="4" customWidth="1"/>
    <col min="2050" max="2050" width="0" style="4" hidden="1" customWidth="1"/>
    <col min="2051" max="2051" width="27.5703125" style="4" customWidth="1"/>
    <col min="2052" max="2052" width="20" style="4" customWidth="1"/>
    <col min="2053" max="2053" width="18.28515625" style="4" customWidth="1"/>
    <col min="2054" max="2054" width="20.140625" style="4" customWidth="1"/>
    <col min="2055" max="2055" width="10.7109375" style="4" customWidth="1"/>
    <col min="2056" max="2056" width="14.42578125" style="4" bestFit="1" customWidth="1"/>
    <col min="2057" max="2057" width="10.7109375" style="4" customWidth="1"/>
    <col min="2058" max="2058" width="12.7109375" style="4" bestFit="1" customWidth="1"/>
    <col min="2059" max="2061" width="8.42578125" style="4" customWidth="1"/>
    <col min="2062" max="2064" width="13" style="4" customWidth="1"/>
    <col min="2065" max="2068" width="9.140625" style="4"/>
    <col min="2069" max="2069" width="8.7109375" style="4" customWidth="1"/>
    <col min="2070" max="2303" width="9.140625" style="4"/>
    <col min="2304" max="2304" width="2.7109375" style="4" customWidth="1"/>
    <col min="2305" max="2305" width="114.42578125" style="4" customWidth="1"/>
    <col min="2306" max="2306" width="0" style="4" hidden="1" customWidth="1"/>
    <col min="2307" max="2307" width="27.5703125" style="4" customWidth="1"/>
    <col min="2308" max="2308" width="20" style="4" customWidth="1"/>
    <col min="2309" max="2309" width="18.28515625" style="4" customWidth="1"/>
    <col min="2310" max="2310" width="20.140625" style="4" customWidth="1"/>
    <col min="2311" max="2311" width="10.7109375" style="4" customWidth="1"/>
    <col min="2312" max="2312" width="14.42578125" style="4" bestFit="1" customWidth="1"/>
    <col min="2313" max="2313" width="10.7109375" style="4" customWidth="1"/>
    <col min="2314" max="2314" width="12.7109375" style="4" bestFit="1" customWidth="1"/>
    <col min="2315" max="2317" width="8.42578125" style="4" customWidth="1"/>
    <col min="2318" max="2320" width="13" style="4" customWidth="1"/>
    <col min="2321" max="2324" width="9.140625" style="4"/>
    <col min="2325" max="2325" width="8.7109375" style="4" customWidth="1"/>
    <col min="2326" max="2559" width="9.140625" style="4"/>
    <col min="2560" max="2560" width="2.7109375" style="4" customWidth="1"/>
    <col min="2561" max="2561" width="114.42578125" style="4" customWidth="1"/>
    <col min="2562" max="2562" width="0" style="4" hidden="1" customWidth="1"/>
    <col min="2563" max="2563" width="27.5703125" style="4" customWidth="1"/>
    <col min="2564" max="2564" width="20" style="4" customWidth="1"/>
    <col min="2565" max="2565" width="18.28515625" style="4" customWidth="1"/>
    <col min="2566" max="2566" width="20.140625" style="4" customWidth="1"/>
    <col min="2567" max="2567" width="10.7109375" style="4" customWidth="1"/>
    <col min="2568" max="2568" width="14.42578125" style="4" bestFit="1" customWidth="1"/>
    <col min="2569" max="2569" width="10.7109375" style="4" customWidth="1"/>
    <col min="2570" max="2570" width="12.7109375" style="4" bestFit="1" customWidth="1"/>
    <col min="2571" max="2573" width="8.42578125" style="4" customWidth="1"/>
    <col min="2574" max="2576" width="13" style="4" customWidth="1"/>
    <col min="2577" max="2580" width="9.140625" style="4"/>
    <col min="2581" max="2581" width="8.7109375" style="4" customWidth="1"/>
    <col min="2582" max="2815" width="9.140625" style="4"/>
    <col min="2816" max="2816" width="2.7109375" style="4" customWidth="1"/>
    <col min="2817" max="2817" width="114.42578125" style="4" customWidth="1"/>
    <col min="2818" max="2818" width="0" style="4" hidden="1" customWidth="1"/>
    <col min="2819" max="2819" width="27.5703125" style="4" customWidth="1"/>
    <col min="2820" max="2820" width="20" style="4" customWidth="1"/>
    <col min="2821" max="2821" width="18.28515625" style="4" customWidth="1"/>
    <col min="2822" max="2822" width="20.140625" style="4" customWidth="1"/>
    <col min="2823" max="2823" width="10.7109375" style="4" customWidth="1"/>
    <col min="2824" max="2824" width="14.42578125" style="4" bestFit="1" customWidth="1"/>
    <col min="2825" max="2825" width="10.7109375" style="4" customWidth="1"/>
    <col min="2826" max="2826" width="12.7109375" style="4" bestFit="1" customWidth="1"/>
    <col min="2827" max="2829" width="8.42578125" style="4" customWidth="1"/>
    <col min="2830" max="2832" width="13" style="4" customWidth="1"/>
    <col min="2833" max="2836" width="9.140625" style="4"/>
    <col min="2837" max="2837" width="8.7109375" style="4" customWidth="1"/>
    <col min="2838" max="3071" width="9.140625" style="4"/>
    <col min="3072" max="3072" width="2.7109375" style="4" customWidth="1"/>
    <col min="3073" max="3073" width="114.42578125" style="4" customWidth="1"/>
    <col min="3074" max="3074" width="0" style="4" hidden="1" customWidth="1"/>
    <col min="3075" max="3075" width="27.5703125" style="4" customWidth="1"/>
    <col min="3076" max="3076" width="20" style="4" customWidth="1"/>
    <col min="3077" max="3077" width="18.28515625" style="4" customWidth="1"/>
    <col min="3078" max="3078" width="20.140625" style="4" customWidth="1"/>
    <col min="3079" max="3079" width="10.7109375" style="4" customWidth="1"/>
    <col min="3080" max="3080" width="14.42578125" style="4" bestFit="1" customWidth="1"/>
    <col min="3081" max="3081" width="10.7109375" style="4" customWidth="1"/>
    <col min="3082" max="3082" width="12.7109375" style="4" bestFit="1" customWidth="1"/>
    <col min="3083" max="3085" width="8.42578125" style="4" customWidth="1"/>
    <col min="3086" max="3088" width="13" style="4" customWidth="1"/>
    <col min="3089" max="3092" width="9.140625" style="4"/>
    <col min="3093" max="3093" width="8.7109375" style="4" customWidth="1"/>
    <col min="3094" max="3327" width="9.140625" style="4"/>
    <col min="3328" max="3328" width="2.7109375" style="4" customWidth="1"/>
    <col min="3329" max="3329" width="114.42578125" style="4" customWidth="1"/>
    <col min="3330" max="3330" width="0" style="4" hidden="1" customWidth="1"/>
    <col min="3331" max="3331" width="27.5703125" style="4" customWidth="1"/>
    <col min="3332" max="3332" width="20" style="4" customWidth="1"/>
    <col min="3333" max="3333" width="18.28515625" style="4" customWidth="1"/>
    <col min="3334" max="3334" width="20.140625" style="4" customWidth="1"/>
    <col min="3335" max="3335" width="10.7109375" style="4" customWidth="1"/>
    <col min="3336" max="3336" width="14.42578125" style="4" bestFit="1" customWidth="1"/>
    <col min="3337" max="3337" width="10.7109375" style="4" customWidth="1"/>
    <col min="3338" max="3338" width="12.7109375" style="4" bestFit="1" customWidth="1"/>
    <col min="3339" max="3341" width="8.42578125" style="4" customWidth="1"/>
    <col min="3342" max="3344" width="13" style="4" customWidth="1"/>
    <col min="3345" max="3348" width="9.140625" style="4"/>
    <col min="3349" max="3349" width="8.7109375" style="4" customWidth="1"/>
    <col min="3350" max="3583" width="9.140625" style="4"/>
    <col min="3584" max="3584" width="2.7109375" style="4" customWidth="1"/>
    <col min="3585" max="3585" width="114.42578125" style="4" customWidth="1"/>
    <col min="3586" max="3586" width="0" style="4" hidden="1" customWidth="1"/>
    <col min="3587" max="3587" width="27.5703125" style="4" customWidth="1"/>
    <col min="3588" max="3588" width="20" style="4" customWidth="1"/>
    <col min="3589" max="3589" width="18.28515625" style="4" customWidth="1"/>
    <col min="3590" max="3590" width="20.140625" style="4" customWidth="1"/>
    <col min="3591" max="3591" width="10.7109375" style="4" customWidth="1"/>
    <col min="3592" max="3592" width="14.42578125" style="4" bestFit="1" customWidth="1"/>
    <col min="3593" max="3593" width="10.7109375" style="4" customWidth="1"/>
    <col min="3594" max="3594" width="12.7109375" style="4" bestFit="1" customWidth="1"/>
    <col min="3595" max="3597" width="8.42578125" style="4" customWidth="1"/>
    <col min="3598" max="3600" width="13" style="4" customWidth="1"/>
    <col min="3601" max="3604" width="9.140625" style="4"/>
    <col min="3605" max="3605" width="8.7109375" style="4" customWidth="1"/>
    <col min="3606" max="3839" width="9.140625" style="4"/>
    <col min="3840" max="3840" width="2.7109375" style="4" customWidth="1"/>
    <col min="3841" max="3841" width="114.42578125" style="4" customWidth="1"/>
    <col min="3842" max="3842" width="0" style="4" hidden="1" customWidth="1"/>
    <col min="3843" max="3843" width="27.5703125" style="4" customWidth="1"/>
    <col min="3844" max="3844" width="20" style="4" customWidth="1"/>
    <col min="3845" max="3845" width="18.28515625" style="4" customWidth="1"/>
    <col min="3846" max="3846" width="20.140625" style="4" customWidth="1"/>
    <col min="3847" max="3847" width="10.7109375" style="4" customWidth="1"/>
    <col min="3848" max="3848" width="14.42578125" style="4" bestFit="1" customWidth="1"/>
    <col min="3849" max="3849" width="10.7109375" style="4" customWidth="1"/>
    <col min="3850" max="3850" width="12.7109375" style="4" bestFit="1" customWidth="1"/>
    <col min="3851" max="3853" width="8.42578125" style="4" customWidth="1"/>
    <col min="3854" max="3856" width="13" style="4" customWidth="1"/>
    <col min="3857" max="3860" width="9.140625" style="4"/>
    <col min="3861" max="3861" width="8.7109375" style="4" customWidth="1"/>
    <col min="3862" max="4095" width="9.140625" style="4"/>
    <col min="4096" max="4096" width="2.7109375" style="4" customWidth="1"/>
    <col min="4097" max="4097" width="114.42578125" style="4" customWidth="1"/>
    <col min="4098" max="4098" width="0" style="4" hidden="1" customWidth="1"/>
    <col min="4099" max="4099" width="27.5703125" style="4" customWidth="1"/>
    <col min="4100" max="4100" width="20" style="4" customWidth="1"/>
    <col min="4101" max="4101" width="18.28515625" style="4" customWidth="1"/>
    <col min="4102" max="4102" width="20.140625" style="4" customWidth="1"/>
    <col min="4103" max="4103" width="10.7109375" style="4" customWidth="1"/>
    <col min="4104" max="4104" width="14.42578125" style="4" bestFit="1" customWidth="1"/>
    <col min="4105" max="4105" width="10.7109375" style="4" customWidth="1"/>
    <col min="4106" max="4106" width="12.7109375" style="4" bestFit="1" customWidth="1"/>
    <col min="4107" max="4109" width="8.42578125" style="4" customWidth="1"/>
    <col min="4110" max="4112" width="13" style="4" customWidth="1"/>
    <col min="4113" max="4116" width="9.140625" style="4"/>
    <col min="4117" max="4117" width="8.7109375" style="4" customWidth="1"/>
    <col min="4118" max="4351" width="9.140625" style="4"/>
    <col min="4352" max="4352" width="2.7109375" style="4" customWidth="1"/>
    <col min="4353" max="4353" width="114.42578125" style="4" customWidth="1"/>
    <col min="4354" max="4354" width="0" style="4" hidden="1" customWidth="1"/>
    <col min="4355" max="4355" width="27.5703125" style="4" customWidth="1"/>
    <col min="4356" max="4356" width="20" style="4" customWidth="1"/>
    <col min="4357" max="4357" width="18.28515625" style="4" customWidth="1"/>
    <col min="4358" max="4358" width="20.140625" style="4" customWidth="1"/>
    <col min="4359" max="4359" width="10.7109375" style="4" customWidth="1"/>
    <col min="4360" max="4360" width="14.42578125" style="4" bestFit="1" customWidth="1"/>
    <col min="4361" max="4361" width="10.7109375" style="4" customWidth="1"/>
    <col min="4362" max="4362" width="12.7109375" style="4" bestFit="1" customWidth="1"/>
    <col min="4363" max="4365" width="8.42578125" style="4" customWidth="1"/>
    <col min="4366" max="4368" width="13" style="4" customWidth="1"/>
    <col min="4369" max="4372" width="9.140625" style="4"/>
    <col min="4373" max="4373" width="8.7109375" style="4" customWidth="1"/>
    <col min="4374" max="4607" width="9.140625" style="4"/>
    <col min="4608" max="4608" width="2.7109375" style="4" customWidth="1"/>
    <col min="4609" max="4609" width="114.42578125" style="4" customWidth="1"/>
    <col min="4610" max="4610" width="0" style="4" hidden="1" customWidth="1"/>
    <col min="4611" max="4611" width="27.5703125" style="4" customWidth="1"/>
    <col min="4612" max="4612" width="20" style="4" customWidth="1"/>
    <col min="4613" max="4613" width="18.28515625" style="4" customWidth="1"/>
    <col min="4614" max="4614" width="20.140625" style="4" customWidth="1"/>
    <col min="4615" max="4615" width="10.7109375" style="4" customWidth="1"/>
    <col min="4616" max="4616" width="14.42578125" style="4" bestFit="1" customWidth="1"/>
    <col min="4617" max="4617" width="10.7109375" style="4" customWidth="1"/>
    <col min="4618" max="4618" width="12.7109375" style="4" bestFit="1" customWidth="1"/>
    <col min="4619" max="4621" width="8.42578125" style="4" customWidth="1"/>
    <col min="4622" max="4624" width="13" style="4" customWidth="1"/>
    <col min="4625" max="4628" width="9.140625" style="4"/>
    <col min="4629" max="4629" width="8.7109375" style="4" customWidth="1"/>
    <col min="4630" max="4863" width="9.140625" style="4"/>
    <col min="4864" max="4864" width="2.7109375" style="4" customWidth="1"/>
    <col min="4865" max="4865" width="114.42578125" style="4" customWidth="1"/>
    <col min="4866" max="4866" width="0" style="4" hidden="1" customWidth="1"/>
    <col min="4867" max="4867" width="27.5703125" style="4" customWidth="1"/>
    <col min="4868" max="4868" width="20" style="4" customWidth="1"/>
    <col min="4869" max="4869" width="18.28515625" style="4" customWidth="1"/>
    <col min="4870" max="4870" width="20.140625" style="4" customWidth="1"/>
    <col min="4871" max="4871" width="10.7109375" style="4" customWidth="1"/>
    <col min="4872" max="4872" width="14.42578125" style="4" bestFit="1" customWidth="1"/>
    <col min="4873" max="4873" width="10.7109375" style="4" customWidth="1"/>
    <col min="4874" max="4874" width="12.7109375" style="4" bestFit="1" customWidth="1"/>
    <col min="4875" max="4877" width="8.42578125" style="4" customWidth="1"/>
    <col min="4878" max="4880" width="13" style="4" customWidth="1"/>
    <col min="4881" max="4884" width="9.140625" style="4"/>
    <col min="4885" max="4885" width="8.7109375" style="4" customWidth="1"/>
    <col min="4886" max="5119" width="9.140625" style="4"/>
    <col min="5120" max="5120" width="2.7109375" style="4" customWidth="1"/>
    <col min="5121" max="5121" width="114.42578125" style="4" customWidth="1"/>
    <col min="5122" max="5122" width="0" style="4" hidden="1" customWidth="1"/>
    <col min="5123" max="5123" width="27.5703125" style="4" customWidth="1"/>
    <col min="5124" max="5124" width="20" style="4" customWidth="1"/>
    <col min="5125" max="5125" width="18.28515625" style="4" customWidth="1"/>
    <col min="5126" max="5126" width="20.140625" style="4" customWidth="1"/>
    <col min="5127" max="5127" width="10.7109375" style="4" customWidth="1"/>
    <col min="5128" max="5128" width="14.42578125" style="4" bestFit="1" customWidth="1"/>
    <col min="5129" max="5129" width="10.7109375" style="4" customWidth="1"/>
    <col min="5130" max="5130" width="12.7109375" style="4" bestFit="1" customWidth="1"/>
    <col min="5131" max="5133" width="8.42578125" style="4" customWidth="1"/>
    <col min="5134" max="5136" width="13" style="4" customWidth="1"/>
    <col min="5137" max="5140" width="9.140625" style="4"/>
    <col min="5141" max="5141" width="8.7109375" style="4" customWidth="1"/>
    <col min="5142" max="5375" width="9.140625" style="4"/>
    <col min="5376" max="5376" width="2.7109375" style="4" customWidth="1"/>
    <col min="5377" max="5377" width="114.42578125" style="4" customWidth="1"/>
    <col min="5378" max="5378" width="0" style="4" hidden="1" customWidth="1"/>
    <col min="5379" max="5379" width="27.5703125" style="4" customWidth="1"/>
    <col min="5380" max="5380" width="20" style="4" customWidth="1"/>
    <col min="5381" max="5381" width="18.28515625" style="4" customWidth="1"/>
    <col min="5382" max="5382" width="20.140625" style="4" customWidth="1"/>
    <col min="5383" max="5383" width="10.7109375" style="4" customWidth="1"/>
    <col min="5384" max="5384" width="14.42578125" style="4" bestFit="1" customWidth="1"/>
    <col min="5385" max="5385" width="10.7109375" style="4" customWidth="1"/>
    <col min="5386" max="5386" width="12.7109375" style="4" bestFit="1" customWidth="1"/>
    <col min="5387" max="5389" width="8.42578125" style="4" customWidth="1"/>
    <col min="5390" max="5392" width="13" style="4" customWidth="1"/>
    <col min="5393" max="5396" width="9.140625" style="4"/>
    <col min="5397" max="5397" width="8.7109375" style="4" customWidth="1"/>
    <col min="5398" max="5631" width="9.140625" style="4"/>
    <col min="5632" max="5632" width="2.7109375" style="4" customWidth="1"/>
    <col min="5633" max="5633" width="114.42578125" style="4" customWidth="1"/>
    <col min="5634" max="5634" width="0" style="4" hidden="1" customWidth="1"/>
    <col min="5635" max="5635" width="27.5703125" style="4" customWidth="1"/>
    <col min="5636" max="5636" width="20" style="4" customWidth="1"/>
    <col min="5637" max="5637" width="18.28515625" style="4" customWidth="1"/>
    <col min="5638" max="5638" width="20.140625" style="4" customWidth="1"/>
    <col min="5639" max="5639" width="10.7109375" style="4" customWidth="1"/>
    <col min="5640" max="5640" width="14.42578125" style="4" bestFit="1" customWidth="1"/>
    <col min="5641" max="5641" width="10.7109375" style="4" customWidth="1"/>
    <col min="5642" max="5642" width="12.7109375" style="4" bestFit="1" customWidth="1"/>
    <col min="5643" max="5645" width="8.42578125" style="4" customWidth="1"/>
    <col min="5646" max="5648" width="13" style="4" customWidth="1"/>
    <col min="5649" max="5652" width="9.140625" style="4"/>
    <col min="5653" max="5653" width="8.7109375" style="4" customWidth="1"/>
    <col min="5654" max="5887" width="9.140625" style="4"/>
    <col min="5888" max="5888" width="2.7109375" style="4" customWidth="1"/>
    <col min="5889" max="5889" width="114.42578125" style="4" customWidth="1"/>
    <col min="5890" max="5890" width="0" style="4" hidden="1" customWidth="1"/>
    <col min="5891" max="5891" width="27.5703125" style="4" customWidth="1"/>
    <col min="5892" max="5892" width="20" style="4" customWidth="1"/>
    <col min="5893" max="5893" width="18.28515625" style="4" customWidth="1"/>
    <col min="5894" max="5894" width="20.140625" style="4" customWidth="1"/>
    <col min="5895" max="5895" width="10.7109375" style="4" customWidth="1"/>
    <col min="5896" max="5896" width="14.42578125" style="4" bestFit="1" customWidth="1"/>
    <col min="5897" max="5897" width="10.7109375" style="4" customWidth="1"/>
    <col min="5898" max="5898" width="12.7109375" style="4" bestFit="1" customWidth="1"/>
    <col min="5899" max="5901" width="8.42578125" style="4" customWidth="1"/>
    <col min="5902" max="5904" width="13" style="4" customWidth="1"/>
    <col min="5905" max="5908" width="9.140625" style="4"/>
    <col min="5909" max="5909" width="8.7109375" style="4" customWidth="1"/>
    <col min="5910" max="6143" width="9.140625" style="4"/>
    <col min="6144" max="6144" width="2.7109375" style="4" customWidth="1"/>
    <col min="6145" max="6145" width="114.42578125" style="4" customWidth="1"/>
    <col min="6146" max="6146" width="0" style="4" hidden="1" customWidth="1"/>
    <col min="6147" max="6147" width="27.5703125" style="4" customWidth="1"/>
    <col min="6148" max="6148" width="20" style="4" customWidth="1"/>
    <col min="6149" max="6149" width="18.28515625" style="4" customWidth="1"/>
    <col min="6150" max="6150" width="20.140625" style="4" customWidth="1"/>
    <col min="6151" max="6151" width="10.7109375" style="4" customWidth="1"/>
    <col min="6152" max="6152" width="14.42578125" style="4" bestFit="1" customWidth="1"/>
    <col min="6153" max="6153" width="10.7109375" style="4" customWidth="1"/>
    <col min="6154" max="6154" width="12.7109375" style="4" bestFit="1" customWidth="1"/>
    <col min="6155" max="6157" width="8.42578125" style="4" customWidth="1"/>
    <col min="6158" max="6160" width="13" style="4" customWidth="1"/>
    <col min="6161" max="6164" width="9.140625" style="4"/>
    <col min="6165" max="6165" width="8.7109375" style="4" customWidth="1"/>
    <col min="6166" max="6399" width="9.140625" style="4"/>
    <col min="6400" max="6400" width="2.7109375" style="4" customWidth="1"/>
    <col min="6401" max="6401" width="114.42578125" style="4" customWidth="1"/>
    <col min="6402" max="6402" width="0" style="4" hidden="1" customWidth="1"/>
    <col min="6403" max="6403" width="27.5703125" style="4" customWidth="1"/>
    <col min="6404" max="6404" width="20" style="4" customWidth="1"/>
    <col min="6405" max="6405" width="18.28515625" style="4" customWidth="1"/>
    <col min="6406" max="6406" width="20.140625" style="4" customWidth="1"/>
    <col min="6407" max="6407" width="10.7109375" style="4" customWidth="1"/>
    <col min="6408" max="6408" width="14.42578125" style="4" bestFit="1" customWidth="1"/>
    <col min="6409" max="6409" width="10.7109375" style="4" customWidth="1"/>
    <col min="6410" max="6410" width="12.7109375" style="4" bestFit="1" customWidth="1"/>
    <col min="6411" max="6413" width="8.42578125" style="4" customWidth="1"/>
    <col min="6414" max="6416" width="13" style="4" customWidth="1"/>
    <col min="6417" max="6420" width="9.140625" style="4"/>
    <col min="6421" max="6421" width="8.7109375" style="4" customWidth="1"/>
    <col min="6422" max="6655" width="9.140625" style="4"/>
    <col min="6656" max="6656" width="2.7109375" style="4" customWidth="1"/>
    <col min="6657" max="6657" width="114.42578125" style="4" customWidth="1"/>
    <col min="6658" max="6658" width="0" style="4" hidden="1" customWidth="1"/>
    <col min="6659" max="6659" width="27.5703125" style="4" customWidth="1"/>
    <col min="6660" max="6660" width="20" style="4" customWidth="1"/>
    <col min="6661" max="6661" width="18.28515625" style="4" customWidth="1"/>
    <col min="6662" max="6662" width="20.140625" style="4" customWidth="1"/>
    <col min="6663" max="6663" width="10.7109375" style="4" customWidth="1"/>
    <col min="6664" max="6664" width="14.42578125" style="4" bestFit="1" customWidth="1"/>
    <col min="6665" max="6665" width="10.7109375" style="4" customWidth="1"/>
    <col min="6666" max="6666" width="12.7109375" style="4" bestFit="1" customWidth="1"/>
    <col min="6667" max="6669" width="8.42578125" style="4" customWidth="1"/>
    <col min="6670" max="6672" width="13" style="4" customWidth="1"/>
    <col min="6673" max="6676" width="9.140625" style="4"/>
    <col min="6677" max="6677" width="8.7109375" style="4" customWidth="1"/>
    <col min="6678" max="6911" width="9.140625" style="4"/>
    <col min="6912" max="6912" width="2.7109375" style="4" customWidth="1"/>
    <col min="6913" max="6913" width="114.42578125" style="4" customWidth="1"/>
    <col min="6914" max="6914" width="0" style="4" hidden="1" customWidth="1"/>
    <col min="6915" max="6915" width="27.5703125" style="4" customWidth="1"/>
    <col min="6916" max="6916" width="20" style="4" customWidth="1"/>
    <col min="6917" max="6917" width="18.28515625" style="4" customWidth="1"/>
    <col min="6918" max="6918" width="20.140625" style="4" customWidth="1"/>
    <col min="6919" max="6919" width="10.7109375" style="4" customWidth="1"/>
    <col min="6920" max="6920" width="14.42578125" style="4" bestFit="1" customWidth="1"/>
    <col min="6921" max="6921" width="10.7109375" style="4" customWidth="1"/>
    <col min="6922" max="6922" width="12.7109375" style="4" bestFit="1" customWidth="1"/>
    <col min="6923" max="6925" width="8.42578125" style="4" customWidth="1"/>
    <col min="6926" max="6928" width="13" style="4" customWidth="1"/>
    <col min="6929" max="6932" width="9.140625" style="4"/>
    <col min="6933" max="6933" width="8.7109375" style="4" customWidth="1"/>
    <col min="6934" max="7167" width="9.140625" style="4"/>
    <col min="7168" max="7168" width="2.7109375" style="4" customWidth="1"/>
    <col min="7169" max="7169" width="114.42578125" style="4" customWidth="1"/>
    <col min="7170" max="7170" width="0" style="4" hidden="1" customWidth="1"/>
    <col min="7171" max="7171" width="27.5703125" style="4" customWidth="1"/>
    <col min="7172" max="7172" width="20" style="4" customWidth="1"/>
    <col min="7173" max="7173" width="18.28515625" style="4" customWidth="1"/>
    <col min="7174" max="7174" width="20.140625" style="4" customWidth="1"/>
    <col min="7175" max="7175" width="10.7109375" style="4" customWidth="1"/>
    <col min="7176" max="7176" width="14.42578125" style="4" bestFit="1" customWidth="1"/>
    <col min="7177" max="7177" width="10.7109375" style="4" customWidth="1"/>
    <col min="7178" max="7178" width="12.7109375" style="4" bestFit="1" customWidth="1"/>
    <col min="7179" max="7181" width="8.42578125" style="4" customWidth="1"/>
    <col min="7182" max="7184" width="13" style="4" customWidth="1"/>
    <col min="7185" max="7188" width="9.140625" style="4"/>
    <col min="7189" max="7189" width="8.7109375" style="4" customWidth="1"/>
    <col min="7190" max="7423" width="9.140625" style="4"/>
    <col min="7424" max="7424" width="2.7109375" style="4" customWidth="1"/>
    <col min="7425" max="7425" width="114.42578125" style="4" customWidth="1"/>
    <col min="7426" max="7426" width="0" style="4" hidden="1" customWidth="1"/>
    <col min="7427" max="7427" width="27.5703125" style="4" customWidth="1"/>
    <col min="7428" max="7428" width="20" style="4" customWidth="1"/>
    <col min="7429" max="7429" width="18.28515625" style="4" customWidth="1"/>
    <col min="7430" max="7430" width="20.140625" style="4" customWidth="1"/>
    <col min="7431" max="7431" width="10.7109375" style="4" customWidth="1"/>
    <col min="7432" max="7432" width="14.42578125" style="4" bestFit="1" customWidth="1"/>
    <col min="7433" max="7433" width="10.7109375" style="4" customWidth="1"/>
    <col min="7434" max="7434" width="12.7109375" style="4" bestFit="1" customWidth="1"/>
    <col min="7435" max="7437" width="8.42578125" style="4" customWidth="1"/>
    <col min="7438" max="7440" width="13" style="4" customWidth="1"/>
    <col min="7441" max="7444" width="9.140625" style="4"/>
    <col min="7445" max="7445" width="8.7109375" style="4" customWidth="1"/>
    <col min="7446" max="7679" width="9.140625" style="4"/>
    <col min="7680" max="7680" width="2.7109375" style="4" customWidth="1"/>
    <col min="7681" max="7681" width="114.42578125" style="4" customWidth="1"/>
    <col min="7682" max="7682" width="0" style="4" hidden="1" customWidth="1"/>
    <col min="7683" max="7683" width="27.5703125" style="4" customWidth="1"/>
    <col min="7684" max="7684" width="20" style="4" customWidth="1"/>
    <col min="7685" max="7685" width="18.28515625" style="4" customWidth="1"/>
    <col min="7686" max="7686" width="20.140625" style="4" customWidth="1"/>
    <col min="7687" max="7687" width="10.7109375" style="4" customWidth="1"/>
    <col min="7688" max="7688" width="14.42578125" style="4" bestFit="1" customWidth="1"/>
    <col min="7689" max="7689" width="10.7109375" style="4" customWidth="1"/>
    <col min="7690" max="7690" width="12.7109375" style="4" bestFit="1" customWidth="1"/>
    <col min="7691" max="7693" width="8.42578125" style="4" customWidth="1"/>
    <col min="7694" max="7696" width="13" style="4" customWidth="1"/>
    <col min="7697" max="7700" width="9.140625" style="4"/>
    <col min="7701" max="7701" width="8.7109375" style="4" customWidth="1"/>
    <col min="7702" max="7935" width="9.140625" style="4"/>
    <col min="7936" max="7936" width="2.7109375" style="4" customWidth="1"/>
    <col min="7937" max="7937" width="114.42578125" style="4" customWidth="1"/>
    <col min="7938" max="7938" width="0" style="4" hidden="1" customWidth="1"/>
    <col min="7939" max="7939" width="27.5703125" style="4" customWidth="1"/>
    <col min="7940" max="7940" width="20" style="4" customWidth="1"/>
    <col min="7941" max="7941" width="18.28515625" style="4" customWidth="1"/>
    <col min="7942" max="7942" width="20.140625" style="4" customWidth="1"/>
    <col min="7943" max="7943" width="10.7109375" style="4" customWidth="1"/>
    <col min="7944" max="7944" width="14.42578125" style="4" bestFit="1" customWidth="1"/>
    <col min="7945" max="7945" width="10.7109375" style="4" customWidth="1"/>
    <col min="7946" max="7946" width="12.7109375" style="4" bestFit="1" customWidth="1"/>
    <col min="7947" max="7949" width="8.42578125" style="4" customWidth="1"/>
    <col min="7950" max="7952" width="13" style="4" customWidth="1"/>
    <col min="7953" max="7956" width="9.140625" style="4"/>
    <col min="7957" max="7957" width="8.7109375" style="4" customWidth="1"/>
    <col min="7958" max="8191" width="9.140625" style="4"/>
    <col min="8192" max="8192" width="2.7109375" style="4" customWidth="1"/>
    <col min="8193" max="8193" width="114.42578125" style="4" customWidth="1"/>
    <col min="8194" max="8194" width="0" style="4" hidden="1" customWidth="1"/>
    <col min="8195" max="8195" width="27.5703125" style="4" customWidth="1"/>
    <col min="8196" max="8196" width="20" style="4" customWidth="1"/>
    <col min="8197" max="8197" width="18.28515625" style="4" customWidth="1"/>
    <col min="8198" max="8198" width="20.140625" style="4" customWidth="1"/>
    <col min="8199" max="8199" width="10.7109375" style="4" customWidth="1"/>
    <col min="8200" max="8200" width="14.42578125" style="4" bestFit="1" customWidth="1"/>
    <col min="8201" max="8201" width="10.7109375" style="4" customWidth="1"/>
    <col min="8202" max="8202" width="12.7109375" style="4" bestFit="1" customWidth="1"/>
    <col min="8203" max="8205" width="8.42578125" style="4" customWidth="1"/>
    <col min="8206" max="8208" width="13" style="4" customWidth="1"/>
    <col min="8209" max="8212" width="9.140625" style="4"/>
    <col min="8213" max="8213" width="8.7109375" style="4" customWidth="1"/>
    <col min="8214" max="8447" width="9.140625" style="4"/>
    <col min="8448" max="8448" width="2.7109375" style="4" customWidth="1"/>
    <col min="8449" max="8449" width="114.42578125" style="4" customWidth="1"/>
    <col min="8450" max="8450" width="0" style="4" hidden="1" customWidth="1"/>
    <col min="8451" max="8451" width="27.5703125" style="4" customWidth="1"/>
    <col min="8452" max="8452" width="20" style="4" customWidth="1"/>
    <col min="8453" max="8453" width="18.28515625" style="4" customWidth="1"/>
    <col min="8454" max="8454" width="20.140625" style="4" customWidth="1"/>
    <col min="8455" max="8455" width="10.7109375" style="4" customWidth="1"/>
    <col min="8456" max="8456" width="14.42578125" style="4" bestFit="1" customWidth="1"/>
    <col min="8457" max="8457" width="10.7109375" style="4" customWidth="1"/>
    <col min="8458" max="8458" width="12.7109375" style="4" bestFit="1" customWidth="1"/>
    <col min="8459" max="8461" width="8.42578125" style="4" customWidth="1"/>
    <col min="8462" max="8464" width="13" style="4" customWidth="1"/>
    <col min="8465" max="8468" width="9.140625" style="4"/>
    <col min="8469" max="8469" width="8.7109375" style="4" customWidth="1"/>
    <col min="8470" max="8703" width="9.140625" style="4"/>
    <col min="8704" max="8704" width="2.7109375" style="4" customWidth="1"/>
    <col min="8705" max="8705" width="114.42578125" style="4" customWidth="1"/>
    <col min="8706" max="8706" width="0" style="4" hidden="1" customWidth="1"/>
    <col min="8707" max="8707" width="27.5703125" style="4" customWidth="1"/>
    <col min="8708" max="8708" width="20" style="4" customWidth="1"/>
    <col min="8709" max="8709" width="18.28515625" style="4" customWidth="1"/>
    <col min="8710" max="8710" width="20.140625" style="4" customWidth="1"/>
    <col min="8711" max="8711" width="10.7109375" style="4" customWidth="1"/>
    <col min="8712" max="8712" width="14.42578125" style="4" bestFit="1" customWidth="1"/>
    <col min="8713" max="8713" width="10.7109375" style="4" customWidth="1"/>
    <col min="8714" max="8714" width="12.7109375" style="4" bestFit="1" customWidth="1"/>
    <col min="8715" max="8717" width="8.42578125" style="4" customWidth="1"/>
    <col min="8718" max="8720" width="13" style="4" customWidth="1"/>
    <col min="8721" max="8724" width="9.140625" style="4"/>
    <col min="8725" max="8725" width="8.7109375" style="4" customWidth="1"/>
    <col min="8726" max="8959" width="9.140625" style="4"/>
    <col min="8960" max="8960" width="2.7109375" style="4" customWidth="1"/>
    <col min="8961" max="8961" width="114.42578125" style="4" customWidth="1"/>
    <col min="8962" max="8962" width="0" style="4" hidden="1" customWidth="1"/>
    <col min="8963" max="8963" width="27.5703125" style="4" customWidth="1"/>
    <col min="8964" max="8964" width="20" style="4" customWidth="1"/>
    <col min="8965" max="8965" width="18.28515625" style="4" customWidth="1"/>
    <col min="8966" max="8966" width="20.140625" style="4" customWidth="1"/>
    <col min="8967" max="8967" width="10.7109375" style="4" customWidth="1"/>
    <col min="8968" max="8968" width="14.42578125" style="4" bestFit="1" customWidth="1"/>
    <col min="8969" max="8969" width="10.7109375" style="4" customWidth="1"/>
    <col min="8970" max="8970" width="12.7109375" style="4" bestFit="1" customWidth="1"/>
    <col min="8971" max="8973" width="8.42578125" style="4" customWidth="1"/>
    <col min="8974" max="8976" width="13" style="4" customWidth="1"/>
    <col min="8977" max="8980" width="9.140625" style="4"/>
    <col min="8981" max="8981" width="8.7109375" style="4" customWidth="1"/>
    <col min="8982" max="9215" width="9.140625" style="4"/>
    <col min="9216" max="9216" width="2.7109375" style="4" customWidth="1"/>
    <col min="9217" max="9217" width="114.42578125" style="4" customWidth="1"/>
    <col min="9218" max="9218" width="0" style="4" hidden="1" customWidth="1"/>
    <col min="9219" max="9219" width="27.5703125" style="4" customWidth="1"/>
    <col min="9220" max="9220" width="20" style="4" customWidth="1"/>
    <col min="9221" max="9221" width="18.28515625" style="4" customWidth="1"/>
    <col min="9222" max="9222" width="20.140625" style="4" customWidth="1"/>
    <col min="9223" max="9223" width="10.7109375" style="4" customWidth="1"/>
    <col min="9224" max="9224" width="14.42578125" style="4" bestFit="1" customWidth="1"/>
    <col min="9225" max="9225" width="10.7109375" style="4" customWidth="1"/>
    <col min="9226" max="9226" width="12.7109375" style="4" bestFit="1" customWidth="1"/>
    <col min="9227" max="9229" width="8.42578125" style="4" customWidth="1"/>
    <col min="9230" max="9232" width="13" style="4" customWidth="1"/>
    <col min="9233" max="9236" width="9.140625" style="4"/>
    <col min="9237" max="9237" width="8.7109375" style="4" customWidth="1"/>
    <col min="9238" max="9471" width="9.140625" style="4"/>
    <col min="9472" max="9472" width="2.7109375" style="4" customWidth="1"/>
    <col min="9473" max="9473" width="114.42578125" style="4" customWidth="1"/>
    <col min="9474" max="9474" width="0" style="4" hidden="1" customWidth="1"/>
    <col min="9475" max="9475" width="27.5703125" style="4" customWidth="1"/>
    <col min="9476" max="9476" width="20" style="4" customWidth="1"/>
    <col min="9477" max="9477" width="18.28515625" style="4" customWidth="1"/>
    <col min="9478" max="9478" width="20.140625" style="4" customWidth="1"/>
    <col min="9479" max="9479" width="10.7109375" style="4" customWidth="1"/>
    <col min="9480" max="9480" width="14.42578125" style="4" bestFit="1" customWidth="1"/>
    <col min="9481" max="9481" width="10.7109375" style="4" customWidth="1"/>
    <col min="9482" max="9482" width="12.7109375" style="4" bestFit="1" customWidth="1"/>
    <col min="9483" max="9485" width="8.42578125" style="4" customWidth="1"/>
    <col min="9486" max="9488" width="13" style="4" customWidth="1"/>
    <col min="9489" max="9492" width="9.140625" style="4"/>
    <col min="9493" max="9493" width="8.7109375" style="4" customWidth="1"/>
    <col min="9494" max="9727" width="9.140625" style="4"/>
    <col min="9728" max="9728" width="2.7109375" style="4" customWidth="1"/>
    <col min="9729" max="9729" width="114.42578125" style="4" customWidth="1"/>
    <col min="9730" max="9730" width="0" style="4" hidden="1" customWidth="1"/>
    <col min="9731" max="9731" width="27.5703125" style="4" customWidth="1"/>
    <col min="9732" max="9732" width="20" style="4" customWidth="1"/>
    <col min="9733" max="9733" width="18.28515625" style="4" customWidth="1"/>
    <col min="9734" max="9734" width="20.140625" style="4" customWidth="1"/>
    <col min="9735" max="9735" width="10.7109375" style="4" customWidth="1"/>
    <col min="9736" max="9736" width="14.42578125" style="4" bestFit="1" customWidth="1"/>
    <col min="9737" max="9737" width="10.7109375" style="4" customWidth="1"/>
    <col min="9738" max="9738" width="12.7109375" style="4" bestFit="1" customWidth="1"/>
    <col min="9739" max="9741" width="8.42578125" style="4" customWidth="1"/>
    <col min="9742" max="9744" width="13" style="4" customWidth="1"/>
    <col min="9745" max="9748" width="9.140625" style="4"/>
    <col min="9749" max="9749" width="8.7109375" style="4" customWidth="1"/>
    <col min="9750" max="9983" width="9.140625" style="4"/>
    <col min="9984" max="9984" width="2.7109375" style="4" customWidth="1"/>
    <col min="9985" max="9985" width="114.42578125" style="4" customWidth="1"/>
    <col min="9986" max="9986" width="0" style="4" hidden="1" customWidth="1"/>
    <col min="9987" max="9987" width="27.5703125" style="4" customWidth="1"/>
    <col min="9988" max="9988" width="20" style="4" customWidth="1"/>
    <col min="9989" max="9989" width="18.28515625" style="4" customWidth="1"/>
    <col min="9990" max="9990" width="20.140625" style="4" customWidth="1"/>
    <col min="9991" max="9991" width="10.7109375" style="4" customWidth="1"/>
    <col min="9992" max="9992" width="14.42578125" style="4" bestFit="1" customWidth="1"/>
    <col min="9993" max="9993" width="10.7109375" style="4" customWidth="1"/>
    <col min="9994" max="9994" width="12.7109375" style="4" bestFit="1" customWidth="1"/>
    <col min="9995" max="9997" width="8.42578125" style="4" customWidth="1"/>
    <col min="9998" max="10000" width="13" style="4" customWidth="1"/>
    <col min="10001" max="10004" width="9.140625" style="4"/>
    <col min="10005" max="10005" width="8.7109375" style="4" customWidth="1"/>
    <col min="10006" max="10239" width="9.140625" style="4"/>
    <col min="10240" max="10240" width="2.7109375" style="4" customWidth="1"/>
    <col min="10241" max="10241" width="114.42578125" style="4" customWidth="1"/>
    <col min="10242" max="10242" width="0" style="4" hidden="1" customWidth="1"/>
    <col min="10243" max="10243" width="27.5703125" style="4" customWidth="1"/>
    <col min="10244" max="10244" width="20" style="4" customWidth="1"/>
    <col min="10245" max="10245" width="18.28515625" style="4" customWidth="1"/>
    <col min="10246" max="10246" width="20.140625" style="4" customWidth="1"/>
    <col min="10247" max="10247" width="10.7109375" style="4" customWidth="1"/>
    <col min="10248" max="10248" width="14.42578125" style="4" bestFit="1" customWidth="1"/>
    <col min="10249" max="10249" width="10.7109375" style="4" customWidth="1"/>
    <col min="10250" max="10250" width="12.7109375" style="4" bestFit="1" customWidth="1"/>
    <col min="10251" max="10253" width="8.42578125" style="4" customWidth="1"/>
    <col min="10254" max="10256" width="13" style="4" customWidth="1"/>
    <col min="10257" max="10260" width="9.140625" style="4"/>
    <col min="10261" max="10261" width="8.7109375" style="4" customWidth="1"/>
    <col min="10262" max="10495" width="9.140625" style="4"/>
    <col min="10496" max="10496" width="2.7109375" style="4" customWidth="1"/>
    <col min="10497" max="10497" width="114.42578125" style="4" customWidth="1"/>
    <col min="10498" max="10498" width="0" style="4" hidden="1" customWidth="1"/>
    <col min="10499" max="10499" width="27.5703125" style="4" customWidth="1"/>
    <col min="10500" max="10500" width="20" style="4" customWidth="1"/>
    <col min="10501" max="10501" width="18.28515625" style="4" customWidth="1"/>
    <col min="10502" max="10502" width="20.140625" style="4" customWidth="1"/>
    <col min="10503" max="10503" width="10.7109375" style="4" customWidth="1"/>
    <col min="10504" max="10504" width="14.42578125" style="4" bestFit="1" customWidth="1"/>
    <col min="10505" max="10505" width="10.7109375" style="4" customWidth="1"/>
    <col min="10506" max="10506" width="12.7109375" style="4" bestFit="1" customWidth="1"/>
    <col min="10507" max="10509" width="8.42578125" style="4" customWidth="1"/>
    <col min="10510" max="10512" width="13" style="4" customWidth="1"/>
    <col min="10513" max="10516" width="9.140625" style="4"/>
    <col min="10517" max="10517" width="8.7109375" style="4" customWidth="1"/>
    <col min="10518" max="10751" width="9.140625" style="4"/>
    <col min="10752" max="10752" width="2.7109375" style="4" customWidth="1"/>
    <col min="10753" max="10753" width="114.42578125" style="4" customWidth="1"/>
    <col min="10754" max="10754" width="0" style="4" hidden="1" customWidth="1"/>
    <col min="10755" max="10755" width="27.5703125" style="4" customWidth="1"/>
    <col min="10756" max="10756" width="20" style="4" customWidth="1"/>
    <col min="10757" max="10757" width="18.28515625" style="4" customWidth="1"/>
    <col min="10758" max="10758" width="20.140625" style="4" customWidth="1"/>
    <col min="10759" max="10759" width="10.7109375" style="4" customWidth="1"/>
    <col min="10760" max="10760" width="14.42578125" style="4" bestFit="1" customWidth="1"/>
    <col min="10761" max="10761" width="10.7109375" style="4" customWidth="1"/>
    <col min="10762" max="10762" width="12.7109375" style="4" bestFit="1" customWidth="1"/>
    <col min="10763" max="10765" width="8.42578125" style="4" customWidth="1"/>
    <col min="10766" max="10768" width="13" style="4" customWidth="1"/>
    <col min="10769" max="10772" width="9.140625" style="4"/>
    <col min="10773" max="10773" width="8.7109375" style="4" customWidth="1"/>
    <col min="10774" max="11007" width="9.140625" style="4"/>
    <col min="11008" max="11008" width="2.7109375" style="4" customWidth="1"/>
    <col min="11009" max="11009" width="114.42578125" style="4" customWidth="1"/>
    <col min="11010" max="11010" width="0" style="4" hidden="1" customWidth="1"/>
    <col min="11011" max="11011" width="27.5703125" style="4" customWidth="1"/>
    <col min="11012" max="11012" width="20" style="4" customWidth="1"/>
    <col min="11013" max="11013" width="18.28515625" style="4" customWidth="1"/>
    <col min="11014" max="11014" width="20.140625" style="4" customWidth="1"/>
    <col min="11015" max="11015" width="10.7109375" style="4" customWidth="1"/>
    <col min="11016" max="11016" width="14.42578125" style="4" bestFit="1" customWidth="1"/>
    <col min="11017" max="11017" width="10.7109375" style="4" customWidth="1"/>
    <col min="11018" max="11018" width="12.7109375" style="4" bestFit="1" customWidth="1"/>
    <col min="11019" max="11021" width="8.42578125" style="4" customWidth="1"/>
    <col min="11022" max="11024" width="13" style="4" customWidth="1"/>
    <col min="11025" max="11028" width="9.140625" style="4"/>
    <col min="11029" max="11029" width="8.7109375" style="4" customWidth="1"/>
    <col min="11030" max="11263" width="9.140625" style="4"/>
    <col min="11264" max="11264" width="2.7109375" style="4" customWidth="1"/>
    <col min="11265" max="11265" width="114.42578125" style="4" customWidth="1"/>
    <col min="11266" max="11266" width="0" style="4" hidden="1" customWidth="1"/>
    <col min="11267" max="11267" width="27.5703125" style="4" customWidth="1"/>
    <col min="11268" max="11268" width="20" style="4" customWidth="1"/>
    <col min="11269" max="11269" width="18.28515625" style="4" customWidth="1"/>
    <col min="11270" max="11270" width="20.140625" style="4" customWidth="1"/>
    <col min="11271" max="11271" width="10.7109375" style="4" customWidth="1"/>
    <col min="11272" max="11272" width="14.42578125" style="4" bestFit="1" customWidth="1"/>
    <col min="11273" max="11273" width="10.7109375" style="4" customWidth="1"/>
    <col min="11274" max="11274" width="12.7109375" style="4" bestFit="1" customWidth="1"/>
    <col min="11275" max="11277" width="8.42578125" style="4" customWidth="1"/>
    <col min="11278" max="11280" width="13" style="4" customWidth="1"/>
    <col min="11281" max="11284" width="9.140625" style="4"/>
    <col min="11285" max="11285" width="8.7109375" style="4" customWidth="1"/>
    <col min="11286" max="11519" width="9.140625" style="4"/>
    <col min="11520" max="11520" width="2.7109375" style="4" customWidth="1"/>
    <col min="11521" max="11521" width="114.42578125" style="4" customWidth="1"/>
    <col min="11522" max="11522" width="0" style="4" hidden="1" customWidth="1"/>
    <col min="11523" max="11523" width="27.5703125" style="4" customWidth="1"/>
    <col min="11524" max="11524" width="20" style="4" customWidth="1"/>
    <col min="11525" max="11525" width="18.28515625" style="4" customWidth="1"/>
    <col min="11526" max="11526" width="20.140625" style="4" customWidth="1"/>
    <col min="11527" max="11527" width="10.7109375" style="4" customWidth="1"/>
    <col min="11528" max="11528" width="14.42578125" style="4" bestFit="1" customWidth="1"/>
    <col min="11529" max="11529" width="10.7109375" style="4" customWidth="1"/>
    <col min="11530" max="11530" width="12.7109375" style="4" bestFit="1" customWidth="1"/>
    <col min="11531" max="11533" width="8.42578125" style="4" customWidth="1"/>
    <col min="11534" max="11536" width="13" style="4" customWidth="1"/>
    <col min="11537" max="11540" width="9.140625" style="4"/>
    <col min="11541" max="11541" width="8.7109375" style="4" customWidth="1"/>
    <col min="11542" max="11775" width="9.140625" style="4"/>
    <col min="11776" max="11776" width="2.7109375" style="4" customWidth="1"/>
    <col min="11777" max="11777" width="114.42578125" style="4" customWidth="1"/>
    <col min="11778" max="11778" width="0" style="4" hidden="1" customWidth="1"/>
    <col min="11779" max="11779" width="27.5703125" style="4" customWidth="1"/>
    <col min="11780" max="11780" width="20" style="4" customWidth="1"/>
    <col min="11781" max="11781" width="18.28515625" style="4" customWidth="1"/>
    <col min="11782" max="11782" width="20.140625" style="4" customWidth="1"/>
    <col min="11783" max="11783" width="10.7109375" style="4" customWidth="1"/>
    <col min="11784" max="11784" width="14.42578125" style="4" bestFit="1" customWidth="1"/>
    <col min="11785" max="11785" width="10.7109375" style="4" customWidth="1"/>
    <col min="11786" max="11786" width="12.7109375" style="4" bestFit="1" customWidth="1"/>
    <col min="11787" max="11789" width="8.42578125" style="4" customWidth="1"/>
    <col min="11790" max="11792" width="13" style="4" customWidth="1"/>
    <col min="11793" max="11796" width="9.140625" style="4"/>
    <col min="11797" max="11797" width="8.7109375" style="4" customWidth="1"/>
    <col min="11798" max="12031" width="9.140625" style="4"/>
    <col min="12032" max="12032" width="2.7109375" style="4" customWidth="1"/>
    <col min="12033" max="12033" width="114.42578125" style="4" customWidth="1"/>
    <col min="12034" max="12034" width="0" style="4" hidden="1" customWidth="1"/>
    <col min="12035" max="12035" width="27.5703125" style="4" customWidth="1"/>
    <col min="12036" max="12036" width="20" style="4" customWidth="1"/>
    <col min="12037" max="12037" width="18.28515625" style="4" customWidth="1"/>
    <col min="12038" max="12038" width="20.140625" style="4" customWidth="1"/>
    <col min="12039" max="12039" width="10.7109375" style="4" customWidth="1"/>
    <col min="12040" max="12040" width="14.42578125" style="4" bestFit="1" customWidth="1"/>
    <col min="12041" max="12041" width="10.7109375" style="4" customWidth="1"/>
    <col min="12042" max="12042" width="12.7109375" style="4" bestFit="1" customWidth="1"/>
    <col min="12043" max="12045" width="8.42578125" style="4" customWidth="1"/>
    <col min="12046" max="12048" width="13" style="4" customWidth="1"/>
    <col min="12049" max="12052" width="9.140625" style="4"/>
    <col min="12053" max="12053" width="8.7109375" style="4" customWidth="1"/>
    <col min="12054" max="12287" width="9.140625" style="4"/>
    <col min="12288" max="12288" width="2.7109375" style="4" customWidth="1"/>
    <col min="12289" max="12289" width="114.42578125" style="4" customWidth="1"/>
    <col min="12290" max="12290" width="0" style="4" hidden="1" customWidth="1"/>
    <col min="12291" max="12291" width="27.5703125" style="4" customWidth="1"/>
    <col min="12292" max="12292" width="20" style="4" customWidth="1"/>
    <col min="12293" max="12293" width="18.28515625" style="4" customWidth="1"/>
    <col min="12294" max="12294" width="20.140625" style="4" customWidth="1"/>
    <col min="12295" max="12295" width="10.7109375" style="4" customWidth="1"/>
    <col min="12296" max="12296" width="14.42578125" style="4" bestFit="1" customWidth="1"/>
    <col min="12297" max="12297" width="10.7109375" style="4" customWidth="1"/>
    <col min="12298" max="12298" width="12.7109375" style="4" bestFit="1" customWidth="1"/>
    <col min="12299" max="12301" width="8.42578125" style="4" customWidth="1"/>
    <col min="12302" max="12304" width="13" style="4" customWidth="1"/>
    <col min="12305" max="12308" width="9.140625" style="4"/>
    <col min="12309" max="12309" width="8.7109375" style="4" customWidth="1"/>
    <col min="12310" max="12543" width="9.140625" style="4"/>
    <col min="12544" max="12544" width="2.7109375" style="4" customWidth="1"/>
    <col min="12545" max="12545" width="114.42578125" style="4" customWidth="1"/>
    <col min="12546" max="12546" width="0" style="4" hidden="1" customWidth="1"/>
    <col min="12547" max="12547" width="27.5703125" style="4" customWidth="1"/>
    <col min="12548" max="12548" width="20" style="4" customWidth="1"/>
    <col min="12549" max="12549" width="18.28515625" style="4" customWidth="1"/>
    <col min="12550" max="12550" width="20.140625" style="4" customWidth="1"/>
    <col min="12551" max="12551" width="10.7109375" style="4" customWidth="1"/>
    <col min="12552" max="12552" width="14.42578125" style="4" bestFit="1" customWidth="1"/>
    <col min="12553" max="12553" width="10.7109375" style="4" customWidth="1"/>
    <col min="12554" max="12554" width="12.7109375" style="4" bestFit="1" customWidth="1"/>
    <col min="12555" max="12557" width="8.42578125" style="4" customWidth="1"/>
    <col min="12558" max="12560" width="13" style="4" customWidth="1"/>
    <col min="12561" max="12564" width="9.140625" style="4"/>
    <col min="12565" max="12565" width="8.7109375" style="4" customWidth="1"/>
    <col min="12566" max="12799" width="9.140625" style="4"/>
    <col min="12800" max="12800" width="2.7109375" style="4" customWidth="1"/>
    <col min="12801" max="12801" width="114.42578125" style="4" customWidth="1"/>
    <col min="12802" max="12802" width="0" style="4" hidden="1" customWidth="1"/>
    <col min="12803" max="12803" width="27.5703125" style="4" customWidth="1"/>
    <col min="12804" max="12804" width="20" style="4" customWidth="1"/>
    <col min="12805" max="12805" width="18.28515625" style="4" customWidth="1"/>
    <col min="12806" max="12806" width="20.140625" style="4" customWidth="1"/>
    <col min="12807" max="12807" width="10.7109375" style="4" customWidth="1"/>
    <col min="12808" max="12808" width="14.42578125" style="4" bestFit="1" customWidth="1"/>
    <col min="12809" max="12809" width="10.7109375" style="4" customWidth="1"/>
    <col min="12810" max="12810" width="12.7109375" style="4" bestFit="1" customWidth="1"/>
    <col min="12811" max="12813" width="8.42578125" style="4" customWidth="1"/>
    <col min="12814" max="12816" width="13" style="4" customWidth="1"/>
    <col min="12817" max="12820" width="9.140625" style="4"/>
    <col min="12821" max="12821" width="8.7109375" style="4" customWidth="1"/>
    <col min="12822" max="13055" width="9.140625" style="4"/>
    <col min="13056" max="13056" width="2.7109375" style="4" customWidth="1"/>
    <col min="13057" max="13057" width="114.42578125" style="4" customWidth="1"/>
    <col min="13058" max="13058" width="0" style="4" hidden="1" customWidth="1"/>
    <col min="13059" max="13059" width="27.5703125" style="4" customWidth="1"/>
    <col min="13060" max="13060" width="20" style="4" customWidth="1"/>
    <col min="13061" max="13061" width="18.28515625" style="4" customWidth="1"/>
    <col min="13062" max="13062" width="20.140625" style="4" customWidth="1"/>
    <col min="13063" max="13063" width="10.7109375" style="4" customWidth="1"/>
    <col min="13064" max="13064" width="14.42578125" style="4" bestFit="1" customWidth="1"/>
    <col min="13065" max="13065" width="10.7109375" style="4" customWidth="1"/>
    <col min="13066" max="13066" width="12.7109375" style="4" bestFit="1" customWidth="1"/>
    <col min="13067" max="13069" width="8.42578125" style="4" customWidth="1"/>
    <col min="13070" max="13072" width="13" style="4" customWidth="1"/>
    <col min="13073" max="13076" width="9.140625" style="4"/>
    <col min="13077" max="13077" width="8.7109375" style="4" customWidth="1"/>
    <col min="13078" max="13311" width="9.140625" style="4"/>
    <col min="13312" max="13312" width="2.7109375" style="4" customWidth="1"/>
    <col min="13313" max="13313" width="114.42578125" style="4" customWidth="1"/>
    <col min="13314" max="13314" width="0" style="4" hidden="1" customWidth="1"/>
    <col min="13315" max="13315" width="27.5703125" style="4" customWidth="1"/>
    <col min="13316" max="13316" width="20" style="4" customWidth="1"/>
    <col min="13317" max="13317" width="18.28515625" style="4" customWidth="1"/>
    <col min="13318" max="13318" width="20.140625" style="4" customWidth="1"/>
    <col min="13319" max="13319" width="10.7109375" style="4" customWidth="1"/>
    <col min="13320" max="13320" width="14.42578125" style="4" bestFit="1" customWidth="1"/>
    <col min="13321" max="13321" width="10.7109375" style="4" customWidth="1"/>
    <col min="13322" max="13322" width="12.7109375" style="4" bestFit="1" customWidth="1"/>
    <col min="13323" max="13325" width="8.42578125" style="4" customWidth="1"/>
    <col min="13326" max="13328" width="13" style="4" customWidth="1"/>
    <col min="13329" max="13332" width="9.140625" style="4"/>
    <col min="13333" max="13333" width="8.7109375" style="4" customWidth="1"/>
    <col min="13334" max="13567" width="9.140625" style="4"/>
    <col min="13568" max="13568" width="2.7109375" style="4" customWidth="1"/>
    <col min="13569" max="13569" width="114.42578125" style="4" customWidth="1"/>
    <col min="13570" max="13570" width="0" style="4" hidden="1" customWidth="1"/>
    <col min="13571" max="13571" width="27.5703125" style="4" customWidth="1"/>
    <col min="13572" max="13572" width="20" style="4" customWidth="1"/>
    <col min="13573" max="13573" width="18.28515625" style="4" customWidth="1"/>
    <col min="13574" max="13574" width="20.140625" style="4" customWidth="1"/>
    <col min="13575" max="13575" width="10.7109375" style="4" customWidth="1"/>
    <col min="13576" max="13576" width="14.42578125" style="4" bestFit="1" customWidth="1"/>
    <col min="13577" max="13577" width="10.7109375" style="4" customWidth="1"/>
    <col min="13578" max="13578" width="12.7109375" style="4" bestFit="1" customWidth="1"/>
    <col min="13579" max="13581" width="8.42578125" style="4" customWidth="1"/>
    <col min="13582" max="13584" width="13" style="4" customWidth="1"/>
    <col min="13585" max="13588" width="9.140625" style="4"/>
    <col min="13589" max="13589" width="8.7109375" style="4" customWidth="1"/>
    <col min="13590" max="13823" width="9.140625" style="4"/>
    <col min="13824" max="13824" width="2.7109375" style="4" customWidth="1"/>
    <col min="13825" max="13825" width="114.42578125" style="4" customWidth="1"/>
    <col min="13826" max="13826" width="0" style="4" hidden="1" customWidth="1"/>
    <col min="13827" max="13827" width="27.5703125" style="4" customWidth="1"/>
    <col min="13828" max="13828" width="20" style="4" customWidth="1"/>
    <col min="13829" max="13829" width="18.28515625" style="4" customWidth="1"/>
    <col min="13830" max="13830" width="20.140625" style="4" customWidth="1"/>
    <col min="13831" max="13831" width="10.7109375" style="4" customWidth="1"/>
    <col min="13832" max="13832" width="14.42578125" style="4" bestFit="1" customWidth="1"/>
    <col min="13833" max="13833" width="10.7109375" style="4" customWidth="1"/>
    <col min="13834" max="13834" width="12.7109375" style="4" bestFit="1" customWidth="1"/>
    <col min="13835" max="13837" width="8.42578125" style="4" customWidth="1"/>
    <col min="13838" max="13840" width="13" style="4" customWidth="1"/>
    <col min="13841" max="13844" width="9.140625" style="4"/>
    <col min="13845" max="13845" width="8.7109375" style="4" customWidth="1"/>
    <col min="13846" max="14079" width="9.140625" style="4"/>
    <col min="14080" max="14080" width="2.7109375" style="4" customWidth="1"/>
    <col min="14081" max="14081" width="114.42578125" style="4" customWidth="1"/>
    <col min="14082" max="14082" width="0" style="4" hidden="1" customWidth="1"/>
    <col min="14083" max="14083" width="27.5703125" style="4" customWidth="1"/>
    <col min="14084" max="14084" width="20" style="4" customWidth="1"/>
    <col min="14085" max="14085" width="18.28515625" style="4" customWidth="1"/>
    <col min="14086" max="14086" width="20.140625" style="4" customWidth="1"/>
    <col min="14087" max="14087" width="10.7109375" style="4" customWidth="1"/>
    <col min="14088" max="14088" width="14.42578125" style="4" bestFit="1" customWidth="1"/>
    <col min="14089" max="14089" width="10.7109375" style="4" customWidth="1"/>
    <col min="14090" max="14090" width="12.7109375" style="4" bestFit="1" customWidth="1"/>
    <col min="14091" max="14093" width="8.42578125" style="4" customWidth="1"/>
    <col min="14094" max="14096" width="13" style="4" customWidth="1"/>
    <col min="14097" max="14100" width="9.140625" style="4"/>
    <col min="14101" max="14101" width="8.7109375" style="4" customWidth="1"/>
    <col min="14102" max="14335" width="9.140625" style="4"/>
    <col min="14336" max="14336" width="2.7109375" style="4" customWidth="1"/>
    <col min="14337" max="14337" width="114.42578125" style="4" customWidth="1"/>
    <col min="14338" max="14338" width="0" style="4" hidden="1" customWidth="1"/>
    <col min="14339" max="14339" width="27.5703125" style="4" customWidth="1"/>
    <col min="14340" max="14340" width="20" style="4" customWidth="1"/>
    <col min="14341" max="14341" width="18.28515625" style="4" customWidth="1"/>
    <col min="14342" max="14342" width="20.140625" style="4" customWidth="1"/>
    <col min="14343" max="14343" width="10.7109375" style="4" customWidth="1"/>
    <col min="14344" max="14344" width="14.42578125" style="4" bestFit="1" customWidth="1"/>
    <col min="14345" max="14345" width="10.7109375" style="4" customWidth="1"/>
    <col min="14346" max="14346" width="12.7109375" style="4" bestFit="1" customWidth="1"/>
    <col min="14347" max="14349" width="8.42578125" style="4" customWidth="1"/>
    <col min="14350" max="14352" width="13" style="4" customWidth="1"/>
    <col min="14353" max="14356" width="9.140625" style="4"/>
    <col min="14357" max="14357" width="8.7109375" style="4" customWidth="1"/>
    <col min="14358" max="14591" width="9.140625" style="4"/>
    <col min="14592" max="14592" width="2.7109375" style="4" customWidth="1"/>
    <col min="14593" max="14593" width="114.42578125" style="4" customWidth="1"/>
    <col min="14594" max="14594" width="0" style="4" hidden="1" customWidth="1"/>
    <col min="14595" max="14595" width="27.5703125" style="4" customWidth="1"/>
    <col min="14596" max="14596" width="20" style="4" customWidth="1"/>
    <col min="14597" max="14597" width="18.28515625" style="4" customWidth="1"/>
    <col min="14598" max="14598" width="20.140625" style="4" customWidth="1"/>
    <col min="14599" max="14599" width="10.7109375" style="4" customWidth="1"/>
    <col min="14600" max="14600" width="14.42578125" style="4" bestFit="1" customWidth="1"/>
    <col min="14601" max="14601" width="10.7109375" style="4" customWidth="1"/>
    <col min="14602" max="14602" width="12.7109375" style="4" bestFit="1" customWidth="1"/>
    <col min="14603" max="14605" width="8.42578125" style="4" customWidth="1"/>
    <col min="14606" max="14608" width="13" style="4" customWidth="1"/>
    <col min="14609" max="14612" width="9.140625" style="4"/>
    <col min="14613" max="14613" width="8.7109375" style="4" customWidth="1"/>
    <col min="14614" max="14847" width="9.140625" style="4"/>
    <col min="14848" max="14848" width="2.7109375" style="4" customWidth="1"/>
    <col min="14849" max="14849" width="114.42578125" style="4" customWidth="1"/>
    <col min="14850" max="14850" width="0" style="4" hidden="1" customWidth="1"/>
    <col min="14851" max="14851" width="27.5703125" style="4" customWidth="1"/>
    <col min="14852" max="14852" width="20" style="4" customWidth="1"/>
    <col min="14853" max="14853" width="18.28515625" style="4" customWidth="1"/>
    <col min="14854" max="14854" width="20.140625" style="4" customWidth="1"/>
    <col min="14855" max="14855" width="10.7109375" style="4" customWidth="1"/>
    <col min="14856" max="14856" width="14.42578125" style="4" bestFit="1" customWidth="1"/>
    <col min="14857" max="14857" width="10.7109375" style="4" customWidth="1"/>
    <col min="14858" max="14858" width="12.7109375" style="4" bestFit="1" customWidth="1"/>
    <col min="14859" max="14861" width="8.42578125" style="4" customWidth="1"/>
    <col min="14862" max="14864" width="13" style="4" customWidth="1"/>
    <col min="14865" max="14868" width="9.140625" style="4"/>
    <col min="14869" max="14869" width="8.7109375" style="4" customWidth="1"/>
    <col min="14870" max="15103" width="9.140625" style="4"/>
    <col min="15104" max="15104" width="2.7109375" style="4" customWidth="1"/>
    <col min="15105" max="15105" width="114.42578125" style="4" customWidth="1"/>
    <col min="15106" max="15106" width="0" style="4" hidden="1" customWidth="1"/>
    <col min="15107" max="15107" width="27.5703125" style="4" customWidth="1"/>
    <col min="15108" max="15108" width="20" style="4" customWidth="1"/>
    <col min="15109" max="15109" width="18.28515625" style="4" customWidth="1"/>
    <col min="15110" max="15110" width="20.140625" style="4" customWidth="1"/>
    <col min="15111" max="15111" width="10.7109375" style="4" customWidth="1"/>
    <col min="15112" max="15112" width="14.42578125" style="4" bestFit="1" customWidth="1"/>
    <col min="15113" max="15113" width="10.7109375" style="4" customWidth="1"/>
    <col min="15114" max="15114" width="12.7109375" style="4" bestFit="1" customWidth="1"/>
    <col min="15115" max="15117" width="8.42578125" style="4" customWidth="1"/>
    <col min="15118" max="15120" width="13" style="4" customWidth="1"/>
    <col min="15121" max="15124" width="9.140625" style="4"/>
    <col min="15125" max="15125" width="8.7109375" style="4" customWidth="1"/>
    <col min="15126" max="15359" width="9.140625" style="4"/>
    <col min="15360" max="15360" width="2.7109375" style="4" customWidth="1"/>
    <col min="15361" max="15361" width="114.42578125" style="4" customWidth="1"/>
    <col min="15362" max="15362" width="0" style="4" hidden="1" customWidth="1"/>
    <col min="15363" max="15363" width="27.5703125" style="4" customWidth="1"/>
    <col min="15364" max="15364" width="20" style="4" customWidth="1"/>
    <col min="15365" max="15365" width="18.28515625" style="4" customWidth="1"/>
    <col min="15366" max="15366" width="20.140625" style="4" customWidth="1"/>
    <col min="15367" max="15367" width="10.7109375" style="4" customWidth="1"/>
    <col min="15368" max="15368" width="14.42578125" style="4" bestFit="1" customWidth="1"/>
    <col min="15369" max="15369" width="10.7109375" style="4" customWidth="1"/>
    <col min="15370" max="15370" width="12.7109375" style="4" bestFit="1" customWidth="1"/>
    <col min="15371" max="15373" width="8.42578125" style="4" customWidth="1"/>
    <col min="15374" max="15376" width="13" style="4" customWidth="1"/>
    <col min="15377" max="15380" width="9.140625" style="4"/>
    <col min="15381" max="15381" width="8.7109375" style="4" customWidth="1"/>
    <col min="15382" max="15615" width="9.140625" style="4"/>
    <col min="15616" max="15616" width="2.7109375" style="4" customWidth="1"/>
    <col min="15617" max="15617" width="114.42578125" style="4" customWidth="1"/>
    <col min="15618" max="15618" width="0" style="4" hidden="1" customWidth="1"/>
    <col min="15619" max="15619" width="27.5703125" style="4" customWidth="1"/>
    <col min="15620" max="15620" width="20" style="4" customWidth="1"/>
    <col min="15621" max="15621" width="18.28515625" style="4" customWidth="1"/>
    <col min="15622" max="15622" width="20.140625" style="4" customWidth="1"/>
    <col min="15623" max="15623" width="10.7109375" style="4" customWidth="1"/>
    <col min="15624" max="15624" width="14.42578125" style="4" bestFit="1" customWidth="1"/>
    <col min="15625" max="15625" width="10.7109375" style="4" customWidth="1"/>
    <col min="15626" max="15626" width="12.7109375" style="4" bestFit="1" customWidth="1"/>
    <col min="15627" max="15629" width="8.42578125" style="4" customWidth="1"/>
    <col min="15630" max="15632" width="13" style="4" customWidth="1"/>
    <col min="15633" max="15636" width="9.140625" style="4"/>
    <col min="15637" max="15637" width="8.7109375" style="4" customWidth="1"/>
    <col min="15638" max="15871" width="9.140625" style="4"/>
    <col min="15872" max="15872" width="2.7109375" style="4" customWidth="1"/>
    <col min="15873" max="15873" width="114.42578125" style="4" customWidth="1"/>
    <col min="15874" max="15874" width="0" style="4" hidden="1" customWidth="1"/>
    <col min="15875" max="15875" width="27.5703125" style="4" customWidth="1"/>
    <col min="15876" max="15876" width="20" style="4" customWidth="1"/>
    <col min="15877" max="15877" width="18.28515625" style="4" customWidth="1"/>
    <col min="15878" max="15878" width="20.140625" style="4" customWidth="1"/>
    <col min="15879" max="15879" width="10.7109375" style="4" customWidth="1"/>
    <col min="15880" max="15880" width="14.42578125" style="4" bestFit="1" customWidth="1"/>
    <col min="15881" max="15881" width="10.7109375" style="4" customWidth="1"/>
    <col min="15882" max="15882" width="12.7109375" style="4" bestFit="1" customWidth="1"/>
    <col min="15883" max="15885" width="8.42578125" style="4" customWidth="1"/>
    <col min="15886" max="15888" width="13" style="4" customWidth="1"/>
    <col min="15889" max="15892" width="9.140625" style="4"/>
    <col min="15893" max="15893" width="8.7109375" style="4" customWidth="1"/>
    <col min="15894" max="16127" width="9.140625" style="4"/>
    <col min="16128" max="16128" width="2.7109375" style="4" customWidth="1"/>
    <col min="16129" max="16129" width="114.42578125" style="4" customWidth="1"/>
    <col min="16130" max="16130" width="0" style="4" hidden="1" customWidth="1"/>
    <col min="16131" max="16131" width="27.5703125" style="4" customWidth="1"/>
    <col min="16132" max="16132" width="20" style="4" customWidth="1"/>
    <col min="16133" max="16133" width="18.28515625" style="4" customWidth="1"/>
    <col min="16134" max="16134" width="20.140625" style="4" customWidth="1"/>
    <col min="16135" max="16135" width="10.7109375" style="4" customWidth="1"/>
    <col min="16136" max="16136" width="14.42578125" style="4" bestFit="1" customWidth="1"/>
    <col min="16137" max="16137" width="10.7109375" style="4" customWidth="1"/>
    <col min="16138" max="16138" width="12.7109375" style="4" bestFit="1" customWidth="1"/>
    <col min="16139" max="16141" width="8.42578125" style="4" customWidth="1"/>
    <col min="16142" max="16144" width="13" style="4" customWidth="1"/>
    <col min="16145" max="16148" width="9.140625" style="4"/>
    <col min="16149" max="16149" width="8.7109375" style="4" customWidth="1"/>
    <col min="16150" max="16384" width="9.140625" style="4"/>
  </cols>
  <sheetData>
    <row r="2" spans="1:30" ht="15">
      <c r="B2" s="483" t="str">
        <f>"Tariff Approval - "&amp;Input!$E$3</f>
        <v>Tariff Approval - United Energy</v>
      </c>
      <c r="C2" s="276" t="s">
        <v>192</v>
      </c>
      <c r="D2" s="7"/>
      <c r="G2" s="64"/>
      <c r="M2" s="35"/>
      <c r="N2" s="35"/>
      <c r="O2" s="35"/>
      <c r="P2" s="35"/>
      <c r="Q2" s="35"/>
      <c r="R2" s="35"/>
    </row>
    <row r="3" spans="1:30" ht="15">
      <c r="B3" s="61"/>
      <c r="D3" s="7"/>
      <c r="M3" s="35"/>
      <c r="N3" s="35"/>
      <c r="O3" s="35"/>
      <c r="P3" s="35"/>
      <c r="Q3" s="35"/>
      <c r="R3" s="35"/>
    </row>
    <row r="4" spans="1:30" ht="18.75">
      <c r="B4" s="481" t="s">
        <v>56</v>
      </c>
      <c r="C4" s="482"/>
      <c r="D4" s="7"/>
      <c r="M4" s="35"/>
      <c r="N4" s="35"/>
      <c r="O4" s="35"/>
      <c r="P4" s="35"/>
      <c r="Q4" s="35"/>
      <c r="R4" s="35"/>
    </row>
    <row r="5" spans="1:30" ht="15">
      <c r="B5" s="8"/>
      <c r="D5" s="7"/>
      <c r="K5" s="64"/>
      <c r="M5" s="35"/>
      <c r="N5" s="35"/>
      <c r="O5" s="35"/>
      <c r="P5" s="35"/>
      <c r="Q5" s="35"/>
      <c r="R5" s="35"/>
    </row>
    <row r="6" spans="1:30" ht="15.75">
      <c r="B6" s="484" t="s">
        <v>54</v>
      </c>
      <c r="C6" s="485" t="str">
        <f>Input!E7</f>
        <v>2021/22</v>
      </c>
      <c r="D6" s="7"/>
      <c r="E6" s="494" t="str">
        <f>Input!E8</f>
        <v>HY21</v>
      </c>
      <c r="F6" s="5"/>
      <c r="G6" s="88" t="s">
        <v>165</v>
      </c>
      <c r="H6" s="2"/>
      <c r="I6" s="2"/>
      <c r="J6" s="3"/>
      <c r="M6" s="35"/>
      <c r="N6" s="35"/>
      <c r="O6" s="35"/>
    </row>
    <row r="7" spans="1:30" ht="15">
      <c r="B7" s="6"/>
      <c r="C7" s="9"/>
      <c r="D7" s="7"/>
      <c r="E7" s="1"/>
      <c r="F7" s="10"/>
      <c r="G7" s="74"/>
      <c r="H7" s="78"/>
      <c r="I7" s="54" t="str">
        <f>IF(Input!E5&gt;2023, "", "Year t-3")</f>
        <v>Year t-3</v>
      </c>
      <c r="J7" s="54" t="s">
        <v>53</v>
      </c>
      <c r="K7" s="54" t="s">
        <v>82</v>
      </c>
      <c r="L7" s="54" t="s">
        <v>0</v>
      </c>
      <c r="M7" s="41"/>
      <c r="N7" s="41"/>
      <c r="O7" s="41"/>
      <c r="P7" s="1"/>
    </row>
    <row r="8" spans="1:30" ht="18" customHeight="1">
      <c r="A8" s="11"/>
      <c r="B8" s="12" t="s">
        <v>18</v>
      </c>
      <c r="C8" s="13"/>
      <c r="D8" s="14"/>
      <c r="F8" s="5"/>
      <c r="G8" s="75"/>
      <c r="H8" s="79"/>
      <c r="I8" s="55" t="str">
        <f>IF(Input!E5&gt;2023, "", "(actual)")</f>
        <v>(actual)</v>
      </c>
      <c r="J8" s="55" t="str">
        <f>IF(J9=2020,"(estimate)","(actual)")</f>
        <v>(estimate)</v>
      </c>
      <c r="K8" s="55" t="s">
        <v>80</v>
      </c>
      <c r="L8" s="55" t="s">
        <v>1</v>
      </c>
      <c r="M8" s="35"/>
      <c r="N8" s="35"/>
      <c r="O8" s="35"/>
    </row>
    <row r="9" spans="1:30" ht="18" customHeight="1">
      <c r="A9" s="11"/>
      <c r="B9" s="18" t="s">
        <v>274</v>
      </c>
      <c r="C9" s="250">
        <f>'Prop DUOS'!BP67</f>
        <v>410370679.06369799</v>
      </c>
      <c r="D9" s="14"/>
      <c r="G9" s="75"/>
      <c r="H9" s="79"/>
      <c r="I9" s="56">
        <f>IF(Input!E5&gt;2023, "", Input!E10)</f>
        <v>2019</v>
      </c>
      <c r="J9" s="56">
        <f>Input!E9</f>
        <v>2020</v>
      </c>
      <c r="K9" s="56" t="str">
        <f>Input!E8</f>
        <v>HY21</v>
      </c>
      <c r="L9" s="56" t="str">
        <f>Input!E7</f>
        <v>2021/22</v>
      </c>
      <c r="M9" s="35"/>
      <c r="N9" s="35"/>
      <c r="O9" s="35"/>
    </row>
    <row r="10" spans="1:30" ht="18" customHeight="1">
      <c r="A10" s="11"/>
      <c r="B10" s="18" t="s">
        <v>275</v>
      </c>
      <c r="C10" s="686">
        <f>'Trial tariffs'!T26</f>
        <v>0</v>
      </c>
      <c r="D10" s="14"/>
      <c r="G10" s="75"/>
      <c r="H10" s="79"/>
      <c r="I10" s="359" t="b">
        <f>I9=I12</f>
        <v>0</v>
      </c>
      <c r="J10" s="49"/>
      <c r="K10" s="49"/>
      <c r="L10" s="52"/>
      <c r="M10" s="35"/>
      <c r="N10" s="35"/>
      <c r="O10" s="35"/>
    </row>
    <row r="11" spans="1:30" ht="18" customHeight="1">
      <c r="A11" s="11"/>
      <c r="B11" s="15" t="s">
        <v>24</v>
      </c>
      <c r="C11" s="657">
        <f>SUM(C9:C10)</f>
        <v>410370679.06369799</v>
      </c>
      <c r="D11" s="270"/>
      <c r="E11" s="5"/>
      <c r="F11" s="33"/>
      <c r="G11" s="73" t="s">
        <v>2</v>
      </c>
      <c r="H11" s="79"/>
      <c r="I11" s="414">
        <v>431637567.91820002</v>
      </c>
      <c r="J11" s="756">
        <v>469850208.92663759</v>
      </c>
      <c r="K11" s="238">
        <f>'t-1 DUOS'!AY67+IF('Trial tariffs'!T48="",0,'Trial tariffs'!T48)</f>
        <v>183703379.55644539</v>
      </c>
      <c r="L11" s="48">
        <f>C11</f>
        <v>410370679.06369799</v>
      </c>
      <c r="M11" s="35"/>
      <c r="N11" s="527" t="s">
        <v>119</v>
      </c>
      <c r="O11" s="527"/>
      <c r="P11" s="527"/>
      <c r="Q11" s="527"/>
      <c r="R11" s="527"/>
      <c r="S11" s="528"/>
      <c r="T11" s="528"/>
      <c r="U11" s="528"/>
      <c r="V11" s="527"/>
      <c r="W11" s="527"/>
      <c r="X11" s="527"/>
      <c r="Y11" s="527"/>
      <c r="Z11" s="527"/>
      <c r="AA11" s="527"/>
      <c r="AB11" s="527"/>
      <c r="AC11" s="527"/>
      <c r="AD11" s="529"/>
    </row>
    <row r="12" spans="1:30" ht="18" customHeight="1">
      <c r="A12" s="11"/>
      <c r="B12" s="42" t="s">
        <v>25</v>
      </c>
      <c r="C12" s="43">
        <f>C20</f>
        <v>410409213.91111135</v>
      </c>
      <c r="D12" s="277"/>
      <c r="E12" s="5"/>
      <c r="F12" s="33"/>
      <c r="G12" s="76"/>
      <c r="H12" s="79"/>
      <c r="I12" s="49"/>
      <c r="J12" s="49"/>
      <c r="K12" s="49"/>
      <c r="L12" s="51"/>
      <c r="M12" s="35"/>
      <c r="N12" s="530"/>
      <c r="O12" s="527"/>
      <c r="P12" s="527"/>
      <c r="Q12" s="527"/>
      <c r="R12" s="527"/>
      <c r="S12" s="528"/>
      <c r="T12" s="528"/>
      <c r="U12" s="528"/>
      <c r="V12" s="527"/>
      <c r="W12" s="527"/>
      <c r="X12" s="527"/>
      <c r="Y12" s="527"/>
      <c r="Z12" s="527"/>
      <c r="AA12" s="527"/>
      <c r="AB12" s="527"/>
      <c r="AC12" s="527"/>
      <c r="AD12" s="529"/>
    </row>
    <row r="13" spans="1:30" ht="18" customHeight="1">
      <c r="A13" s="11"/>
      <c r="B13" s="44"/>
      <c r="C13" s="45" t="str">
        <f>IF(C11="","",IF(C12&gt;=C11,"DUoS REVENUE CAP FORMULA COMPLIANT","DUoS REVENUE CAP FORMULA BREACHED"))</f>
        <v>DUoS REVENUE CAP FORMULA COMPLIANT</v>
      </c>
      <c r="D13" s="694" t="b">
        <f>C13="DUoS REVENUE CAP FORMULA COMPLIANT"</f>
        <v>1</v>
      </c>
      <c r="E13" s="5"/>
      <c r="F13" s="33"/>
      <c r="G13" s="76"/>
      <c r="H13" s="79"/>
      <c r="I13" s="49"/>
      <c r="J13" s="49"/>
      <c r="K13" s="49"/>
      <c r="L13" s="51"/>
      <c r="M13" s="35"/>
      <c r="N13" s="530" t="s">
        <v>118</v>
      </c>
      <c r="O13" s="527"/>
      <c r="P13" s="527"/>
      <c r="Q13" s="527"/>
      <c r="R13" s="527"/>
      <c r="S13" s="528"/>
      <c r="T13" s="528"/>
      <c r="U13" s="528"/>
      <c r="V13" s="527"/>
      <c r="W13" s="527"/>
      <c r="X13" s="527"/>
      <c r="Y13" s="527"/>
      <c r="Z13" s="527"/>
      <c r="AA13" s="527"/>
      <c r="AB13" s="527"/>
      <c r="AC13" s="527"/>
      <c r="AD13" s="529"/>
    </row>
    <row r="14" spans="1:30" ht="18" customHeight="1">
      <c r="A14" s="11"/>
      <c r="B14" s="16"/>
      <c r="C14" s="16"/>
      <c r="D14" s="16"/>
      <c r="E14" s="16"/>
      <c r="F14" s="33"/>
      <c r="G14" s="77" t="s">
        <v>173</v>
      </c>
      <c r="H14" s="79"/>
      <c r="I14" s="48">
        <f>IF(Input!E5&gt;2023, "", Input!C136)</f>
        <v>450164788.09860957</v>
      </c>
      <c r="J14" s="48">
        <f>Input!D136</f>
        <v>457268883.40897518</v>
      </c>
      <c r="K14" s="48">
        <f>Input!E136</f>
        <v>184626512.11703053</v>
      </c>
      <c r="L14" s="48">
        <f>SUM(L15:L18)</f>
        <v>413001219.93602479</v>
      </c>
      <c r="M14" s="35"/>
      <c r="N14" s="530" t="s">
        <v>120</v>
      </c>
      <c r="O14" s="527"/>
      <c r="P14" s="527"/>
      <c r="Q14" s="527"/>
      <c r="R14" s="527"/>
      <c r="S14" s="528"/>
      <c r="T14" s="528"/>
      <c r="U14" s="528"/>
      <c r="V14" s="527"/>
      <c r="W14" s="527"/>
      <c r="X14" s="527"/>
      <c r="Y14" s="527"/>
      <c r="Z14" s="527"/>
      <c r="AA14" s="527"/>
      <c r="AB14" s="527"/>
      <c r="AC14" s="527"/>
      <c r="AD14" s="529"/>
    </row>
    <row r="15" spans="1:30" ht="18" customHeight="1">
      <c r="A15" s="11"/>
      <c r="B15" s="12" t="s">
        <v>23</v>
      </c>
      <c r="C15" s="16"/>
      <c r="D15" s="16"/>
      <c r="E15" s="16"/>
      <c r="F15" s="33"/>
      <c r="G15" s="62" t="s">
        <v>52</v>
      </c>
      <c r="H15" s="79"/>
      <c r="I15" s="283"/>
      <c r="J15" s="283"/>
      <c r="K15" s="284"/>
      <c r="L15" s="157">
        <f>C16</f>
        <v>412785124.19457853</v>
      </c>
      <c r="M15" s="35"/>
      <c r="N15" s="527" t="s">
        <v>121</v>
      </c>
      <c r="O15" s="527"/>
      <c r="P15" s="527"/>
      <c r="Q15" s="527"/>
      <c r="R15" s="527"/>
      <c r="S15" s="528"/>
      <c r="T15" s="528"/>
      <c r="U15" s="528"/>
      <c r="V15" s="527"/>
      <c r="W15" s="527"/>
      <c r="X15" s="527"/>
      <c r="Y15" s="527"/>
      <c r="Z15" s="527"/>
      <c r="AA15" s="527"/>
      <c r="AB15" s="527"/>
      <c r="AC15" s="527"/>
      <c r="AD15" s="529"/>
    </row>
    <row r="16" spans="1:30" ht="18" customHeight="1">
      <c r="A16" s="11"/>
      <c r="B16" s="18" t="s">
        <v>26</v>
      </c>
      <c r="C16" s="27">
        <f>C26</f>
        <v>412785124.19457853</v>
      </c>
      <c r="D16" s="16"/>
      <c r="E16" s="27" t="str">
        <f>IF(C6=Input!G8,"n/a",E26)</f>
        <v>n/a</v>
      </c>
      <c r="F16" s="33"/>
      <c r="G16" s="62" t="s">
        <v>156</v>
      </c>
      <c r="H16" s="79"/>
      <c r="I16" s="499"/>
      <c r="J16" s="499"/>
      <c r="K16" s="500"/>
      <c r="L16" s="51">
        <f>C17</f>
        <v>228900</v>
      </c>
      <c r="M16" s="35"/>
      <c r="N16" s="530"/>
      <c r="O16" s="527"/>
      <c r="P16" s="527"/>
      <c r="Q16" s="527"/>
      <c r="R16" s="527"/>
      <c r="S16" s="528"/>
      <c r="T16" s="528"/>
      <c r="U16" s="528"/>
      <c r="V16" s="527"/>
      <c r="W16" s="527"/>
      <c r="X16" s="527"/>
      <c r="Y16" s="527"/>
      <c r="Z16" s="527"/>
      <c r="AA16" s="527"/>
      <c r="AB16" s="527"/>
      <c r="AC16" s="527"/>
      <c r="AD16" s="529"/>
    </row>
    <row r="17" spans="1:30" ht="18" customHeight="1">
      <c r="A17" s="11"/>
      <c r="B17" s="19" t="s">
        <v>144</v>
      </c>
      <c r="C17" s="72">
        <f>Input!D63+Input!D72+Input!D81+Input!D117+Input!D126</f>
        <v>228900</v>
      </c>
      <c r="D17" s="16"/>
      <c r="E17" s="72" t="str">
        <f>IF(C6=Input!G8,"n/a",(INDEX(Input!$F$63:$J$63,1,MATCH($E$6,Input!$F$56:$J$56,0))+INDEX(Input!$F$72:$J$72,1,MATCH($E$6,Input!$F$65:$J$65,0))+INDEX(Input!$F$81:$J$81,1,MATCH($E$6,Input!$F$74:$J$74,0))+INDEX(Input!$F$117:$J$117,1,MATCH($E$6,Input!$F$110:$J$110,0))+INDEX(Input!$F$126:$J$126,1,MATCH($E$6,Input!$F$119:$J$119,0))))</f>
        <v>n/a</v>
      </c>
      <c r="F17" s="33"/>
      <c r="G17" s="62" t="s">
        <v>162</v>
      </c>
      <c r="H17" s="79"/>
      <c r="I17" s="499"/>
      <c r="J17" s="499"/>
      <c r="K17" s="500"/>
      <c r="L17" s="51">
        <f>C18</f>
        <v>-512728.71942023485</v>
      </c>
      <c r="M17" s="35"/>
      <c r="N17" s="530" t="s">
        <v>196</v>
      </c>
      <c r="O17" s="527"/>
      <c r="P17" s="527"/>
      <c r="Q17" s="527"/>
      <c r="R17" s="527"/>
      <c r="S17" s="528"/>
      <c r="T17" s="528"/>
      <c r="U17" s="528"/>
      <c r="V17" s="527"/>
      <c r="W17" s="527"/>
      <c r="X17" s="527"/>
      <c r="Y17" s="527"/>
      <c r="Z17" s="527"/>
      <c r="AA17" s="527"/>
      <c r="AB17" s="527"/>
      <c r="AC17" s="527"/>
      <c r="AD17" s="529"/>
    </row>
    <row r="18" spans="1:30" ht="18" customHeight="1">
      <c r="A18" s="11"/>
      <c r="B18" s="19" t="s">
        <v>145</v>
      </c>
      <c r="C18" s="27">
        <f>Input!D90</f>
        <v>-512728.71942023485</v>
      </c>
      <c r="D18" s="16"/>
      <c r="E18" s="27" t="str">
        <f>IF(C6=Input!G8,"n/a",INDEX(Input!$F$90:$J$90,1,MATCH($E$6,Input!$F$83:$J$83,0)))</f>
        <v>n/a</v>
      </c>
      <c r="F18" s="33"/>
      <c r="G18" s="62" t="s">
        <v>161</v>
      </c>
      <c r="H18" s="79"/>
      <c r="I18" s="285"/>
      <c r="J18" s="285"/>
      <c r="K18" s="285"/>
      <c r="L18" s="60">
        <f>C30</f>
        <v>499924.46086650423</v>
      </c>
      <c r="M18" s="35"/>
      <c r="N18" s="35"/>
      <c r="O18" s="35"/>
      <c r="S18" s="17"/>
      <c r="T18" s="17"/>
      <c r="U18" s="17"/>
    </row>
    <row r="19" spans="1:30" ht="18" customHeight="1">
      <c r="A19" s="11"/>
      <c r="B19" s="19" t="s">
        <v>19</v>
      </c>
      <c r="C19" s="27">
        <f>C32</f>
        <v>-2092081.5640469091</v>
      </c>
      <c r="D19" s="16"/>
      <c r="E19" s="27" t="str">
        <f>IF(C6=Input!G8,"n/a",E32)</f>
        <v>n/a</v>
      </c>
      <c r="F19" s="33"/>
      <c r="G19" s="62"/>
      <c r="H19" s="79"/>
      <c r="I19" s="63"/>
      <c r="J19" s="63"/>
      <c r="K19" s="63"/>
      <c r="L19" s="53"/>
      <c r="M19" s="35"/>
      <c r="N19" s="35"/>
      <c r="O19" s="35"/>
      <c r="S19" s="17"/>
      <c r="T19" s="17"/>
      <c r="U19" s="17"/>
    </row>
    <row r="20" spans="1:30" ht="18" customHeight="1">
      <c r="A20" s="11"/>
      <c r="B20" s="15" t="s">
        <v>25</v>
      </c>
      <c r="C20" s="358">
        <f>C16+C17+C18+C19</f>
        <v>410409213.91111135</v>
      </c>
      <c r="D20" s="16"/>
      <c r="E20" s="358" t="str">
        <f>IF(C6=Input!G8,"n/a",(E16+E17+E18+E19))</f>
        <v>n/a</v>
      </c>
      <c r="F20" s="33"/>
      <c r="G20" s="77" t="s">
        <v>302</v>
      </c>
      <c r="H20" s="79"/>
      <c r="I20" s="691"/>
      <c r="J20" s="691"/>
      <c r="K20" s="691"/>
      <c r="L20" s="692"/>
      <c r="M20" s="35"/>
      <c r="N20" s="35"/>
      <c r="O20" s="35"/>
      <c r="S20" s="17"/>
      <c r="T20" s="17"/>
      <c r="U20" s="17"/>
    </row>
    <row r="21" spans="1:30" ht="18" customHeight="1">
      <c r="A21" s="11"/>
      <c r="B21" s="20"/>
      <c r="C21" s="46"/>
      <c r="D21" s="16"/>
      <c r="E21" s="46"/>
      <c r="F21" s="33"/>
      <c r="G21" s="59" t="s">
        <v>303</v>
      </c>
      <c r="H21" s="82"/>
      <c r="I21" s="48">
        <f>IF(Input!E5&gt;2023, "", I11-I14+I20)</f>
        <v>-18527220.180409551</v>
      </c>
      <c r="J21" s="48">
        <f>J11-J14+J20</f>
        <v>12581325.517662406</v>
      </c>
      <c r="K21" s="48">
        <f>K11-K14+K20</f>
        <v>-923132.56058514118</v>
      </c>
      <c r="L21" s="48">
        <f>L11-L14+L20</f>
        <v>-2630540.8723267913</v>
      </c>
      <c r="M21" s="35"/>
      <c r="N21" s="35"/>
      <c r="O21" s="35"/>
      <c r="S21" s="17"/>
      <c r="T21" s="17"/>
      <c r="U21" s="17"/>
    </row>
    <row r="22" spans="1:30" ht="18" customHeight="1">
      <c r="A22" s="11"/>
      <c r="B22" s="12" t="s">
        <v>22</v>
      </c>
      <c r="C22" s="47"/>
      <c r="D22" s="16"/>
      <c r="E22" s="47"/>
      <c r="F22" s="33"/>
      <c r="G22" s="89"/>
      <c r="H22" s="2"/>
      <c r="I22" s="4"/>
      <c r="J22" s="4"/>
      <c r="K22" s="3"/>
      <c r="M22" s="35"/>
      <c r="N22" s="35"/>
      <c r="O22" s="35"/>
      <c r="S22" s="17"/>
      <c r="T22" s="17"/>
      <c r="U22" s="17"/>
    </row>
    <row r="23" spans="1:30" ht="18" customHeight="1">
      <c r="A23" s="11"/>
      <c r="B23" s="15" t="s">
        <v>27</v>
      </c>
      <c r="C23" s="250" t="str">
        <f>E26</f>
        <v>n/a</v>
      </c>
      <c r="D23" s="16"/>
      <c r="E23" s="250" t="str">
        <f>IF(C6=Input!G8,"n/a",INDEX(Input!$F$146:$J$146,1,MATCH($E$6,Input!$F$139:$J$139,0)))</f>
        <v>n/a</v>
      </c>
      <c r="F23" s="33"/>
      <c r="G23" s="89"/>
      <c r="H23" s="2"/>
      <c r="I23" s="4"/>
      <c r="J23" s="4"/>
      <c r="K23" s="3"/>
      <c r="M23" s="35"/>
      <c r="N23" s="35"/>
      <c r="O23" s="35"/>
      <c r="S23" s="17"/>
      <c r="T23" s="17"/>
      <c r="U23" s="17"/>
    </row>
    <row r="24" spans="1:30" ht="18" customHeight="1">
      <c r="A24" s="11"/>
      <c r="B24" s="18" t="s">
        <v>20</v>
      </c>
      <c r="C24" s="28" t="str">
        <f>IF(C6=Input!G8,"n/a",Input!E28)</f>
        <v>n/a</v>
      </c>
      <c r="D24" s="16"/>
      <c r="E24" s="28" t="str">
        <f>IF(C6=Input!G8,"n/a",Input!E27)</f>
        <v>n/a</v>
      </c>
      <c r="F24" s="33"/>
      <c r="G24" s="89"/>
      <c r="H24" s="2"/>
      <c r="I24" s="4"/>
      <c r="J24" s="4"/>
      <c r="K24" s="3"/>
      <c r="M24" s="35"/>
      <c r="N24" s="35"/>
      <c r="O24" s="35"/>
      <c r="S24" s="17"/>
      <c r="T24" s="17"/>
      <c r="U24" s="17"/>
    </row>
    <row r="25" spans="1:30" ht="18" customHeight="1">
      <c r="A25" s="11"/>
      <c r="B25" s="18" t="s">
        <v>21</v>
      </c>
      <c r="C25" s="28" t="str">
        <f>Input!D53</f>
        <v>n/a</v>
      </c>
      <c r="D25" s="16"/>
      <c r="E25" s="28" t="str">
        <f>IF(C6=Input!G8,"n/a",INDEX(Input!$G$53:$J$53,1,MATCH($E$6,Input!$G$46:$J$46,0)))</f>
        <v>n/a</v>
      </c>
      <c r="F25" s="33"/>
      <c r="G25" s="88" t="s">
        <v>166</v>
      </c>
      <c r="H25" s="2"/>
      <c r="I25" s="4"/>
      <c r="J25" s="4"/>
      <c r="K25" s="3"/>
      <c r="M25" s="35"/>
      <c r="N25" s="35"/>
      <c r="O25" s="35"/>
      <c r="S25" s="17"/>
      <c r="T25" s="17"/>
      <c r="U25" s="17"/>
    </row>
    <row r="26" spans="1:30" ht="18" customHeight="1">
      <c r="A26" s="21"/>
      <c r="B26" s="18" t="s">
        <v>26</v>
      </c>
      <c r="C26" s="358">
        <f>IF(C6=Input!G8,Input!F53,(C23*(1+C24)*(1-C25)))</f>
        <v>412785124.19457853</v>
      </c>
      <c r="D26" s="16"/>
      <c r="E26" s="358" t="str">
        <f>IF(C6=Input!G8,"n/a",IF(E6=Input!G8,Input!F53,(E23*(1+E24)*(1-E25))))</f>
        <v>n/a</v>
      </c>
      <c r="F26" s="33"/>
      <c r="G26" s="57"/>
      <c r="H26" s="78"/>
      <c r="I26" s="54" t="str">
        <f>IF(Input!E5&gt;2023, "", "Year t-3")</f>
        <v>Year t-3</v>
      </c>
      <c r="J26" s="54" t="s">
        <v>53</v>
      </c>
      <c r="K26" s="54" t="s">
        <v>82</v>
      </c>
      <c r="L26" s="54" t="s">
        <v>0</v>
      </c>
      <c r="M26" s="35"/>
      <c r="N26" s="35"/>
      <c r="O26" s="35"/>
      <c r="S26" s="17"/>
      <c r="T26" s="17"/>
      <c r="U26" s="17"/>
    </row>
    <row r="27" spans="1:30" ht="18" customHeight="1">
      <c r="A27" s="11"/>
      <c r="B27" s="21"/>
      <c r="C27" s="29"/>
      <c r="D27" s="16"/>
      <c r="E27" s="29"/>
      <c r="F27" s="33"/>
      <c r="G27" s="58"/>
      <c r="H27" s="79"/>
      <c r="I27" s="55" t="str">
        <f>IF(Input!E5&gt;2023, "", "(actual)")</f>
        <v>(actual)</v>
      </c>
      <c r="J27" s="55" t="str">
        <f>IF(J28=2020,"(estimate)","(actual)")</f>
        <v>(estimate)</v>
      </c>
      <c r="K27" s="55" t="s">
        <v>80</v>
      </c>
      <c r="L27" s="55" t="s">
        <v>1</v>
      </c>
      <c r="M27" s="35"/>
      <c r="N27" s="35"/>
      <c r="O27" s="35"/>
      <c r="S27" s="17"/>
      <c r="T27" s="17"/>
      <c r="U27" s="17"/>
    </row>
    <row r="28" spans="1:30" ht="18" customHeight="1">
      <c r="A28" s="11"/>
      <c r="B28" s="22" t="s">
        <v>79</v>
      </c>
      <c r="C28" s="30"/>
      <c r="D28" s="16"/>
      <c r="E28" s="30"/>
      <c r="F28" s="32"/>
      <c r="G28" s="58" t="s">
        <v>55</v>
      </c>
      <c r="H28" s="79"/>
      <c r="I28" s="56">
        <f>IF(Input!E5&gt;2023, "", I9)</f>
        <v>2019</v>
      </c>
      <c r="J28" s="56">
        <f>J9</f>
        <v>2020</v>
      </c>
      <c r="K28" s="56" t="str">
        <f>K9</f>
        <v>HY21</v>
      </c>
      <c r="L28" s="56" t="str">
        <f>L9</f>
        <v>2021/22</v>
      </c>
      <c r="M28" s="33"/>
      <c r="N28" s="33"/>
      <c r="O28" s="35"/>
      <c r="X28" s="17"/>
      <c r="Y28" s="17"/>
      <c r="Z28" s="17"/>
    </row>
    <row r="29" spans="1:30" ht="18" customHeight="1">
      <c r="A29" s="11"/>
      <c r="B29" s="24" t="s">
        <v>305</v>
      </c>
      <c r="C29" s="693">
        <f>-L32*(1+L30)^0.5</f>
        <v>-2592006.0249134135</v>
      </c>
      <c r="D29" s="16"/>
      <c r="E29" s="250" t="str">
        <f>IF(C6=Input!G8,"n/a",INDEX(Input!$F$155:$J$155,1,MATCH($E$6,Input!$F$148:$J$148,0)))</f>
        <v>n/a</v>
      </c>
      <c r="F29" s="32"/>
      <c r="G29" s="80"/>
      <c r="H29" s="78"/>
      <c r="I29" s="50"/>
      <c r="J29" s="50"/>
      <c r="K29" s="50"/>
      <c r="L29" s="81"/>
      <c r="M29" s="33"/>
      <c r="N29" s="33"/>
      <c r="O29" s="35"/>
      <c r="X29" s="17"/>
      <c r="Y29" s="17"/>
      <c r="Z29" s="17"/>
    </row>
    <row r="30" spans="1:30" ht="18" customHeight="1">
      <c r="A30" s="11"/>
      <c r="B30" s="24" t="s">
        <v>29</v>
      </c>
      <c r="C30" s="31">
        <f>C39</f>
        <v>499924.46086650423</v>
      </c>
      <c r="D30" s="16"/>
      <c r="E30" s="31" t="str">
        <f>IF(C6=Input!G8,"n/a",E39)</f>
        <v>n/a</v>
      </c>
      <c r="F30" s="32"/>
      <c r="G30" s="58" t="s">
        <v>83</v>
      </c>
      <c r="H30" s="79"/>
      <c r="I30" s="239">
        <f>IF(Input!E5&gt;2023, "", (1+Input!$D$43)*(1+Input!$E$25)-1)</f>
        <v>5.90724924111663E-2</v>
      </c>
      <c r="J30" s="240">
        <f>(1+Input!$D$42)*(1+Input!$E$26)-1</f>
        <v>5.2504741392848775E-2</v>
      </c>
      <c r="K30" s="50">
        <f>(1+Input!$D$41)*(1+Input!$E$27)-1</f>
        <v>2.4082091464971755E-2</v>
      </c>
      <c r="L30" s="240">
        <f>(1+Input!$D$40)*(1+Input!$E$28)-1</f>
        <v>3.5904064244940637E-2</v>
      </c>
      <c r="M30" s="33"/>
      <c r="N30" s="33"/>
      <c r="O30" s="35"/>
      <c r="X30" s="17"/>
      <c r="Y30" s="17"/>
      <c r="Z30" s="17"/>
    </row>
    <row r="31" spans="1:30" ht="18" customHeight="1">
      <c r="A31" s="11"/>
      <c r="B31" s="24" t="s">
        <v>301</v>
      </c>
      <c r="C31" s="31" t="str">
        <f>IF(Input!E3="CitiPower",Input!D108,"n/a")</f>
        <v>n/a</v>
      </c>
      <c r="D31" s="16"/>
      <c r="E31" s="31" t="str">
        <f>IF(Input!E3="CitiPower",IF(E6=Input!G8,"n/a",IF(C6=Input!G8,"n/a",INDEX(Input!$F$108:$J$108,1,MATCH($E$6,Input!$F$101:$J$101,0)))),"n/a")</f>
        <v>n/a</v>
      </c>
      <c r="F31" s="32"/>
      <c r="G31" s="58"/>
      <c r="H31" s="79"/>
      <c r="I31" s="49"/>
      <c r="J31" s="49"/>
      <c r="K31" s="49"/>
      <c r="L31" s="52"/>
      <c r="M31" s="33"/>
      <c r="N31" s="35"/>
      <c r="O31" s="35"/>
      <c r="W31" s="17"/>
      <c r="X31" s="17"/>
      <c r="Y31" s="17"/>
    </row>
    <row r="32" spans="1:30" ht="18" customHeight="1">
      <c r="A32" s="11"/>
      <c r="B32" s="23" t="s">
        <v>19</v>
      </c>
      <c r="C32" s="358">
        <f>SUM(C29:C31)</f>
        <v>-2092081.5640469091</v>
      </c>
      <c r="D32" s="16"/>
      <c r="E32" s="358" t="str">
        <f>IF(C6=Input!G8,"n/a",SUM(E29:E31))</f>
        <v>n/a</v>
      </c>
      <c r="F32" s="32"/>
      <c r="G32" s="58" t="s">
        <v>3</v>
      </c>
      <c r="H32" s="79"/>
      <c r="I32" s="415">
        <v>9472959.6648491621</v>
      </c>
      <c r="J32" s="282">
        <f>I37</f>
        <v>-9034042.4678734802</v>
      </c>
      <c r="K32" s="51">
        <f>J37</f>
        <v>3399017.377651656</v>
      </c>
      <c r="L32" s="51">
        <f>K37</f>
        <v>2546690.9102053698</v>
      </c>
      <c r="M32" s="33"/>
      <c r="N32" s="35"/>
      <c r="O32" s="35"/>
      <c r="W32" s="17"/>
      <c r="X32" s="17"/>
      <c r="Y32" s="17"/>
    </row>
    <row r="33" spans="1:15" ht="15">
      <c r="A33" s="25"/>
      <c r="B33" s="12"/>
      <c r="C33" s="47"/>
      <c r="D33" s="16"/>
      <c r="E33" s="47"/>
      <c r="F33" s="34"/>
      <c r="G33" s="58" t="s">
        <v>84</v>
      </c>
      <c r="H33" s="79"/>
      <c r="I33" s="63">
        <f>IF(Input!E5&gt;2023, "", I32*I30)</f>
        <v>559591.33791308664</v>
      </c>
      <c r="J33" s="63">
        <f>J32*J30</f>
        <v>-474330.06350771041</v>
      </c>
      <c r="K33" s="63">
        <f>K32*K30</f>
        <v>81855.447379635618</v>
      </c>
      <c r="L33" s="63">
        <f>L32*L30</f>
        <v>91436.554052019943</v>
      </c>
      <c r="M33" s="34"/>
      <c r="N33" s="34"/>
      <c r="O33" s="35"/>
    </row>
    <row r="34" spans="1:15" ht="15">
      <c r="A34" s="25"/>
      <c r="B34" s="22" t="s">
        <v>158</v>
      </c>
      <c r="C34" s="26"/>
      <c r="D34" s="25"/>
      <c r="E34" s="26"/>
      <c r="F34" s="34"/>
      <c r="G34" s="58" t="s">
        <v>4</v>
      </c>
      <c r="H34" s="79"/>
      <c r="I34" s="51">
        <f>IF(Input!E5&gt;2023, "", I21)</f>
        <v>-18527220.180409551</v>
      </c>
      <c r="J34" s="51">
        <f>J21</f>
        <v>12581325.517662406</v>
      </c>
      <c r="K34" s="51">
        <f>K21</f>
        <v>-923132.56058514118</v>
      </c>
      <c r="L34" s="51">
        <f>L21</f>
        <v>-2630540.8723267913</v>
      </c>
      <c r="M34" s="34"/>
      <c r="N34" s="34"/>
      <c r="O34" s="35"/>
    </row>
    <row r="35" spans="1:15">
      <c r="A35" s="4"/>
      <c r="B35" s="36" t="s">
        <v>151</v>
      </c>
      <c r="C35" s="72">
        <f>Input!D99</f>
        <v>459344</v>
      </c>
      <c r="D35" s="25"/>
      <c r="E35" s="72" t="str">
        <f>IF(C6=Input!G8,"n/a",INDEX(Input!$F$99:$J$99,1,MATCH(Input!D92,Input!$F$92:$J$92,0)))</f>
        <v>n/a</v>
      </c>
      <c r="F35" s="35"/>
      <c r="G35" s="58" t="s">
        <v>300</v>
      </c>
      <c r="H35" s="79"/>
      <c r="I35" s="51" t="str">
        <f>IF(Input!E5&gt;2023,"",IF(Input!E3="CitiPower",IF(I28=2020,Input!F103,""),""))</f>
        <v/>
      </c>
      <c r="J35" s="51" t="str">
        <f>IF(Input!E3="CitiPower",IF(J28=2020,Input!F103,""),"")</f>
        <v/>
      </c>
      <c r="K35" s="51"/>
      <c r="L35" s="51"/>
      <c r="M35" s="35"/>
      <c r="N35" s="35"/>
      <c r="O35" s="35"/>
    </row>
    <row r="36" spans="1:15">
      <c r="A36" s="4"/>
      <c r="B36" s="37" t="s">
        <v>152</v>
      </c>
      <c r="C36" s="38">
        <f>(1+Input!$D$40)*(1+Input!$E$28)-1</f>
        <v>3.5904064244940637E-2</v>
      </c>
      <c r="E36" s="498" t="str">
        <f>IF(C6=Input!G8,"n/a",(1+Input!$D$41)*(1+Input!$E$27)-1)</f>
        <v>n/a</v>
      </c>
      <c r="G36" s="58" t="s">
        <v>81</v>
      </c>
      <c r="H36" s="79"/>
      <c r="I36" s="63">
        <f>IF(Input!E5&gt;2023, "", I34*((1+I30)^0.5-1))</f>
        <v>-539373.29022617824</v>
      </c>
      <c r="J36" s="63">
        <f>J34*((1+J30)^0.5-1)</f>
        <v>326064.39137043996</v>
      </c>
      <c r="K36" s="63">
        <f>K34*((1+K30)^0.5-1)</f>
        <v>-11049.354240780845</v>
      </c>
      <c r="L36" s="63">
        <f>L34*((1+L30)^0.5-1)</f>
        <v>-46807.117776249208</v>
      </c>
      <c r="M36" s="35"/>
      <c r="N36" s="35"/>
      <c r="O36" s="35"/>
    </row>
    <row r="37" spans="1:15" ht="15">
      <c r="B37" s="37" t="s">
        <v>153</v>
      </c>
      <c r="C37" s="38">
        <f>(1+Input!$D$41)*(1+Input!$E$27)-1</f>
        <v>2.4082091464971755E-2</v>
      </c>
      <c r="E37" s="498" t="str">
        <f>IF(C6=Input!G8,"n/a",(1+Input!$D$42)*(1+Input!$E$26)-1)</f>
        <v>n/a</v>
      </c>
      <c r="F37" s="5"/>
      <c r="G37" s="59" t="s">
        <v>174</v>
      </c>
      <c r="H37" s="82"/>
      <c r="I37" s="48">
        <f>IF(Input!E5&gt;2023, "", SUM(I32:I36))</f>
        <v>-9034042.4678734802</v>
      </c>
      <c r="J37" s="48">
        <f>SUM(J32:J36)</f>
        <v>3399017.377651656</v>
      </c>
      <c r="K37" s="48">
        <f>SUM(K32:K36)</f>
        <v>2546690.9102053698</v>
      </c>
      <c r="L37" s="48">
        <f>SUM(L32:L36)</f>
        <v>-39220.525845650722</v>
      </c>
      <c r="M37" s="35"/>
      <c r="N37" s="725"/>
      <c r="O37" s="35"/>
    </row>
    <row r="38" spans="1:15" ht="14.25" customHeight="1">
      <c r="B38" s="497" t="s">
        <v>154</v>
      </c>
      <c r="C38" s="498">
        <f>IF(C6=Input!G8,((1+Input!$D$42)*(1+Input!$E$26)-1),"n/a")</f>
        <v>5.2504741392848775E-2</v>
      </c>
      <c r="E38" s="498" t="str">
        <f>IF(E6=Input!G8,((1+Input!$D$43)*(1+Input!$E$25)-1),"n/a")</f>
        <v>n/a</v>
      </c>
      <c r="G38" s="2"/>
      <c r="H38" s="3"/>
      <c r="I38" s="4"/>
      <c r="J38" s="4"/>
    </row>
    <row r="39" spans="1:15" ht="15">
      <c r="B39" s="39" t="s">
        <v>157</v>
      </c>
      <c r="C39" s="40">
        <f>IF(C6=Input!G8,(C35*(1+C36)*(1+C37)*((1+C38)^0.5)),(C35*(1+C36)*(1+C37)))</f>
        <v>499924.46086650423</v>
      </c>
      <c r="E39" s="40" t="str">
        <f>IF(C6=Input!G8,"n/a",IF(E6=Input!G8,(E35*(1+E36)*(1+E37)*(1+E38)^0.5),E35*(1+E36)*(1+E37)))</f>
        <v>n/a</v>
      </c>
      <c r="G39" s="795" t="s">
        <v>172</v>
      </c>
      <c r="H39" s="795"/>
      <c r="I39" s="795"/>
      <c r="J39" s="795"/>
      <c r="K39" s="795"/>
      <c r="L39" s="795"/>
    </row>
    <row r="40" spans="1:15">
      <c r="G40" s="795"/>
      <c r="H40" s="795"/>
      <c r="I40" s="795"/>
      <c r="J40" s="795"/>
      <c r="K40" s="795"/>
      <c r="L40" s="795"/>
    </row>
    <row r="41" spans="1:15" ht="14.25" customHeight="1"/>
    <row r="46" spans="1:15">
      <c r="I46" s="4"/>
      <c r="J46" s="4"/>
    </row>
    <row r="47" spans="1:15">
      <c r="I47" s="4"/>
      <c r="J47" s="4"/>
    </row>
    <row r="48" spans="1:15">
      <c r="A48" s="4"/>
      <c r="I48" s="4"/>
      <c r="J48" s="4"/>
    </row>
    <row r="49" spans="1:10">
      <c r="A49" s="4"/>
      <c r="I49" s="4"/>
      <c r="J49" s="4"/>
    </row>
    <row r="50" spans="1:10">
      <c r="A50" s="4"/>
      <c r="I50" s="4"/>
      <c r="J50" s="4"/>
    </row>
    <row r="51" spans="1:10">
      <c r="A51" s="4"/>
      <c r="I51" s="4"/>
      <c r="J51" s="4"/>
    </row>
    <row r="52" spans="1:10">
      <c r="A52" s="4"/>
      <c r="I52" s="4"/>
      <c r="J52" s="4"/>
    </row>
    <row r="53" spans="1:10">
      <c r="A53" s="4"/>
      <c r="I53" s="4"/>
      <c r="J53" s="4"/>
    </row>
    <row r="54" spans="1:10">
      <c r="A54" s="4"/>
      <c r="I54" s="4"/>
      <c r="J54" s="4"/>
    </row>
    <row r="55" spans="1:10">
      <c r="A55" s="4"/>
      <c r="I55" s="4"/>
      <c r="J55" s="4"/>
    </row>
    <row r="56" spans="1:10">
      <c r="A56" s="4"/>
      <c r="I56" s="4"/>
      <c r="J56" s="4"/>
    </row>
    <row r="57" spans="1:10">
      <c r="A57" s="4"/>
      <c r="I57" s="4"/>
      <c r="J57" s="4"/>
    </row>
    <row r="58" spans="1:10">
      <c r="A58" s="4"/>
      <c r="I58" s="4"/>
      <c r="J58" s="4"/>
    </row>
    <row r="59" spans="1:10">
      <c r="A59" s="4"/>
      <c r="I59" s="4"/>
      <c r="J59" s="4"/>
    </row>
    <row r="60" spans="1:10">
      <c r="A60" s="4"/>
      <c r="I60" s="4"/>
      <c r="J60" s="4"/>
    </row>
    <row r="61" spans="1:10">
      <c r="A61" s="4"/>
      <c r="I61" s="4"/>
      <c r="J61" s="4"/>
    </row>
    <row r="62" spans="1:10">
      <c r="A62" s="4"/>
      <c r="I62" s="4"/>
      <c r="J62" s="4"/>
    </row>
    <row r="63" spans="1:10">
      <c r="A63" s="4"/>
      <c r="I63" s="4"/>
      <c r="J63" s="4"/>
    </row>
    <row r="64" spans="1:10">
      <c r="A64" s="4"/>
      <c r="I64" s="4"/>
      <c r="J64" s="4"/>
    </row>
    <row r="65" spans="1:10">
      <c r="A65" s="4"/>
      <c r="I65" s="4"/>
      <c r="J65" s="4"/>
    </row>
    <row r="66" spans="1:10">
      <c r="A66" s="4"/>
      <c r="I66" s="4"/>
      <c r="J66" s="4"/>
    </row>
    <row r="67" spans="1:10">
      <c r="A67" s="4"/>
      <c r="I67" s="4"/>
      <c r="J67" s="4"/>
    </row>
    <row r="68" spans="1:10">
      <c r="A68" s="4"/>
      <c r="I68" s="4"/>
      <c r="J68" s="4"/>
    </row>
    <row r="69" spans="1:10">
      <c r="A69" s="4"/>
      <c r="I69" s="4"/>
      <c r="J69" s="4"/>
    </row>
    <row r="70" spans="1:10">
      <c r="A70" s="4"/>
      <c r="I70" s="4"/>
      <c r="J70" s="4"/>
    </row>
    <row r="71" spans="1:10">
      <c r="A71" s="4"/>
      <c r="I71" s="4"/>
      <c r="J71" s="4"/>
    </row>
    <row r="72" spans="1:10" ht="15">
      <c r="A72" s="4"/>
      <c r="G72" s="252"/>
      <c r="I72" s="4"/>
      <c r="J72" s="4"/>
    </row>
    <row r="73" spans="1:10">
      <c r="A73" s="4"/>
    </row>
    <row r="74" spans="1:10">
      <c r="A74" s="4"/>
    </row>
  </sheetData>
  <mergeCells count="1">
    <mergeCell ref="G39:L40"/>
  </mergeCells>
  <conditionalFormatting sqref="I11">
    <cfRule type="expression" dxfId="42" priority="7">
      <formula>$I$10</formula>
    </cfRule>
  </conditionalFormatting>
  <conditionalFormatting sqref="J11">
    <cfRule type="expression" dxfId="41" priority="6">
      <formula>$I$10</formula>
    </cfRule>
  </conditionalFormatting>
  <conditionalFormatting sqref="I32">
    <cfRule type="expression" dxfId="40" priority="5">
      <formula>$I$10</formula>
    </cfRule>
  </conditionalFormatting>
  <conditionalFormatting sqref="J32">
    <cfRule type="expression" dxfId="39" priority="4">
      <formula>$I$10</formula>
    </cfRule>
  </conditionalFormatting>
  <conditionalFormatting sqref="I20">
    <cfRule type="expression" dxfId="38" priority="3">
      <formula>$I$10</formula>
    </cfRule>
  </conditionalFormatting>
  <conditionalFormatting sqref="C13">
    <cfRule type="expression" dxfId="37" priority="1">
      <formula>"&lt;&gt;$D$13"</formula>
    </cfRule>
    <cfRule type="expression" dxfId="36" priority="2">
      <formula>$D$13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5" tint="0.39997558519241921"/>
    <pageSetUpPr autoPageBreaks="0"/>
  </sheetPr>
  <dimension ref="A1:DN157"/>
  <sheetViews>
    <sheetView zoomScale="80" zoomScaleNormal="80" zoomScaleSheetLayoutView="85" workbookViewId="0">
      <pane ySplit="42" topLeftCell="A43" activePane="bottomLeft" state="frozen"/>
      <selection pane="bottomLeft" sqref="A1:XFD1048576"/>
    </sheetView>
  </sheetViews>
  <sheetFormatPr defaultRowHeight="12.75"/>
  <cols>
    <col min="1" max="1" width="11.5703125" style="87" customWidth="1"/>
    <col min="2" max="2" width="35.85546875" style="108" customWidth="1"/>
    <col min="3" max="3" width="25" style="108" customWidth="1"/>
    <col min="4" max="5" width="37.140625" style="108" customWidth="1"/>
    <col min="6" max="6" width="18.42578125" style="108" customWidth="1"/>
    <col min="7" max="7" width="12.28515625" style="108" customWidth="1"/>
    <col min="8" max="8" width="5.85546875" style="108" customWidth="1"/>
    <col min="9" max="9" width="19.7109375" style="108" customWidth="1"/>
    <col min="10" max="10" width="12.42578125" style="108" customWidth="1"/>
    <col min="11" max="11" width="12.5703125" style="108" customWidth="1"/>
    <col min="12" max="13" width="10" style="108" bestFit="1" customWidth="1"/>
    <col min="14" max="14" width="9.7109375" style="108" customWidth="1"/>
    <col min="15" max="15" width="10.85546875" style="108" customWidth="1"/>
    <col min="16" max="16" width="11" style="108" customWidth="1"/>
    <col min="17" max="18" width="10.7109375" style="108" bestFit="1" customWidth="1"/>
    <col min="19" max="19" width="11.28515625" style="108" customWidth="1"/>
    <col min="20" max="22" width="10.5703125" style="108" customWidth="1"/>
    <col min="23" max="23" width="11.140625" style="108" customWidth="1"/>
    <col min="24" max="26" width="10.5703125" style="108" customWidth="1"/>
    <col min="27" max="27" width="1.85546875" style="108" customWidth="1"/>
    <col min="28" max="28" width="14.42578125" style="108" customWidth="1"/>
    <col min="29" max="32" width="12" style="108" customWidth="1"/>
    <col min="33" max="36" width="10.5703125" style="108" customWidth="1"/>
    <col min="37" max="37" width="11.85546875" style="108" customWidth="1"/>
    <col min="38" max="40" width="10.5703125" style="108" customWidth="1"/>
    <col min="41" max="41" width="11.28515625" style="108" bestFit="1" customWidth="1"/>
    <col min="42" max="44" width="10.5703125" style="108" customWidth="1"/>
    <col min="45" max="45" width="11.28515625" style="108" bestFit="1" customWidth="1"/>
    <col min="46" max="48" width="10.5703125" style="108" customWidth="1"/>
    <col min="49" max="49" width="1.85546875" style="108" customWidth="1"/>
    <col min="50" max="50" width="15.7109375" style="108" bestFit="1" customWidth="1"/>
    <col min="51" max="51" width="19.140625" style="108" bestFit="1" customWidth="1"/>
    <col min="52" max="52" width="17.85546875" style="108" bestFit="1" customWidth="1"/>
    <col min="53" max="53" width="15.7109375" style="108" customWidth="1"/>
    <col min="54" max="54" width="17.85546875" style="108" bestFit="1" customWidth="1"/>
    <col min="55" max="55" width="19.140625" style="108" bestFit="1" customWidth="1"/>
    <col min="56" max="57" width="17.85546875" style="108" bestFit="1" customWidth="1"/>
    <col min="58" max="58" width="10" style="108" bestFit="1" customWidth="1"/>
    <col min="59" max="60" width="15.7109375" style="108" bestFit="1" customWidth="1"/>
    <col min="61" max="61" width="16.28515625" style="108" customWidth="1"/>
    <col min="62" max="62" width="10.7109375" style="108" bestFit="1" customWidth="1"/>
    <col min="63" max="65" width="15.7109375" style="108" bestFit="1" customWidth="1"/>
    <col min="66" max="66" width="9.140625" style="108"/>
    <col min="67" max="67" width="14.5703125" style="108" customWidth="1"/>
    <col min="68" max="69" width="14.85546875" style="108" bestFit="1" customWidth="1"/>
    <col min="70" max="70" width="10.7109375" style="108" customWidth="1"/>
    <col min="71" max="71" width="1.85546875" style="108" customWidth="1"/>
    <col min="72" max="72" width="14.42578125" style="108" bestFit="1" customWidth="1"/>
    <col min="73" max="74" width="15.7109375" style="108" bestFit="1" customWidth="1"/>
    <col min="75" max="79" width="14.42578125" style="108" bestFit="1" customWidth="1"/>
    <col min="80" max="80" width="9.85546875" style="108" bestFit="1" customWidth="1"/>
    <col min="81" max="82" width="14.42578125" style="108" bestFit="1" customWidth="1"/>
    <col min="83" max="84" width="10.5703125" style="108" bestFit="1" customWidth="1"/>
    <col min="85" max="86" width="14.42578125" style="108" bestFit="1" customWidth="1"/>
    <col min="87" max="87" width="13.140625" style="108" bestFit="1" customWidth="1"/>
    <col min="88" max="88" width="9.140625" style="108"/>
    <col min="89" max="89" width="13.5703125" style="108" customWidth="1"/>
    <col min="90" max="90" width="13.85546875" style="108" customWidth="1"/>
    <col min="91" max="91" width="12.7109375" style="108" customWidth="1"/>
    <col min="92" max="92" width="10.5703125" style="108" customWidth="1"/>
    <col min="93" max="93" width="15.7109375" style="108" bestFit="1" customWidth="1"/>
    <col min="94" max="94" width="1.85546875" style="108" customWidth="1"/>
    <col min="95" max="95" width="14.42578125" style="108" customWidth="1"/>
    <col min="96" max="96" width="15.7109375" style="108" bestFit="1" customWidth="1"/>
    <col min="97" max="102" width="14.42578125" style="108" bestFit="1" customWidth="1"/>
    <col min="103" max="103" width="10" style="108" bestFit="1" customWidth="1"/>
    <col min="104" max="105" width="14.42578125" style="108" bestFit="1" customWidth="1"/>
    <col min="106" max="107" width="10.5703125" style="108" bestFit="1" customWidth="1"/>
    <col min="108" max="110" width="14.42578125" style="108" bestFit="1" customWidth="1"/>
    <col min="111" max="111" width="9.140625" style="108"/>
    <col min="112" max="114" width="13.5703125" style="108" customWidth="1"/>
    <col min="115" max="115" width="10.5703125" style="108" customWidth="1"/>
    <col min="116" max="116" width="15.7109375" style="108" bestFit="1" customWidth="1"/>
    <col min="117" max="16384" width="9.140625" style="108"/>
  </cols>
  <sheetData>
    <row r="1" spans="2:4" ht="15">
      <c r="B1" s="107" t="str">
        <f>"Tariff Approval - "&amp;Input!E3</f>
        <v>Tariff Approval - United Energy</v>
      </c>
      <c r="C1" s="276" t="s">
        <v>140</v>
      </c>
    </row>
    <row r="2" spans="2:4" ht="27.75">
      <c r="D2" s="583" t="str">
        <f>IF(Input!E7=Input!G8,"SIDE CONSTRAINTS NOT APPLICABLE IN YEAR 1","")</f>
        <v>SIDE CONSTRAINTS NOT APPLICABLE IN YEAR 1</v>
      </c>
    </row>
    <row r="3" spans="2:4">
      <c r="B3" s="65" t="str">
        <f>Input!E7&amp;" DISTRIBUTION TARIFF REBALANCING CONTROL"</f>
        <v>2021/22 DISTRIBUTION TARIFF REBALANCING CONTROL</v>
      </c>
    </row>
    <row r="4" spans="2:4" ht="6" customHeight="1" thickBot="1">
      <c r="B4" s="65"/>
    </row>
    <row r="5" spans="2:4" ht="6" customHeight="1">
      <c r="B5" s="109"/>
      <c r="C5" s="110"/>
      <c r="D5" s="111"/>
    </row>
    <row r="6" spans="2:4">
      <c r="B6" s="112" t="s">
        <v>42</v>
      </c>
      <c r="C6" s="86"/>
      <c r="D6" s="113"/>
    </row>
    <row r="7" spans="2:4" ht="6" customHeight="1">
      <c r="B7" s="114"/>
      <c r="C7" s="86"/>
      <c r="D7" s="113"/>
    </row>
    <row r="8" spans="2:4">
      <c r="B8" s="114" t="str">
        <f>"CPI "&amp;Input!$E$5</f>
        <v>CPI 2022</v>
      </c>
      <c r="C8" s="115" t="str">
        <f>Dist.!C24</f>
        <v>n/a</v>
      </c>
      <c r="D8" s="113"/>
    </row>
    <row r="9" spans="2:4">
      <c r="B9" s="114" t="str">
        <f>"X "&amp; Input!$E$5</f>
        <v>X 2022</v>
      </c>
      <c r="C9" s="66">
        <f>MIN(Dist.!C25,0)</f>
        <v>0</v>
      </c>
      <c r="D9" s="113"/>
    </row>
    <row r="10" spans="2:4">
      <c r="B10" s="114" t="str">
        <f>"It "&amp;Input!$E$5</f>
        <v>It 2022</v>
      </c>
      <c r="C10" s="66" t="e">
        <f>(Dist.!C17-Dist.!E17)/SUM(C21:C37)</f>
        <v>#VALUE!</v>
      </c>
      <c r="D10" s="113"/>
    </row>
    <row r="11" spans="2:4">
      <c r="B11" s="114" t="str">
        <f>"Tt "&amp;Input!$E$5</f>
        <v>Tt 2022</v>
      </c>
      <c r="C11" s="66" t="e">
        <f>(Dist.!C18-Dist.!E18)/SUM(C21:C37)</f>
        <v>#VALUE!</v>
      </c>
      <c r="D11" s="113"/>
    </row>
    <row r="12" spans="2:4">
      <c r="B12" s="114" t="str">
        <f>"Bt "&amp;Input!$E$5</f>
        <v>Bt 2022</v>
      </c>
      <c r="C12" s="67" t="e">
        <f>(Dist.!C19-Dist.!E19)/SUM(C21:C37)</f>
        <v>#VALUE!</v>
      </c>
      <c r="D12" s="113"/>
    </row>
    <row r="13" spans="2:4" ht="6" customHeight="1">
      <c r="B13" s="114"/>
      <c r="C13" s="86"/>
      <c r="D13" s="113"/>
    </row>
    <row r="14" spans="2:4" ht="6" customHeight="1">
      <c r="B14" s="114"/>
      <c r="C14" s="86"/>
      <c r="D14" s="113"/>
    </row>
    <row r="15" spans="2:4">
      <c r="B15" s="116"/>
      <c r="C15" s="117" t="e">
        <f>(1+C8)*(1-C9)*(1+0.02)+SUM(C10:C12)</f>
        <v>#VALUE!</v>
      </c>
      <c r="D15" s="113"/>
    </row>
    <row r="16" spans="2:4" ht="6" customHeight="1" thickBot="1">
      <c r="B16" s="118"/>
      <c r="C16" s="119"/>
      <c r="D16" s="120"/>
    </row>
    <row r="17" spans="1:6" ht="6" customHeight="1" thickBot="1">
      <c r="B17" s="121"/>
      <c r="C17" s="121"/>
      <c r="D17" s="121"/>
    </row>
    <row r="18" spans="1:6" s="182" customFormat="1">
      <c r="A18" s="158"/>
      <c r="B18" s="179"/>
      <c r="C18" s="180"/>
      <c r="D18" s="180"/>
      <c r="E18" s="180"/>
      <c r="F18" s="181"/>
    </row>
    <row r="19" spans="1:6" s="182" customFormat="1">
      <c r="A19" s="158"/>
      <c r="B19" s="183" t="s">
        <v>43</v>
      </c>
      <c r="C19" s="184" t="str">
        <f>"Pt-1*(Qt " &amp;Input!$E$7&amp;")"</f>
        <v>Pt-1*(Qt 2021/22)</v>
      </c>
      <c r="D19" s="184" t="str">
        <f>"Pt*(Qt " &amp;Input!$E$7&amp;")"</f>
        <v>Pt*(Qt 2021/22)</v>
      </c>
      <c r="E19" s="185"/>
      <c r="F19" s="186"/>
    </row>
    <row r="20" spans="1:6" s="182" customFormat="1">
      <c r="A20" s="158"/>
      <c r="B20" s="390" t="s">
        <v>44</v>
      </c>
      <c r="C20" s="187" t="s">
        <v>45</v>
      </c>
      <c r="D20" s="187" t="s">
        <v>46</v>
      </c>
      <c r="E20" s="187" t="s">
        <v>47</v>
      </c>
      <c r="F20" s="188"/>
    </row>
    <row r="21" spans="1:6" s="182" customFormat="1" ht="12.75" customHeight="1">
      <c r="A21" s="158"/>
      <c r="B21" s="379" t="s">
        <v>351</v>
      </c>
      <c r="C21" s="189">
        <f t="shared" ref="C21:C30" si="0">IF(B21="","",SUMIF($B$43:$B$117,$B21,$I$43:$I$117))</f>
        <v>165304771.838669</v>
      </c>
      <c r="D21" s="189">
        <f t="shared" ref="D21:D30" si="1">IF(B21="","",SUMIF($B$43:$B$117,$B21,$F$43:$F$117))</f>
        <v>214137817.74909282</v>
      </c>
      <c r="E21" s="190">
        <f t="shared" ref="E21:E37" si="2">IF(B21="","",D21/C21)</f>
        <v>1.2954121975261728</v>
      </c>
      <c r="F21" s="188" t="e">
        <f t="shared" ref="F21:F37" si="3">IF(B21="","",IF(E21&lt;$C$15,"COMPLIANT","BREACHED"))</f>
        <v>#VALUE!</v>
      </c>
    </row>
    <row r="22" spans="1:6" s="182" customFormat="1" ht="12.75" customHeight="1">
      <c r="A22" s="158"/>
      <c r="B22" s="380" t="s">
        <v>352</v>
      </c>
      <c r="C22" s="191">
        <f t="shared" si="0"/>
        <v>46180173.740920044</v>
      </c>
      <c r="D22" s="191">
        <f t="shared" si="1"/>
        <v>91990661.75247702</v>
      </c>
      <c r="E22" s="192">
        <f t="shared" si="2"/>
        <v>1.9919947089970453</v>
      </c>
      <c r="F22" s="188" t="e">
        <f t="shared" si="3"/>
        <v>#VALUE!</v>
      </c>
    </row>
    <row r="23" spans="1:6" s="182" customFormat="1">
      <c r="A23" s="158"/>
      <c r="B23" s="380" t="s">
        <v>353</v>
      </c>
      <c r="C23" s="191">
        <f t="shared" si="0"/>
        <v>179283.0099</v>
      </c>
      <c r="D23" s="191">
        <f t="shared" si="1"/>
        <v>88895555.890930086</v>
      </c>
      <c r="E23" s="192">
        <f t="shared" si="2"/>
        <v>495.83926519592688</v>
      </c>
      <c r="F23" s="188" t="e">
        <f t="shared" si="3"/>
        <v>#VALUE!</v>
      </c>
    </row>
    <row r="24" spans="1:6" s="182" customFormat="1">
      <c r="A24" s="158"/>
      <c r="B24" s="380" t="s">
        <v>354</v>
      </c>
      <c r="C24" s="191">
        <f t="shared" si="0"/>
        <v>55518137.689714245</v>
      </c>
      <c r="D24" s="191">
        <f t="shared" si="1"/>
        <v>15259497.889243057</v>
      </c>
      <c r="E24" s="192">
        <f t="shared" si="2"/>
        <v>0.27485608351142798</v>
      </c>
      <c r="F24" s="188" t="e">
        <f t="shared" si="3"/>
        <v>#VALUE!</v>
      </c>
    </row>
    <row r="25" spans="1:6" s="182" customFormat="1">
      <c r="A25" s="158"/>
      <c r="B25" s="380" t="s">
        <v>344</v>
      </c>
      <c r="C25" s="191">
        <f t="shared" si="0"/>
        <v>1136863.418814</v>
      </c>
      <c r="D25" s="191">
        <f t="shared" si="1"/>
        <v>87145.781955000013</v>
      </c>
      <c r="E25" s="192">
        <f t="shared" si="2"/>
        <v>7.6654574782529586E-2</v>
      </c>
      <c r="F25" s="188" t="e">
        <f t="shared" si="3"/>
        <v>#VALUE!</v>
      </c>
    </row>
    <row r="26" spans="1:6" s="182" customFormat="1">
      <c r="A26" s="158"/>
      <c r="B26" s="380"/>
      <c r="C26" s="191" t="str">
        <f t="shared" si="0"/>
        <v/>
      </c>
      <c r="D26" s="191" t="str">
        <f t="shared" si="1"/>
        <v/>
      </c>
      <c r="E26" s="192" t="str">
        <f t="shared" ref="E26:E31" si="4">IF(B26="","",D26/C26)</f>
        <v/>
      </c>
      <c r="F26" s="188" t="str">
        <f t="shared" ref="F26:F31" si="5">IF(B26="","",IF(E26&lt;$C$15,"COMPLIANT","BREACHED"))</f>
        <v/>
      </c>
    </row>
    <row r="27" spans="1:6" s="182" customFormat="1">
      <c r="A27" s="158"/>
      <c r="B27" s="380"/>
      <c r="C27" s="191" t="str">
        <f t="shared" si="0"/>
        <v/>
      </c>
      <c r="D27" s="191" t="str">
        <f t="shared" si="1"/>
        <v/>
      </c>
      <c r="E27" s="192" t="str">
        <f t="shared" si="4"/>
        <v/>
      </c>
      <c r="F27" s="188" t="str">
        <f t="shared" si="5"/>
        <v/>
      </c>
    </row>
    <row r="28" spans="1:6" s="182" customFormat="1">
      <c r="A28" s="158"/>
      <c r="B28" s="380"/>
      <c r="C28" s="191" t="str">
        <f t="shared" si="0"/>
        <v/>
      </c>
      <c r="D28" s="191" t="str">
        <f t="shared" si="1"/>
        <v/>
      </c>
      <c r="E28" s="192" t="str">
        <f t="shared" si="4"/>
        <v/>
      </c>
      <c r="F28" s="188" t="str">
        <f t="shared" si="5"/>
        <v/>
      </c>
    </row>
    <row r="29" spans="1:6" s="182" customFormat="1">
      <c r="A29" s="158"/>
      <c r="B29" s="380"/>
      <c r="C29" s="191" t="str">
        <f t="shared" si="0"/>
        <v/>
      </c>
      <c r="D29" s="191" t="str">
        <f t="shared" si="1"/>
        <v/>
      </c>
      <c r="E29" s="192" t="str">
        <f t="shared" si="4"/>
        <v/>
      </c>
      <c r="F29" s="188" t="str">
        <f t="shared" si="5"/>
        <v/>
      </c>
    </row>
    <row r="30" spans="1:6" s="182" customFormat="1">
      <c r="A30" s="158"/>
      <c r="B30" s="380"/>
      <c r="C30" s="191" t="str">
        <f t="shared" si="0"/>
        <v/>
      </c>
      <c r="D30" s="191" t="str">
        <f t="shared" si="1"/>
        <v/>
      </c>
      <c r="E30" s="192" t="str">
        <f t="shared" si="4"/>
        <v/>
      </c>
      <c r="F30" s="188" t="str">
        <f t="shared" si="5"/>
        <v/>
      </c>
    </row>
    <row r="31" spans="1:6" s="182" customFormat="1">
      <c r="A31" s="158"/>
      <c r="B31" s="380"/>
      <c r="C31" s="191" t="str">
        <f t="shared" ref="C31:C37" si="6">IF(B31="","",SUMIF($B$43:$B$117,$B31,$I$43:$I$117))</f>
        <v/>
      </c>
      <c r="D31" s="191" t="str">
        <f t="shared" ref="D31:D37" si="7">IF(B31="","",SUMIF($B$43:$B$117,$B31,$F$43:$F$117))</f>
        <v/>
      </c>
      <c r="E31" s="192" t="str">
        <f t="shared" si="4"/>
        <v/>
      </c>
      <c r="F31" s="188" t="str">
        <f t="shared" si="5"/>
        <v/>
      </c>
    </row>
    <row r="32" spans="1:6" s="182" customFormat="1">
      <c r="A32" s="158"/>
      <c r="B32" s="380"/>
      <c r="C32" s="191" t="str">
        <f t="shared" si="6"/>
        <v/>
      </c>
      <c r="D32" s="191" t="str">
        <f t="shared" si="7"/>
        <v/>
      </c>
      <c r="E32" s="192" t="str">
        <f t="shared" si="2"/>
        <v/>
      </c>
      <c r="F32" s="188" t="str">
        <f t="shared" si="3"/>
        <v/>
      </c>
    </row>
    <row r="33" spans="1:15" s="182" customFormat="1">
      <c r="A33" s="158"/>
      <c r="B33" s="380"/>
      <c r="C33" s="191" t="str">
        <f t="shared" si="6"/>
        <v/>
      </c>
      <c r="D33" s="191" t="str">
        <f t="shared" si="7"/>
        <v/>
      </c>
      <c r="E33" s="192" t="str">
        <f t="shared" si="2"/>
        <v/>
      </c>
      <c r="F33" s="188" t="str">
        <f t="shared" si="3"/>
        <v/>
      </c>
    </row>
    <row r="34" spans="1:15" s="182" customFormat="1">
      <c r="A34" s="158"/>
      <c r="B34" s="380"/>
      <c r="C34" s="191" t="str">
        <f t="shared" si="6"/>
        <v/>
      </c>
      <c r="D34" s="191" t="str">
        <f t="shared" si="7"/>
        <v/>
      </c>
      <c r="E34" s="192" t="str">
        <f t="shared" si="2"/>
        <v/>
      </c>
      <c r="F34" s="188" t="str">
        <f t="shared" si="3"/>
        <v/>
      </c>
    </row>
    <row r="35" spans="1:15" s="182" customFormat="1">
      <c r="A35" s="158"/>
      <c r="B35" s="452"/>
      <c r="C35" s="191" t="str">
        <f t="shared" si="6"/>
        <v/>
      </c>
      <c r="D35" s="191" t="str">
        <f t="shared" si="7"/>
        <v/>
      </c>
      <c r="E35" s="192" t="str">
        <f t="shared" si="2"/>
        <v/>
      </c>
      <c r="F35" s="188" t="str">
        <f t="shared" si="3"/>
        <v/>
      </c>
    </row>
    <row r="36" spans="1:15" s="182" customFormat="1">
      <c r="A36" s="158"/>
      <c r="B36" s="452"/>
      <c r="C36" s="191" t="str">
        <f t="shared" si="6"/>
        <v/>
      </c>
      <c r="D36" s="191" t="str">
        <f t="shared" si="7"/>
        <v/>
      </c>
      <c r="E36" s="192" t="str">
        <f t="shared" si="2"/>
        <v/>
      </c>
      <c r="F36" s="188" t="str">
        <f t="shared" si="3"/>
        <v/>
      </c>
    </row>
    <row r="37" spans="1:15" s="182" customFormat="1" ht="13.5" thickBot="1">
      <c r="A37" s="158"/>
      <c r="B37" s="453"/>
      <c r="C37" s="193" t="str">
        <f t="shared" si="6"/>
        <v/>
      </c>
      <c r="D37" s="193" t="str">
        <f t="shared" si="7"/>
        <v/>
      </c>
      <c r="E37" s="194" t="str">
        <f t="shared" si="2"/>
        <v/>
      </c>
      <c r="F37" s="195" t="str">
        <f t="shared" si="3"/>
        <v/>
      </c>
    </row>
    <row r="38" spans="1:15" s="182" customFormat="1">
      <c r="A38" s="158"/>
      <c r="B38" s="196" t="s">
        <v>48</v>
      </c>
      <c r="C38" s="197" t="str">
        <f>IF(ABS(SUM(C21:C37)-I118)&lt;0.01,"Ok","Error")</f>
        <v>Ok</v>
      </c>
      <c r="D38" s="198" t="str">
        <f>IF(ABS(SUM(D21:D37)-F118)&lt;0.01,"Ok","Error")</f>
        <v>Ok</v>
      </c>
      <c r="E38" s="199"/>
    </row>
    <row r="39" spans="1:15" s="182" customFormat="1">
      <c r="A39" s="158"/>
      <c r="B39" s="200"/>
      <c r="C39" s="201" t="str">
        <f>IF(ABS(SUM(C21:C37)-'Prop DUOS'!CH67-IF('Trial tariffs'!P26="",0,'Trial tariffs'!P26))&lt;0.01,"Ok","Error")</f>
        <v>Ok</v>
      </c>
      <c r="D39" s="201" t="str">
        <f>IF(ABS(SUM(D21:D37)-'Prop DUOS'!BP67-IF('Trial tariffs'!T26="",0,'Trial tariffs'!T26))&lt;0.01,"Ok","Error")</f>
        <v>Ok</v>
      </c>
      <c r="E39" s="199"/>
    </row>
    <row r="40" spans="1:15" s="182" customFormat="1">
      <c r="A40" s="158"/>
      <c r="B40" s="202"/>
      <c r="C40" s="202"/>
      <c r="D40" s="202"/>
      <c r="E40" s="202"/>
    </row>
    <row r="41" spans="1:15" s="182" customFormat="1" ht="13.5" thickBot="1">
      <c r="A41" s="158"/>
      <c r="F41" s="388" t="str">
        <f>"Revenue (Pt "&amp;Input!$E$5&amp;")*(Qt " &amp;Input!$E$5&amp;")"</f>
        <v>Revenue (Pt 2022)*(Qt 2022)</v>
      </c>
      <c r="G41" s="389"/>
      <c r="H41" s="234"/>
      <c r="I41" s="388" t="str">
        <f>"Revenue (Pt-1 "&amp;Input!$E$8&amp;")*(Qt " &amp;Input!$E$5&amp;")"</f>
        <v>Revenue (Pt-1 HY21)*(Qt 2022)</v>
      </c>
      <c r="J41" s="389"/>
      <c r="O41" s="203"/>
    </row>
    <row r="42" spans="1:15" s="182" customFormat="1" ht="47.25" customHeight="1" thickBot="1">
      <c r="A42" s="204" t="s">
        <v>49</v>
      </c>
      <c r="B42" s="205" t="s">
        <v>50</v>
      </c>
      <c r="C42" s="205" t="s">
        <v>51</v>
      </c>
      <c r="D42" s="205" t="s">
        <v>31</v>
      </c>
      <c r="E42" s="206" t="s">
        <v>32</v>
      </c>
      <c r="F42" s="237" t="s">
        <v>33</v>
      </c>
      <c r="I42" s="237" t="s">
        <v>34</v>
      </c>
    </row>
    <row r="43" spans="1:15" s="182" customFormat="1">
      <c r="A43" s="207" t="b">
        <f t="array" ref="A43">OR(EXACT(D43,'Prop DUOS'!C$7:C$66))</f>
        <v>0</v>
      </c>
      <c r="B43" s="379" t="s">
        <v>351</v>
      </c>
      <c r="C43" s="379" t="s">
        <v>351</v>
      </c>
      <c r="D43" s="208" t="str">
        <f>IF('Prop DUOS'!B7="","",'Prop DUOS'!B7)</f>
        <v>Residential Single Rate</v>
      </c>
      <c r="E43" s="212" t="str">
        <f>IF('Prop DUOS'!C7="","",'Prop DUOS'!C7)</f>
        <v>Low voltage small 1 rate</v>
      </c>
      <c r="F43" s="235">
        <f>'Prop DUOS'!BP7</f>
        <v>193033809.31879801</v>
      </c>
      <c r="I43" s="235">
        <f>'Prop DUOS'!CH7</f>
        <v>163048674.31716898</v>
      </c>
    </row>
    <row r="44" spans="1:15" s="182" customFormat="1">
      <c r="A44" s="207" t="b">
        <f t="array" ref="A44">OR(EXACT(D44,'Prop DUOS'!C$7:C$66))</f>
        <v>1</v>
      </c>
      <c r="B44" s="379" t="s">
        <v>351</v>
      </c>
      <c r="C44" s="379" t="s">
        <v>351</v>
      </c>
      <c r="D44" s="208" t="str">
        <f>IF('Prop DUOS'!B8="","",'Prop DUOS'!B8)</f>
        <v>Residential ToU</v>
      </c>
      <c r="E44" s="212" t="str">
        <f>IF('Prop DUOS'!C8="","",'Prop DUOS'!C8)</f>
        <v>Residential ToU</v>
      </c>
      <c r="F44" s="235">
        <f>'Prop DUOS'!BP8</f>
        <v>19153560.621900164</v>
      </c>
      <c r="I44" s="235">
        <f>'Prop DUOS'!CH8</f>
        <v>2209088.1494999998</v>
      </c>
    </row>
    <row r="45" spans="1:15" s="182" customFormat="1">
      <c r="A45" s="207" t="b">
        <f t="array" ref="A45">OR(EXACT(D45,'Prop DUOS'!C$7:C$66))</f>
        <v>0</v>
      </c>
      <c r="B45" s="379" t="s">
        <v>351</v>
      </c>
      <c r="C45" s="379" t="s">
        <v>351</v>
      </c>
      <c r="D45" s="208" t="str">
        <f>IF('Prop DUOS'!B9="","",'Prop DUOS'!B9)</f>
        <v>Residential Demand</v>
      </c>
      <c r="E45" s="212" t="str">
        <f>IF('Prop DUOS'!C9="","",'Prop DUOS'!C9)</f>
        <v>Low Voltage KW 1 rate</v>
      </c>
      <c r="F45" s="235">
        <f>'Prop DUOS'!BP9</f>
        <v>281251.01006452367</v>
      </c>
      <c r="I45" s="235">
        <f>'Prop DUOS'!CH9</f>
        <v>47009.372000000003</v>
      </c>
    </row>
    <row r="46" spans="1:15" s="182" customFormat="1">
      <c r="A46" s="207" t="b">
        <f t="array" ref="A46">OR(EXACT(D46,'Prop DUOS'!C$7:C$66))</f>
        <v>1</v>
      </c>
      <c r="B46" s="379" t="s">
        <v>351</v>
      </c>
      <c r="C46" s="379" t="s">
        <v>351</v>
      </c>
      <c r="D46" s="208" t="str">
        <f>IF('Prop DUOS'!B10="","",'Prop DUOS'!B10)</f>
        <v>Dedicated circuit</v>
      </c>
      <c r="E46" s="212" t="str">
        <f>IF('Prop DUOS'!C10="","",'Prop DUOS'!C10)</f>
        <v>Dedicated circuit</v>
      </c>
      <c r="F46" s="235">
        <f>'Prop DUOS'!BP10</f>
        <v>1669196.7983301212</v>
      </c>
      <c r="I46" s="235">
        <f>'Prop DUOS'!CH10</f>
        <v>0</v>
      </c>
    </row>
    <row r="47" spans="1:15" s="182" customFormat="1">
      <c r="A47" s="207" t="b">
        <f t="array" ref="A47">OR(EXACT(D47,'Prop DUOS'!C$7:C$66))</f>
        <v>0</v>
      </c>
      <c r="B47" s="380" t="s">
        <v>352</v>
      </c>
      <c r="C47" s="380" t="s">
        <v>352</v>
      </c>
      <c r="D47" s="208" t="str">
        <f>IF('Prop DUOS'!B11="","",'Prop DUOS'!B11)</f>
        <v>Small Business Single Rate</v>
      </c>
      <c r="E47" s="212" t="str">
        <f>IF('Prop DUOS'!C11="","",'Prop DUOS'!C11)</f>
        <v>Low voltage medium 1 rate</v>
      </c>
      <c r="F47" s="235">
        <f>'Prop DUOS'!BP11</f>
        <v>31400807.195206251</v>
      </c>
      <c r="I47" s="235">
        <f>'Prop DUOS'!CH11</f>
        <v>29683654.086272933</v>
      </c>
    </row>
    <row r="48" spans="1:15" s="182" customFormat="1">
      <c r="A48" s="207" t="b">
        <f t="array" ref="A48">OR(EXACT(D48,'Prop DUOS'!C$7:C$66))</f>
        <v>1</v>
      </c>
      <c r="B48" s="380" t="s">
        <v>352</v>
      </c>
      <c r="C48" s="380" t="s">
        <v>352</v>
      </c>
      <c r="D48" s="208" t="str">
        <f>IF('Prop DUOS'!B12="","",'Prop DUOS'!B12)</f>
        <v>Small Business ToU</v>
      </c>
      <c r="E48" s="212" t="str">
        <f>IF('Prop DUOS'!C12="","",'Prop DUOS'!C12)</f>
        <v>Small Business ToU</v>
      </c>
      <c r="F48" s="235">
        <f>'Prop DUOS'!BP12</f>
        <v>18165501.105602309</v>
      </c>
      <c r="I48" s="235">
        <f>'Prop DUOS'!CH12</f>
        <v>11911405.413986845</v>
      </c>
    </row>
    <row r="49" spans="1:9" s="182" customFormat="1">
      <c r="A49" s="207" t="b">
        <v>0</v>
      </c>
      <c r="B49" s="380" t="s">
        <v>352</v>
      </c>
      <c r="C49" s="380" t="s">
        <v>352</v>
      </c>
      <c r="D49" s="208" t="s">
        <v>346</v>
      </c>
      <c r="E49" s="212" t="s">
        <v>349</v>
      </c>
      <c r="F49" s="235">
        <f>'Prop DUOS'!BP13</f>
        <v>36931521.530053228</v>
      </c>
      <c r="I49" s="235">
        <f>'Prop DUOS'!CH13</f>
        <v>808201.12450000003</v>
      </c>
    </row>
    <row r="50" spans="1:9" s="182" customFormat="1">
      <c r="A50" s="207" t="b">
        <v>1</v>
      </c>
      <c r="B50" s="380" t="s">
        <v>352</v>
      </c>
      <c r="C50" s="380" t="s">
        <v>352</v>
      </c>
      <c r="D50" s="208" t="s">
        <v>326</v>
      </c>
      <c r="E50" s="212" t="s">
        <v>326</v>
      </c>
      <c r="F50" s="235">
        <f>'Prop DUOS'!BP14</f>
        <v>5492831.9216152336</v>
      </c>
      <c r="I50" s="235">
        <f>'Prop DUOS'!CH14</f>
        <v>3776913.1161602628</v>
      </c>
    </row>
    <row r="51" spans="1:9" s="182" customFormat="1">
      <c r="A51" s="207" t="b">
        <v>0</v>
      </c>
      <c r="B51" s="380" t="s">
        <v>353</v>
      </c>
      <c r="C51" s="380" t="s">
        <v>353</v>
      </c>
      <c r="D51" s="208" t="s">
        <v>345</v>
      </c>
      <c r="E51" s="212" t="s">
        <v>331</v>
      </c>
      <c r="F51" s="235">
        <f>'Prop DUOS'!BP15</f>
        <v>88895555.890930086</v>
      </c>
      <c r="I51" s="235">
        <f>'Prop DUOS'!CH15</f>
        <v>179283.0099</v>
      </c>
    </row>
    <row r="52" spans="1:9" s="182" customFormat="1">
      <c r="A52" s="207" t="b">
        <v>0</v>
      </c>
      <c r="B52" s="379" t="s">
        <v>354</v>
      </c>
      <c r="C52" s="379" t="s">
        <v>354</v>
      </c>
      <c r="D52" s="208" t="s">
        <v>343</v>
      </c>
      <c r="E52" s="212" t="s">
        <v>332</v>
      </c>
      <c r="F52" s="235">
        <f>'Prop DUOS'!BP16</f>
        <v>15259497.889243057</v>
      </c>
      <c r="I52" s="235">
        <f>'Prop DUOS'!CH16</f>
        <v>55518137.689714245</v>
      </c>
    </row>
    <row r="53" spans="1:9" s="182" customFormat="1">
      <c r="A53" s="207" t="b">
        <v>0</v>
      </c>
      <c r="B53" s="380" t="s">
        <v>344</v>
      </c>
      <c r="C53" s="380" t="s">
        <v>344</v>
      </c>
      <c r="D53" s="208" t="s">
        <v>344</v>
      </c>
      <c r="E53" s="212" t="s">
        <v>333</v>
      </c>
      <c r="F53" s="235">
        <f>'Prop DUOS'!BP17</f>
        <v>87145.781955000013</v>
      </c>
      <c r="I53" s="235">
        <f>'Prop DUOS'!CH17</f>
        <v>1136863.418814</v>
      </c>
    </row>
    <row r="54" spans="1:9" s="182" customFormat="1">
      <c r="A54" s="207" t="b">
        <f t="array" ref="A54">OR(EXACT(D54,'Prop DUOS'!C$7:C$66))</f>
        <v>1</v>
      </c>
      <c r="B54" s="380"/>
      <c r="C54" s="380"/>
      <c r="D54" s="208" t="str">
        <f>IF('Prop DUOS'!B18="","",'Prop DUOS'!B18)</f>
        <v/>
      </c>
      <c r="E54" s="212" t="str">
        <f>IF('Prop DUOS'!C18="","",'Prop DUOS'!C18)</f>
        <v/>
      </c>
      <c r="F54" s="235">
        <f>'Prop DUOS'!BP18</f>
        <v>0</v>
      </c>
      <c r="I54" s="235">
        <f>'Prop DUOS'!CH18</f>
        <v>0</v>
      </c>
    </row>
    <row r="55" spans="1:9" s="182" customFormat="1">
      <c r="A55" s="207" t="b">
        <f t="array" ref="A55">OR(EXACT(D55,'Prop DUOS'!C$7:C$66))</f>
        <v>1</v>
      </c>
      <c r="B55" s="380"/>
      <c r="C55" s="380"/>
      <c r="D55" s="208" t="str">
        <f>IF('Prop DUOS'!B19="","",'Prop DUOS'!B19)</f>
        <v/>
      </c>
      <c r="E55" s="212" t="str">
        <f>IF('Prop DUOS'!C19="","",'Prop DUOS'!C19)</f>
        <v/>
      </c>
      <c r="F55" s="235">
        <f>'Prop DUOS'!BP19</f>
        <v>0</v>
      </c>
      <c r="I55" s="235">
        <f>'Prop DUOS'!CH19</f>
        <v>0</v>
      </c>
    </row>
    <row r="56" spans="1:9" s="182" customFormat="1">
      <c r="A56" s="207" t="b">
        <f t="array" ref="A56">OR(EXACT(D56,'Prop DUOS'!C$7:C$66))</f>
        <v>1</v>
      </c>
      <c r="B56" s="380"/>
      <c r="C56" s="380"/>
      <c r="D56" s="208" t="str">
        <f>IF('Prop DUOS'!B20="","",'Prop DUOS'!B20)</f>
        <v/>
      </c>
      <c r="E56" s="212" t="str">
        <f>IF('Prop DUOS'!C20="","",'Prop DUOS'!C20)</f>
        <v/>
      </c>
      <c r="F56" s="235">
        <f>'Prop DUOS'!BP20</f>
        <v>0</v>
      </c>
      <c r="I56" s="235">
        <f>'Prop DUOS'!CH20</f>
        <v>0</v>
      </c>
    </row>
    <row r="57" spans="1:9" s="182" customFormat="1">
      <c r="A57" s="207" t="b">
        <f t="array" ref="A57">OR(EXACT(D57,'Prop DUOS'!C$7:C$66))</f>
        <v>1</v>
      </c>
      <c r="B57" s="380"/>
      <c r="C57" s="380"/>
      <c r="D57" s="208" t="str">
        <f>IF('Prop DUOS'!B21="","",'Prop DUOS'!B21)</f>
        <v/>
      </c>
      <c r="E57" s="212" t="str">
        <f>IF('Prop DUOS'!C21="","",'Prop DUOS'!C21)</f>
        <v/>
      </c>
      <c r="F57" s="235">
        <f>'Prop DUOS'!BP21</f>
        <v>0</v>
      </c>
      <c r="I57" s="235">
        <f>'Prop DUOS'!CH21</f>
        <v>0</v>
      </c>
    </row>
    <row r="58" spans="1:9" s="182" customFormat="1">
      <c r="A58" s="207" t="b">
        <f t="array" ref="A58">OR(EXACT(D58,'Prop DUOS'!C$7:C$66))</f>
        <v>1</v>
      </c>
      <c r="B58" s="379"/>
      <c r="C58" s="379"/>
      <c r="D58" s="208" t="str">
        <f>IF('Prop DUOS'!B22="","",'Prop DUOS'!B22)</f>
        <v/>
      </c>
      <c r="E58" s="212" t="str">
        <f>IF('Prop DUOS'!C22="","",'Prop DUOS'!C22)</f>
        <v/>
      </c>
      <c r="F58" s="235">
        <f>'Prop DUOS'!BP22</f>
        <v>0</v>
      </c>
      <c r="I58" s="235">
        <f>'Prop DUOS'!CH22</f>
        <v>0</v>
      </c>
    </row>
    <row r="59" spans="1:9" s="182" customFormat="1">
      <c r="A59" s="207" t="b">
        <f t="array" ref="A59">OR(EXACT(D59,'Prop DUOS'!C$7:C$66))</f>
        <v>1</v>
      </c>
      <c r="B59" s="379"/>
      <c r="C59" s="379"/>
      <c r="D59" s="208" t="str">
        <f>IF('Prop DUOS'!B23="","",'Prop DUOS'!B23)</f>
        <v/>
      </c>
      <c r="E59" s="212" t="str">
        <f>IF('Prop DUOS'!C23="","",'Prop DUOS'!C23)</f>
        <v/>
      </c>
      <c r="F59" s="235">
        <f>'Prop DUOS'!BP23</f>
        <v>0</v>
      </c>
      <c r="I59" s="235">
        <f>'Prop DUOS'!CH23</f>
        <v>0</v>
      </c>
    </row>
    <row r="60" spans="1:9" s="182" customFormat="1">
      <c r="A60" s="207" t="b">
        <f t="array" ref="A60">OR(EXACT(D60,'Prop DUOS'!C$7:C$66))</f>
        <v>1</v>
      </c>
      <c r="B60" s="379"/>
      <c r="C60" s="379"/>
      <c r="D60" s="208" t="str">
        <f>IF('Prop DUOS'!B24="","",'Prop DUOS'!B24)</f>
        <v/>
      </c>
      <c r="E60" s="212" t="str">
        <f>IF('Prop DUOS'!C24="","",'Prop DUOS'!C24)</f>
        <v/>
      </c>
      <c r="F60" s="235">
        <f>'Prop DUOS'!BP24</f>
        <v>0</v>
      </c>
      <c r="I60" s="235">
        <f>'Prop DUOS'!CH24</f>
        <v>0</v>
      </c>
    </row>
    <row r="61" spans="1:9" s="182" customFormat="1">
      <c r="A61" s="207" t="b">
        <f t="array" ref="A61">OR(EXACT(D61,'Prop DUOS'!C$7:C$66))</f>
        <v>1</v>
      </c>
      <c r="B61" s="380"/>
      <c r="C61" s="380"/>
      <c r="D61" s="208" t="str">
        <f>IF('Prop DUOS'!B25="","",'Prop DUOS'!B25)</f>
        <v/>
      </c>
      <c r="E61" s="212" t="str">
        <f>IF('Prop DUOS'!C25="","",'Prop DUOS'!C25)</f>
        <v/>
      </c>
      <c r="F61" s="235">
        <f>'Prop DUOS'!BP25</f>
        <v>0</v>
      </c>
      <c r="I61" s="235">
        <f>'Prop DUOS'!CH25</f>
        <v>0</v>
      </c>
    </row>
    <row r="62" spans="1:9" s="182" customFormat="1">
      <c r="A62" s="207" t="b">
        <f t="array" ref="A62">OR(EXACT(D62,'Prop DUOS'!C$7:C$66))</f>
        <v>1</v>
      </c>
      <c r="B62" s="379"/>
      <c r="C62" s="379"/>
      <c r="D62" s="208" t="str">
        <f>IF('Prop DUOS'!B26="","",'Prop DUOS'!B26)</f>
        <v/>
      </c>
      <c r="E62" s="212" t="str">
        <f>IF('Prop DUOS'!C26="","",'Prop DUOS'!C26)</f>
        <v/>
      </c>
      <c r="F62" s="235">
        <f>'Prop DUOS'!BP26</f>
        <v>0</v>
      </c>
      <c r="I62" s="235">
        <f>'Prop DUOS'!CH26</f>
        <v>0</v>
      </c>
    </row>
    <row r="63" spans="1:9" s="182" customFormat="1">
      <c r="A63" s="207" t="b">
        <f t="array" ref="A63">OR(EXACT(D63,'Prop DUOS'!C$7:C$66))</f>
        <v>1</v>
      </c>
      <c r="B63" s="379"/>
      <c r="C63" s="379"/>
      <c r="D63" s="208" t="str">
        <f>IF('Prop DUOS'!B27="","",'Prop DUOS'!B27)</f>
        <v/>
      </c>
      <c r="E63" s="212" t="str">
        <f>IF('Prop DUOS'!C27="","",'Prop DUOS'!C27)</f>
        <v/>
      </c>
      <c r="F63" s="235">
        <f>'Prop DUOS'!BP27</f>
        <v>0</v>
      </c>
      <c r="I63" s="235">
        <f>'Prop DUOS'!CH27</f>
        <v>0</v>
      </c>
    </row>
    <row r="64" spans="1:9" s="182" customFormat="1">
      <c r="A64" s="207" t="b">
        <f t="array" ref="A64">OR(EXACT(D64,'Prop DUOS'!C$7:C$66))</f>
        <v>1</v>
      </c>
      <c r="B64" s="379"/>
      <c r="C64" s="379"/>
      <c r="D64" s="208" t="str">
        <f>IF('Prop DUOS'!B28="","",'Prop DUOS'!B28)</f>
        <v/>
      </c>
      <c r="E64" s="212" t="str">
        <f>IF('Prop DUOS'!C28="","",'Prop DUOS'!C28)</f>
        <v/>
      </c>
      <c r="F64" s="235">
        <f>'Prop DUOS'!BP28</f>
        <v>0</v>
      </c>
      <c r="I64" s="235">
        <f>'Prop DUOS'!CH28</f>
        <v>0</v>
      </c>
    </row>
    <row r="65" spans="1:9" s="182" customFormat="1">
      <c r="A65" s="207" t="b">
        <f t="array" ref="A65">OR(EXACT(D65,'Prop DUOS'!C$7:C$66))</f>
        <v>1</v>
      </c>
      <c r="B65" s="379"/>
      <c r="C65" s="379"/>
      <c r="D65" s="208" t="str">
        <f>IF('Prop DUOS'!B29="","",'Prop DUOS'!B29)</f>
        <v/>
      </c>
      <c r="E65" s="212" t="str">
        <f>IF('Prop DUOS'!C29="","",'Prop DUOS'!C29)</f>
        <v/>
      </c>
      <c r="F65" s="235">
        <f>'Prop DUOS'!BP29</f>
        <v>0</v>
      </c>
      <c r="I65" s="235">
        <f>'Prop DUOS'!CH29</f>
        <v>0</v>
      </c>
    </row>
    <row r="66" spans="1:9" s="182" customFormat="1">
      <c r="A66" s="207" t="b">
        <f t="array" ref="A66">OR(EXACT(D66,'Prop DUOS'!C$7:C$66))</f>
        <v>1</v>
      </c>
      <c r="B66" s="379"/>
      <c r="C66" s="379"/>
      <c r="D66" s="208" t="str">
        <f>IF('Prop DUOS'!B30="","",'Prop DUOS'!B30)</f>
        <v/>
      </c>
      <c r="E66" s="212" t="str">
        <f>IF('Prop DUOS'!C30="","",'Prop DUOS'!C30)</f>
        <v/>
      </c>
      <c r="F66" s="235">
        <f>'Prop DUOS'!BP30</f>
        <v>0</v>
      </c>
      <c r="I66" s="235">
        <f>'Prop DUOS'!CH30</f>
        <v>0</v>
      </c>
    </row>
    <row r="67" spans="1:9" s="182" customFormat="1">
      <c r="A67" s="207" t="b">
        <f t="array" ref="A67">OR(EXACT(D67,'Prop DUOS'!C$7:C$66))</f>
        <v>1</v>
      </c>
      <c r="B67" s="379"/>
      <c r="C67" s="379"/>
      <c r="D67" s="208" t="str">
        <f>IF('Prop DUOS'!B31="","",'Prop DUOS'!B31)</f>
        <v/>
      </c>
      <c r="E67" s="212" t="str">
        <f>IF('Prop DUOS'!C31="","",'Prop DUOS'!C31)</f>
        <v/>
      </c>
      <c r="F67" s="235">
        <f>'Prop DUOS'!BP31</f>
        <v>0</v>
      </c>
      <c r="I67" s="235">
        <f>'Prop DUOS'!CH31</f>
        <v>0</v>
      </c>
    </row>
    <row r="68" spans="1:9" s="182" customFormat="1">
      <c r="A68" s="207" t="b">
        <f t="array" ref="A68">OR(EXACT(D68,'Prop DUOS'!C$7:C$66))</f>
        <v>1</v>
      </c>
      <c r="B68" s="380"/>
      <c r="C68" s="380"/>
      <c r="D68" s="208" t="str">
        <f>IF('Prop DUOS'!B32="","",'Prop DUOS'!B32)</f>
        <v/>
      </c>
      <c r="E68" s="212" t="str">
        <f>IF('Prop DUOS'!C32="","",'Prop DUOS'!C32)</f>
        <v/>
      </c>
      <c r="F68" s="235">
        <f>'Prop DUOS'!BP32</f>
        <v>0</v>
      </c>
      <c r="I68" s="235">
        <f>'Prop DUOS'!CH32</f>
        <v>0</v>
      </c>
    </row>
    <row r="69" spans="1:9" s="182" customFormat="1">
      <c r="A69" s="207" t="b">
        <f t="array" ref="A69">OR(EXACT(D69,'Prop DUOS'!C$7:C$66))</f>
        <v>1</v>
      </c>
      <c r="B69" s="380"/>
      <c r="C69" s="380"/>
      <c r="D69" s="208" t="str">
        <f>IF('Prop DUOS'!B33="","",'Prop DUOS'!B33)</f>
        <v/>
      </c>
      <c r="E69" s="212" t="str">
        <f>IF('Prop DUOS'!C33="","",'Prop DUOS'!C33)</f>
        <v/>
      </c>
      <c r="F69" s="235">
        <f>'Prop DUOS'!BP33</f>
        <v>0</v>
      </c>
      <c r="I69" s="235">
        <f>'Prop DUOS'!CH33</f>
        <v>0</v>
      </c>
    </row>
    <row r="70" spans="1:9" s="182" customFormat="1">
      <c r="A70" s="207" t="b">
        <f t="array" ref="A70">OR(EXACT(D70,'Prop DUOS'!C$7:C$66))</f>
        <v>1</v>
      </c>
      <c r="B70" s="380"/>
      <c r="C70" s="380"/>
      <c r="D70" s="208" t="str">
        <f>IF('Prop DUOS'!B34="","",'Prop DUOS'!B34)</f>
        <v/>
      </c>
      <c r="E70" s="212" t="str">
        <f>IF('Prop DUOS'!C34="","",'Prop DUOS'!C34)</f>
        <v/>
      </c>
      <c r="F70" s="235">
        <f>'Prop DUOS'!BP34</f>
        <v>0</v>
      </c>
      <c r="I70" s="235">
        <f>'Prop DUOS'!CH34</f>
        <v>0</v>
      </c>
    </row>
    <row r="71" spans="1:9" s="182" customFormat="1">
      <c r="A71" s="207" t="b">
        <f t="array" ref="A71">OR(EXACT(D71,'Prop DUOS'!C$7:C$66))</f>
        <v>1</v>
      </c>
      <c r="B71" s="380"/>
      <c r="C71" s="380"/>
      <c r="D71" s="208" t="str">
        <f>IF('Prop DUOS'!B35="","",'Prop DUOS'!B35)</f>
        <v/>
      </c>
      <c r="E71" s="212" t="str">
        <f>IF('Prop DUOS'!C35="","",'Prop DUOS'!C35)</f>
        <v/>
      </c>
      <c r="F71" s="235">
        <f>'Prop DUOS'!BP35</f>
        <v>0</v>
      </c>
      <c r="I71" s="235">
        <f>'Prop DUOS'!CH35</f>
        <v>0</v>
      </c>
    </row>
    <row r="72" spans="1:9" s="182" customFormat="1">
      <c r="A72" s="207" t="b">
        <f t="array" ref="A72">OR(EXACT(D72,'Prop DUOS'!C$7:C$66))</f>
        <v>1</v>
      </c>
      <c r="B72" s="380"/>
      <c r="C72" s="380"/>
      <c r="D72" s="208" t="str">
        <f>IF('Prop DUOS'!B36="","",'Prop DUOS'!B36)</f>
        <v/>
      </c>
      <c r="E72" s="212" t="str">
        <f>IF('Prop DUOS'!C36="","",'Prop DUOS'!C36)</f>
        <v/>
      </c>
      <c r="F72" s="235">
        <f>'Prop DUOS'!BP36</f>
        <v>0</v>
      </c>
      <c r="I72" s="235">
        <f>'Prop DUOS'!CH36</f>
        <v>0</v>
      </c>
    </row>
    <row r="73" spans="1:9" s="182" customFormat="1">
      <c r="A73" s="207" t="b">
        <f t="array" ref="A73">OR(EXACT(D73,'Prop DUOS'!C$7:C$66))</f>
        <v>1</v>
      </c>
      <c r="B73" s="380"/>
      <c r="C73" s="380"/>
      <c r="D73" s="208" t="str">
        <f>IF('Prop DUOS'!B37="","",'Prop DUOS'!B37)</f>
        <v/>
      </c>
      <c r="E73" s="212" t="str">
        <f>IF('Prop DUOS'!C37="","",'Prop DUOS'!C37)</f>
        <v/>
      </c>
      <c r="F73" s="235">
        <f>'Prop DUOS'!BP37</f>
        <v>0</v>
      </c>
      <c r="I73" s="235">
        <f>'Prop DUOS'!CH37</f>
        <v>0</v>
      </c>
    </row>
    <row r="74" spans="1:9" s="182" customFormat="1">
      <c r="A74" s="207" t="b">
        <f t="array" ref="A74">OR(EXACT(D74,'Prop DUOS'!C$7:C$66))</f>
        <v>1</v>
      </c>
      <c r="B74" s="380"/>
      <c r="C74" s="380"/>
      <c r="D74" s="208" t="str">
        <f>IF('Prop DUOS'!B38="","",'Prop DUOS'!B38)</f>
        <v/>
      </c>
      <c r="E74" s="212" t="str">
        <f>IF('Prop DUOS'!C38="","",'Prop DUOS'!C38)</f>
        <v/>
      </c>
      <c r="F74" s="235">
        <f>'Prop DUOS'!BP38</f>
        <v>0</v>
      </c>
      <c r="I74" s="235">
        <f>'Prop DUOS'!CH38</f>
        <v>0</v>
      </c>
    </row>
    <row r="75" spans="1:9" s="182" customFormat="1">
      <c r="A75" s="207" t="b">
        <f t="array" ref="A75">OR(EXACT(D75,'Prop DUOS'!C$7:C$66))</f>
        <v>1</v>
      </c>
      <c r="B75" s="380"/>
      <c r="C75" s="380"/>
      <c r="D75" s="208" t="str">
        <f>IF('Prop DUOS'!B39="","",'Prop DUOS'!B39)</f>
        <v/>
      </c>
      <c r="E75" s="212" t="str">
        <f>IF('Prop DUOS'!C39="","",'Prop DUOS'!C39)</f>
        <v/>
      </c>
      <c r="F75" s="235">
        <f>'Prop DUOS'!BP39</f>
        <v>0</v>
      </c>
      <c r="I75" s="235">
        <f>'Prop DUOS'!CH39</f>
        <v>0</v>
      </c>
    </row>
    <row r="76" spans="1:9" s="182" customFormat="1">
      <c r="A76" s="207" t="b">
        <f t="array" ref="A76">OR(EXACT(D76,'Prop DUOS'!C$7:C$66))</f>
        <v>1</v>
      </c>
      <c r="B76" s="380"/>
      <c r="C76" s="380"/>
      <c r="D76" s="208" t="str">
        <f>IF('Prop DUOS'!B40="","",'Prop DUOS'!B40)</f>
        <v/>
      </c>
      <c r="E76" s="212" t="str">
        <f>IF('Prop DUOS'!C40="","",'Prop DUOS'!C40)</f>
        <v/>
      </c>
      <c r="F76" s="235">
        <f>'Prop DUOS'!BP40</f>
        <v>0</v>
      </c>
      <c r="I76" s="235">
        <f>'Prop DUOS'!CH40</f>
        <v>0</v>
      </c>
    </row>
    <row r="77" spans="1:9" s="182" customFormat="1">
      <c r="A77" s="207" t="b">
        <f t="array" ref="A77">OR(EXACT(D77,'Prop DUOS'!C$7:C$66))</f>
        <v>1</v>
      </c>
      <c r="B77" s="380"/>
      <c r="C77" s="380"/>
      <c r="D77" s="208" t="str">
        <f>IF('Prop DUOS'!B41="","",'Prop DUOS'!B41)</f>
        <v/>
      </c>
      <c r="E77" s="212" t="str">
        <f>IF('Prop DUOS'!C41="","",'Prop DUOS'!C41)</f>
        <v/>
      </c>
      <c r="F77" s="235">
        <f>'Prop DUOS'!BP41</f>
        <v>0</v>
      </c>
      <c r="I77" s="235">
        <f>'Prop DUOS'!CH41</f>
        <v>0</v>
      </c>
    </row>
    <row r="78" spans="1:9" s="182" customFormat="1">
      <c r="A78" s="207" t="b">
        <f t="array" ref="A78">OR(EXACT(D78,'Prop DUOS'!C$7:C$66))</f>
        <v>1</v>
      </c>
      <c r="B78" s="380"/>
      <c r="C78" s="380"/>
      <c r="D78" s="208" t="str">
        <f>IF('Prop DUOS'!B42="","",'Prop DUOS'!B42)</f>
        <v/>
      </c>
      <c r="E78" s="212" t="str">
        <f>IF('Prop DUOS'!C42="","",'Prop DUOS'!C42)</f>
        <v/>
      </c>
      <c r="F78" s="235">
        <f>'Prop DUOS'!BP42</f>
        <v>0</v>
      </c>
      <c r="I78" s="235">
        <f>'Prop DUOS'!CH42</f>
        <v>0</v>
      </c>
    </row>
    <row r="79" spans="1:9" s="182" customFormat="1">
      <c r="A79" s="207" t="b">
        <f t="array" ref="A79">OR(EXACT(D79,'Prop DUOS'!C$7:C$66))</f>
        <v>1</v>
      </c>
      <c r="B79" s="380"/>
      <c r="C79" s="380"/>
      <c r="D79" s="208" t="str">
        <f>IF('Prop DUOS'!B43="","",'Prop DUOS'!B43)</f>
        <v/>
      </c>
      <c r="E79" s="212" t="str">
        <f>IF('Prop DUOS'!C43="","",'Prop DUOS'!C43)</f>
        <v/>
      </c>
      <c r="F79" s="235">
        <f>'Prop DUOS'!BP43</f>
        <v>0</v>
      </c>
      <c r="I79" s="235">
        <f>'Prop DUOS'!CH43</f>
        <v>0</v>
      </c>
    </row>
    <row r="80" spans="1:9" s="182" customFormat="1">
      <c r="A80" s="207" t="b">
        <f t="array" ref="A80">OR(EXACT(D80,'Prop DUOS'!C$7:C$66))</f>
        <v>1</v>
      </c>
      <c r="B80" s="380"/>
      <c r="C80" s="380"/>
      <c r="D80" s="209" t="str">
        <f>IF('Prop DUOS'!B44="","",'Prop DUOS'!B44)</f>
        <v/>
      </c>
      <c r="E80" s="212" t="str">
        <f>IF('Prop DUOS'!C44="","",'Prop DUOS'!C44)</f>
        <v/>
      </c>
      <c r="F80" s="235">
        <f>'Prop DUOS'!BP44</f>
        <v>0</v>
      </c>
      <c r="I80" s="235">
        <f>'Prop DUOS'!CH44</f>
        <v>0</v>
      </c>
    </row>
    <row r="81" spans="1:9" s="182" customFormat="1">
      <c r="A81" s="207" t="b">
        <f t="array" ref="A81">OR(EXACT(D81,'Prop DUOS'!C$7:C$66))</f>
        <v>1</v>
      </c>
      <c r="B81" s="380"/>
      <c r="C81" s="380"/>
      <c r="D81" s="209" t="str">
        <f>IF('Prop DUOS'!B45="","",'Prop DUOS'!B45)</f>
        <v/>
      </c>
      <c r="E81" s="212" t="str">
        <f>IF('Prop DUOS'!C45="","",'Prop DUOS'!C45)</f>
        <v/>
      </c>
      <c r="F81" s="235">
        <f>'Prop DUOS'!BP45</f>
        <v>0</v>
      </c>
      <c r="I81" s="235">
        <f>'Prop DUOS'!CH45</f>
        <v>0</v>
      </c>
    </row>
    <row r="82" spans="1:9" s="182" customFormat="1">
      <c r="A82" s="207" t="b">
        <f t="array" ref="A82">OR(EXACT(D82,'Prop DUOS'!C$7:C$66))</f>
        <v>1</v>
      </c>
      <c r="B82" s="380"/>
      <c r="C82" s="380"/>
      <c r="D82" s="209" t="str">
        <f>IF('Prop DUOS'!B46="","",'Prop DUOS'!B46)</f>
        <v/>
      </c>
      <c r="E82" s="212" t="str">
        <f>IF('Prop DUOS'!C46="","",'Prop DUOS'!C46)</f>
        <v/>
      </c>
      <c r="F82" s="235">
        <f>'Prop DUOS'!BP46</f>
        <v>0</v>
      </c>
      <c r="I82" s="235">
        <f>'Prop DUOS'!CH46</f>
        <v>0</v>
      </c>
    </row>
    <row r="83" spans="1:9" s="182" customFormat="1">
      <c r="A83" s="207" t="b">
        <f t="array" ref="A83">OR(EXACT(D83,'Prop DUOS'!C$7:C$66))</f>
        <v>1</v>
      </c>
      <c r="B83" s="380"/>
      <c r="C83" s="380"/>
      <c r="D83" s="209" t="str">
        <f>IF('Prop DUOS'!B47="","",'Prop DUOS'!B47)</f>
        <v/>
      </c>
      <c r="E83" s="212" t="str">
        <f>IF('Prop DUOS'!C47="","",'Prop DUOS'!C47)</f>
        <v/>
      </c>
      <c r="F83" s="235">
        <f>'Prop DUOS'!BP47</f>
        <v>0</v>
      </c>
      <c r="I83" s="235">
        <f>'Prop DUOS'!CH47</f>
        <v>0</v>
      </c>
    </row>
    <row r="84" spans="1:9" s="182" customFormat="1">
      <c r="A84" s="207" t="b">
        <f t="array" ref="A84">OR(EXACT(D84,'Prop DUOS'!C$7:C$66))</f>
        <v>1</v>
      </c>
      <c r="B84" s="380"/>
      <c r="C84" s="380"/>
      <c r="D84" s="209" t="str">
        <f>IF('Prop DUOS'!B48="","",'Prop DUOS'!B48)</f>
        <v/>
      </c>
      <c r="E84" s="212" t="str">
        <f>IF('Prop DUOS'!C48="","",'Prop DUOS'!C48)</f>
        <v/>
      </c>
      <c r="F84" s="235">
        <f>'Prop DUOS'!BP48</f>
        <v>0</v>
      </c>
      <c r="I84" s="235">
        <f>'Prop DUOS'!CH48</f>
        <v>0</v>
      </c>
    </row>
    <row r="85" spans="1:9" s="182" customFormat="1">
      <c r="A85" s="207" t="b">
        <f t="array" ref="A85">OR(EXACT(D85,'Prop DUOS'!C$7:C$66))</f>
        <v>1</v>
      </c>
      <c r="B85" s="380"/>
      <c r="C85" s="380"/>
      <c r="D85" s="209" t="str">
        <f>IF('Prop DUOS'!B49="","",'Prop DUOS'!B49)</f>
        <v/>
      </c>
      <c r="E85" s="212" t="str">
        <f>IF('Prop DUOS'!C49="","",'Prop DUOS'!C49)</f>
        <v/>
      </c>
      <c r="F85" s="235">
        <f>'Prop DUOS'!BP49</f>
        <v>0</v>
      </c>
      <c r="I85" s="235">
        <f>'Prop DUOS'!CH49</f>
        <v>0</v>
      </c>
    </row>
    <row r="86" spans="1:9" s="182" customFormat="1">
      <c r="A86" s="207" t="b">
        <f t="array" ref="A86">OR(EXACT(D86,'Prop DUOS'!C$7:C$66))</f>
        <v>1</v>
      </c>
      <c r="B86" s="380"/>
      <c r="C86" s="380"/>
      <c r="D86" s="209" t="str">
        <f>IF('Prop DUOS'!B50="","",'Prop DUOS'!B50)</f>
        <v/>
      </c>
      <c r="E86" s="212" t="str">
        <f>IF('Prop DUOS'!C50="","",'Prop DUOS'!C50)</f>
        <v/>
      </c>
      <c r="F86" s="235">
        <f>'Prop DUOS'!BP50</f>
        <v>0</v>
      </c>
      <c r="I86" s="235">
        <f>'Prop DUOS'!CH50</f>
        <v>0</v>
      </c>
    </row>
    <row r="87" spans="1:9" s="182" customFormat="1">
      <c r="A87" s="207" t="b">
        <f t="array" ref="A87">OR(EXACT(D87,'Prop DUOS'!C$7:C$66))</f>
        <v>1</v>
      </c>
      <c r="B87" s="380"/>
      <c r="C87" s="380"/>
      <c r="D87" s="209" t="str">
        <f>IF('Prop DUOS'!B51="","",'Prop DUOS'!B51)</f>
        <v/>
      </c>
      <c r="E87" s="212" t="str">
        <f>IF('Prop DUOS'!C51="","",'Prop DUOS'!C51)</f>
        <v/>
      </c>
      <c r="F87" s="235">
        <f>'Prop DUOS'!BP51</f>
        <v>0</v>
      </c>
      <c r="I87" s="235">
        <f>'Prop DUOS'!CH51</f>
        <v>0</v>
      </c>
    </row>
    <row r="88" spans="1:9" s="182" customFormat="1">
      <c r="A88" s="207" t="b">
        <f t="array" ref="A88">OR(EXACT(D88,'Prop DUOS'!C$7:C$66))</f>
        <v>1</v>
      </c>
      <c r="B88" s="380"/>
      <c r="C88" s="380"/>
      <c r="D88" s="209" t="str">
        <f>IF('Prop DUOS'!B52="","",'Prop DUOS'!B52)</f>
        <v/>
      </c>
      <c r="E88" s="212" t="str">
        <f>IF('Prop DUOS'!C52="","",'Prop DUOS'!C52)</f>
        <v/>
      </c>
      <c r="F88" s="235">
        <f>'Prop DUOS'!BP52</f>
        <v>0</v>
      </c>
      <c r="I88" s="235">
        <f>'Prop DUOS'!CH52</f>
        <v>0</v>
      </c>
    </row>
    <row r="89" spans="1:9" s="182" customFormat="1">
      <c r="A89" s="207" t="b">
        <f t="array" ref="A89">OR(EXACT(D89,'Prop DUOS'!C$7:C$66))</f>
        <v>1</v>
      </c>
      <c r="B89" s="380"/>
      <c r="C89" s="380"/>
      <c r="D89" s="209" t="str">
        <f>IF('Prop DUOS'!B53="","",'Prop DUOS'!B53)</f>
        <v/>
      </c>
      <c r="E89" s="212" t="str">
        <f>IF('Prop DUOS'!C53="","",'Prop DUOS'!C53)</f>
        <v/>
      </c>
      <c r="F89" s="235">
        <f>'Prop DUOS'!BP53</f>
        <v>0</v>
      </c>
      <c r="I89" s="235">
        <f>'Prop DUOS'!CH53</f>
        <v>0</v>
      </c>
    </row>
    <row r="90" spans="1:9" s="182" customFormat="1">
      <c r="A90" s="207" t="b">
        <f t="array" ref="A90">OR(EXACT(D90,'Prop DUOS'!C$7:C$66))</f>
        <v>1</v>
      </c>
      <c r="B90" s="380"/>
      <c r="C90" s="380"/>
      <c r="D90" s="209" t="str">
        <f>IF('Prop DUOS'!B54="","",'Prop DUOS'!B54)</f>
        <v/>
      </c>
      <c r="E90" s="212" t="str">
        <f>IF('Prop DUOS'!C54="","",'Prop DUOS'!C54)</f>
        <v/>
      </c>
      <c r="F90" s="235">
        <f>'Prop DUOS'!BP54</f>
        <v>0</v>
      </c>
      <c r="I90" s="235">
        <f>'Prop DUOS'!CH54</f>
        <v>0</v>
      </c>
    </row>
    <row r="91" spans="1:9" s="182" customFormat="1">
      <c r="A91" s="207" t="b">
        <f t="array" ref="A91">OR(EXACT(D91,'Prop DUOS'!C$7:C$66))</f>
        <v>1</v>
      </c>
      <c r="B91" s="380"/>
      <c r="C91" s="380"/>
      <c r="D91" s="209" t="str">
        <f>IF('Prop DUOS'!B55="","",'Prop DUOS'!B55)</f>
        <v/>
      </c>
      <c r="E91" s="212" t="str">
        <f>IF('Prop DUOS'!C55="","",'Prop DUOS'!C55)</f>
        <v/>
      </c>
      <c r="F91" s="235">
        <f>'Prop DUOS'!BP55</f>
        <v>0</v>
      </c>
      <c r="I91" s="235">
        <f>'Prop DUOS'!CH55</f>
        <v>0</v>
      </c>
    </row>
    <row r="92" spans="1:9" s="182" customFormat="1">
      <c r="A92" s="207" t="b">
        <f t="array" ref="A92">OR(EXACT(D92,'Prop DUOS'!C$7:C$66))</f>
        <v>1</v>
      </c>
      <c r="B92" s="381"/>
      <c r="C92" s="381"/>
      <c r="D92" s="209" t="str">
        <f>IF('Prop DUOS'!B56="","",'Prop DUOS'!B56)</f>
        <v/>
      </c>
      <c r="E92" s="212" t="str">
        <f>IF('Prop DUOS'!C56="","",'Prop DUOS'!C56)</f>
        <v/>
      </c>
      <c r="F92" s="235">
        <f>'Prop DUOS'!BP56</f>
        <v>0</v>
      </c>
      <c r="I92" s="235">
        <f>'Prop DUOS'!CH56</f>
        <v>0</v>
      </c>
    </row>
    <row r="93" spans="1:9" s="182" customFormat="1">
      <c r="A93" s="207" t="b">
        <f t="array" ref="A93">OR(EXACT(D93,'Prop DUOS'!C$7:C$66))</f>
        <v>1</v>
      </c>
      <c r="B93" s="381"/>
      <c r="C93" s="381"/>
      <c r="D93" s="209" t="str">
        <f>IF('Prop DUOS'!B57="","",'Prop DUOS'!B57)</f>
        <v/>
      </c>
      <c r="E93" s="212" t="str">
        <f>IF('Prop DUOS'!C57="","",'Prop DUOS'!C57)</f>
        <v/>
      </c>
      <c r="F93" s="235">
        <f>'Prop DUOS'!BP57</f>
        <v>0</v>
      </c>
      <c r="I93" s="235">
        <f>'Prop DUOS'!CH57</f>
        <v>0</v>
      </c>
    </row>
    <row r="94" spans="1:9" s="182" customFormat="1">
      <c r="A94" s="207" t="b">
        <f t="array" ref="A94">OR(EXACT(D94,'Prop DUOS'!C$7:C$66))</f>
        <v>1</v>
      </c>
      <c r="B94" s="381"/>
      <c r="C94" s="381"/>
      <c r="D94" s="209" t="str">
        <f>IF('Prop DUOS'!B58="","",'Prop DUOS'!B58)</f>
        <v/>
      </c>
      <c r="E94" s="212" t="str">
        <f>IF('Prop DUOS'!C58="","",'Prop DUOS'!C58)</f>
        <v/>
      </c>
      <c r="F94" s="235">
        <f>'Prop DUOS'!BP58</f>
        <v>0</v>
      </c>
      <c r="I94" s="235">
        <f>'Prop DUOS'!CH58</f>
        <v>0</v>
      </c>
    </row>
    <row r="95" spans="1:9" s="182" customFormat="1">
      <c r="A95" s="207" t="b">
        <f t="array" ref="A95">OR(EXACT(D95,'Prop DUOS'!C$7:C$66))</f>
        <v>1</v>
      </c>
      <c r="B95" s="381"/>
      <c r="C95" s="381"/>
      <c r="D95" s="209" t="str">
        <f>IF('Prop DUOS'!B59="","",'Prop DUOS'!B59)</f>
        <v/>
      </c>
      <c r="E95" s="212" t="str">
        <f>IF('Prop DUOS'!C59="","",'Prop DUOS'!C59)</f>
        <v/>
      </c>
      <c r="F95" s="235">
        <f>'Prop DUOS'!BP59</f>
        <v>0</v>
      </c>
      <c r="I95" s="235">
        <f>'Prop DUOS'!CH59</f>
        <v>0</v>
      </c>
    </row>
    <row r="96" spans="1:9" s="182" customFormat="1">
      <c r="A96" s="207" t="b">
        <f t="array" ref="A96">OR(EXACT(D96,'Prop DUOS'!C$7:C$66))</f>
        <v>1</v>
      </c>
      <c r="B96" s="381"/>
      <c r="C96" s="381"/>
      <c r="D96" s="209" t="str">
        <f>IF('Prop DUOS'!B60="","",'Prop DUOS'!B60)</f>
        <v/>
      </c>
      <c r="E96" s="212" t="str">
        <f>IF('Prop DUOS'!C60="","",'Prop DUOS'!C60)</f>
        <v/>
      </c>
      <c r="F96" s="235">
        <f>'Prop DUOS'!BP60</f>
        <v>0</v>
      </c>
      <c r="I96" s="235">
        <f>'Prop DUOS'!CH60</f>
        <v>0</v>
      </c>
    </row>
    <row r="97" spans="1:9" s="182" customFormat="1">
      <c r="A97" s="207" t="b">
        <f t="array" ref="A97">OR(EXACT(D97,'Prop DUOS'!C$7:C$66))</f>
        <v>1</v>
      </c>
      <c r="B97" s="381"/>
      <c r="C97" s="381"/>
      <c r="D97" s="209" t="str">
        <f>IF('Prop DUOS'!B61="","",'Prop DUOS'!B61)</f>
        <v/>
      </c>
      <c r="E97" s="212" t="str">
        <f>IF('Prop DUOS'!C61="","",'Prop DUOS'!C61)</f>
        <v/>
      </c>
      <c r="F97" s="235">
        <f>'Prop DUOS'!BP61</f>
        <v>0</v>
      </c>
      <c r="I97" s="235">
        <f>'Prop DUOS'!CH61</f>
        <v>0</v>
      </c>
    </row>
    <row r="98" spans="1:9" s="182" customFormat="1">
      <c r="A98" s="207" t="b">
        <f t="array" ref="A98">OR(EXACT(D98,'Prop DUOS'!C$7:C$66))</f>
        <v>1</v>
      </c>
      <c r="B98" s="381"/>
      <c r="C98" s="381"/>
      <c r="D98" s="209" t="str">
        <f>IF('Prop DUOS'!B62="","",'Prop DUOS'!B62)</f>
        <v/>
      </c>
      <c r="E98" s="212" t="str">
        <f>IF('Prop DUOS'!C62="","",'Prop DUOS'!C62)</f>
        <v/>
      </c>
      <c r="F98" s="235">
        <f>'Prop DUOS'!BP62</f>
        <v>0</v>
      </c>
      <c r="I98" s="235">
        <f>'Prop DUOS'!CH62</f>
        <v>0</v>
      </c>
    </row>
    <row r="99" spans="1:9" s="182" customFormat="1">
      <c r="A99" s="207" t="b">
        <f t="array" ref="A99">OR(EXACT(D99,'Prop DUOS'!C$7:C$66))</f>
        <v>1</v>
      </c>
      <c r="B99" s="381"/>
      <c r="C99" s="381"/>
      <c r="D99" s="209" t="str">
        <f>IF('Prop DUOS'!B63="","",'Prop DUOS'!B63)</f>
        <v/>
      </c>
      <c r="E99" s="212" t="str">
        <f>IF('Prop DUOS'!C63="","",'Prop DUOS'!C63)</f>
        <v/>
      </c>
      <c r="F99" s="235">
        <f>'Prop DUOS'!BP63</f>
        <v>0</v>
      </c>
      <c r="I99" s="235">
        <f>'Prop DUOS'!CH63</f>
        <v>0</v>
      </c>
    </row>
    <row r="100" spans="1:9" s="182" customFormat="1">
      <c r="A100" s="207" t="b">
        <f t="array" ref="A100">OR(EXACT(D100,'Prop DUOS'!C$7:C$66))</f>
        <v>1</v>
      </c>
      <c r="B100" s="381"/>
      <c r="C100" s="381"/>
      <c r="D100" s="209" t="str">
        <f>IF('Prop DUOS'!B64="","",'Prop DUOS'!B64)</f>
        <v/>
      </c>
      <c r="E100" s="212" t="str">
        <f>IF('Prop DUOS'!C64="","",'Prop DUOS'!C64)</f>
        <v/>
      </c>
      <c r="F100" s="235">
        <f>'Prop DUOS'!BP64</f>
        <v>0</v>
      </c>
      <c r="I100" s="235">
        <f>'Prop DUOS'!CH64</f>
        <v>0</v>
      </c>
    </row>
    <row r="101" spans="1:9" s="182" customFormat="1">
      <c r="A101" s="669"/>
      <c r="B101" s="796" t="s">
        <v>289</v>
      </c>
      <c r="C101" s="797"/>
      <c r="D101" s="797"/>
      <c r="E101" s="798"/>
      <c r="F101" s="674"/>
      <c r="G101" s="672"/>
      <c r="H101" s="676"/>
      <c r="I101" s="673"/>
    </row>
    <row r="102" spans="1:9" s="182" customFormat="1">
      <c r="A102" s="670"/>
      <c r="B102" s="665" t="str">
        <f>IF('Trial tariffs'!C10="","",'Trial tariffs'!C10)</f>
        <v>Residential</v>
      </c>
      <c r="C102" s="665" t="str">
        <f>IF('Trial tariffs'!C10="","",'Trial tariffs'!C10)</f>
        <v>Residential</v>
      </c>
      <c r="D102" s="666" t="str">
        <f>IF('Trial tariffs'!B10="","",'Trial tariffs'!B10)</f>
        <v>Electric vehicle critical peak tariff</v>
      </c>
      <c r="E102" s="667" t="str">
        <f>IF('Trial tariffs'!B10="","",'Trial tariffs'!B10)</f>
        <v>Electric vehicle critical peak tariff</v>
      </c>
      <c r="F102" s="668">
        <f>'Trial tariffs'!T10</f>
        <v>0</v>
      </c>
      <c r="G102" s="675"/>
      <c r="H102" s="675"/>
      <c r="I102" s="235">
        <f>'Trial tariffs'!P10</f>
        <v>0</v>
      </c>
    </row>
    <row r="103" spans="1:9" s="182" customFormat="1">
      <c r="A103" s="519"/>
      <c r="B103" s="381" t="str">
        <f>IF('Trial tariffs'!C11="","",'Trial tariffs'!C11)</f>
        <v>Small business</v>
      </c>
      <c r="C103" s="381" t="str">
        <f>IF('Trial tariffs'!C11="","",'Trial tariffs'!C11)</f>
        <v>Small business</v>
      </c>
      <c r="D103" s="209" t="str">
        <f>IF('Trial tariffs'!B11="","",'Trial tariffs'!B11)</f>
        <v>Pole-mounted battery tariff</v>
      </c>
      <c r="E103" s="212" t="str">
        <f>IF('Trial tariffs'!B11="","",'Trial tariffs'!B11)</f>
        <v>Pole-mounted battery tariff</v>
      </c>
      <c r="F103" s="235">
        <f>'Trial tariffs'!T11</f>
        <v>0</v>
      </c>
      <c r="I103" s="235">
        <f>'Trial tariffs'!P11</f>
        <v>0</v>
      </c>
    </row>
    <row r="104" spans="1:9" s="182" customFormat="1">
      <c r="A104" s="519"/>
      <c r="B104" s="381" t="str">
        <f>IF('Trial tariffs'!C12="","",'Trial tariffs'!C12)</f>
        <v/>
      </c>
      <c r="C104" s="381" t="str">
        <f>IF('Trial tariffs'!C12="","",'Trial tariffs'!C12)</f>
        <v/>
      </c>
      <c r="D104" s="209" t="str">
        <f>IF('Trial tariffs'!B12="","",'Trial tariffs'!B12)</f>
        <v/>
      </c>
      <c r="E104" s="212" t="str">
        <f>IF('Trial tariffs'!B12="","",'Trial tariffs'!B12)</f>
        <v/>
      </c>
      <c r="F104" s="235">
        <f>'Trial tariffs'!T12</f>
        <v>0</v>
      </c>
      <c r="I104" s="235">
        <f>'Trial tariffs'!P12</f>
        <v>0</v>
      </c>
    </row>
    <row r="105" spans="1:9" s="182" customFormat="1">
      <c r="A105" s="519"/>
      <c r="B105" s="381" t="str">
        <f>IF('Trial tariffs'!C13="","",'Trial tariffs'!C13)</f>
        <v/>
      </c>
      <c r="C105" s="381" t="str">
        <f>IF('Trial tariffs'!C13="","",'Trial tariffs'!C13)</f>
        <v/>
      </c>
      <c r="D105" s="209" t="str">
        <f>IF('Trial tariffs'!B13="","",'Trial tariffs'!B13)</f>
        <v/>
      </c>
      <c r="E105" s="212" t="str">
        <f>IF('Trial tariffs'!B13="","",'Trial tariffs'!B13)</f>
        <v/>
      </c>
      <c r="F105" s="235">
        <f>'Trial tariffs'!T13</f>
        <v>0</v>
      </c>
      <c r="I105" s="235">
        <f>'Trial tariffs'!P13</f>
        <v>0</v>
      </c>
    </row>
    <row r="106" spans="1:9" s="182" customFormat="1">
      <c r="A106" s="519"/>
      <c r="B106" s="381" t="str">
        <f>IF('Trial tariffs'!C14="","",'Trial tariffs'!C14)</f>
        <v/>
      </c>
      <c r="C106" s="381" t="str">
        <f>IF('Trial tariffs'!C14="","",'Trial tariffs'!C14)</f>
        <v/>
      </c>
      <c r="D106" s="209" t="str">
        <f>IF('Trial tariffs'!B14="","",'Trial tariffs'!B14)</f>
        <v/>
      </c>
      <c r="E106" s="212" t="str">
        <f>IF('Trial tariffs'!B14="","",'Trial tariffs'!B14)</f>
        <v/>
      </c>
      <c r="F106" s="235">
        <f>'Trial tariffs'!T14</f>
        <v>0</v>
      </c>
      <c r="I106" s="235">
        <f>'Trial tariffs'!P14</f>
        <v>0</v>
      </c>
    </row>
    <row r="107" spans="1:9" s="182" customFormat="1">
      <c r="A107" s="519"/>
      <c r="B107" s="381" t="str">
        <f>IF('Trial tariffs'!C15="","",'Trial tariffs'!C15)</f>
        <v/>
      </c>
      <c r="C107" s="381" t="str">
        <f>IF('Trial tariffs'!C15="","",'Trial tariffs'!C15)</f>
        <v/>
      </c>
      <c r="D107" s="209" t="str">
        <f>IF('Trial tariffs'!B15="","",'Trial tariffs'!B15)</f>
        <v/>
      </c>
      <c r="E107" s="212" t="str">
        <f>IF('Trial tariffs'!B15="","",'Trial tariffs'!B15)</f>
        <v/>
      </c>
      <c r="F107" s="235">
        <f>'Trial tariffs'!T15</f>
        <v>0</v>
      </c>
      <c r="I107" s="235">
        <f>'Trial tariffs'!P15</f>
        <v>0</v>
      </c>
    </row>
    <row r="108" spans="1:9" s="182" customFormat="1">
      <c r="A108" s="519"/>
      <c r="B108" s="381" t="str">
        <f>IF('Trial tariffs'!C16="","",'Trial tariffs'!C16)</f>
        <v/>
      </c>
      <c r="C108" s="381" t="str">
        <f>IF('Trial tariffs'!C16="","",'Trial tariffs'!C16)</f>
        <v/>
      </c>
      <c r="D108" s="209" t="str">
        <f>IF('Trial tariffs'!B16="","",'Trial tariffs'!B16)</f>
        <v/>
      </c>
      <c r="E108" s="212" t="str">
        <f>IF('Trial tariffs'!B16="","",'Trial tariffs'!B16)</f>
        <v/>
      </c>
      <c r="F108" s="235">
        <f>'Trial tariffs'!T16</f>
        <v>0</v>
      </c>
      <c r="I108" s="235">
        <f>'Trial tariffs'!P16</f>
        <v>0</v>
      </c>
    </row>
    <row r="109" spans="1:9" s="182" customFormat="1">
      <c r="A109" s="519"/>
      <c r="B109" s="381" t="str">
        <f>IF('Trial tariffs'!C17="","",'Trial tariffs'!C17)</f>
        <v/>
      </c>
      <c r="C109" s="381" t="str">
        <f>IF('Trial tariffs'!C17="","",'Trial tariffs'!C17)</f>
        <v/>
      </c>
      <c r="D109" s="209" t="str">
        <f>IF('Trial tariffs'!B17="","",'Trial tariffs'!B17)</f>
        <v/>
      </c>
      <c r="E109" s="212" t="str">
        <f>IF('Trial tariffs'!B17="","",'Trial tariffs'!B17)</f>
        <v/>
      </c>
      <c r="F109" s="235">
        <f>'Trial tariffs'!T17</f>
        <v>0</v>
      </c>
      <c r="I109" s="235">
        <f>'Trial tariffs'!P17</f>
        <v>0</v>
      </c>
    </row>
    <row r="110" spans="1:9" s="182" customFormat="1">
      <c r="A110" s="519"/>
      <c r="B110" s="381" t="str">
        <f>IF('Trial tariffs'!C18="","",'Trial tariffs'!C18)</f>
        <v/>
      </c>
      <c r="C110" s="381" t="str">
        <f>IF('Trial tariffs'!C18="","",'Trial tariffs'!C18)</f>
        <v/>
      </c>
      <c r="D110" s="209" t="str">
        <f>IF('Trial tariffs'!B18="","",'Trial tariffs'!B18)</f>
        <v/>
      </c>
      <c r="E110" s="212" t="str">
        <f>IF('Trial tariffs'!B18="","",'Trial tariffs'!B18)</f>
        <v/>
      </c>
      <c r="F110" s="235">
        <f>'Trial tariffs'!T18</f>
        <v>0</v>
      </c>
      <c r="I110" s="235">
        <f>'Trial tariffs'!P18</f>
        <v>0</v>
      </c>
    </row>
    <row r="111" spans="1:9" s="182" customFormat="1">
      <c r="A111" s="519"/>
      <c r="B111" s="381" t="str">
        <f>IF('Trial tariffs'!C19="","",'Trial tariffs'!C19)</f>
        <v/>
      </c>
      <c r="C111" s="381" t="str">
        <f>IF('Trial tariffs'!C19="","",'Trial tariffs'!C19)</f>
        <v/>
      </c>
      <c r="D111" s="209" t="str">
        <f>IF('Trial tariffs'!B19="","",'Trial tariffs'!B19)</f>
        <v/>
      </c>
      <c r="E111" s="212" t="str">
        <f>IF('Trial tariffs'!B19="","",'Trial tariffs'!B19)</f>
        <v/>
      </c>
      <c r="F111" s="235">
        <f>'Trial tariffs'!T19</f>
        <v>0</v>
      </c>
      <c r="I111" s="235">
        <f>'Trial tariffs'!P19</f>
        <v>0</v>
      </c>
    </row>
    <row r="112" spans="1:9" s="182" customFormat="1">
      <c r="A112" s="519"/>
      <c r="B112" s="381" t="str">
        <f>IF('Trial tariffs'!C20="","",'Trial tariffs'!C20)</f>
        <v/>
      </c>
      <c r="C112" s="381" t="str">
        <f>IF('Trial tariffs'!C20="","",'Trial tariffs'!C20)</f>
        <v/>
      </c>
      <c r="D112" s="209" t="str">
        <f>IF('Trial tariffs'!B20="","",'Trial tariffs'!B20)</f>
        <v/>
      </c>
      <c r="E112" s="212" t="str">
        <f>IF('Trial tariffs'!B20="","",'Trial tariffs'!B20)</f>
        <v/>
      </c>
      <c r="F112" s="235">
        <f>'Trial tariffs'!T20</f>
        <v>0</v>
      </c>
      <c r="I112" s="235">
        <f>'Trial tariffs'!P20</f>
        <v>0</v>
      </c>
    </row>
    <row r="113" spans="1:118" s="182" customFormat="1">
      <c r="A113" s="519"/>
      <c r="B113" s="381" t="str">
        <f>IF('Trial tariffs'!C21="","",'Trial tariffs'!C21)</f>
        <v/>
      </c>
      <c r="C113" s="381" t="str">
        <f>IF('Trial tariffs'!C21="","",'Trial tariffs'!C21)</f>
        <v/>
      </c>
      <c r="D113" s="209" t="str">
        <f>IF('Trial tariffs'!B21="","",'Trial tariffs'!B21)</f>
        <v/>
      </c>
      <c r="E113" s="212" t="str">
        <f>IF('Trial tariffs'!B21="","",'Trial tariffs'!B21)</f>
        <v/>
      </c>
      <c r="F113" s="235">
        <f>'Trial tariffs'!T21</f>
        <v>0</v>
      </c>
      <c r="I113" s="235">
        <f>'Trial tariffs'!P21</f>
        <v>0</v>
      </c>
    </row>
    <row r="114" spans="1:118" s="182" customFormat="1">
      <c r="A114" s="519"/>
      <c r="B114" s="381" t="str">
        <f>IF('Trial tariffs'!C22="","",'Trial tariffs'!C22)</f>
        <v/>
      </c>
      <c r="C114" s="381" t="str">
        <f>IF('Trial tariffs'!C22="","",'Trial tariffs'!C22)</f>
        <v/>
      </c>
      <c r="D114" s="209" t="str">
        <f>IF('Trial tariffs'!B22="","",'Trial tariffs'!B22)</f>
        <v/>
      </c>
      <c r="E114" s="212" t="str">
        <f>IF('Trial tariffs'!B22="","",'Trial tariffs'!B22)</f>
        <v/>
      </c>
      <c r="F114" s="235">
        <f>'Trial tariffs'!T22</f>
        <v>0</v>
      </c>
      <c r="I114" s="235">
        <f>'Trial tariffs'!P22</f>
        <v>0</v>
      </c>
    </row>
    <row r="115" spans="1:118" s="182" customFormat="1">
      <c r="A115" s="519"/>
      <c r="B115" s="381" t="str">
        <f>IF('Trial tariffs'!C23="","",'Trial tariffs'!C23)</f>
        <v/>
      </c>
      <c r="C115" s="381" t="str">
        <f>IF('Trial tariffs'!C23="","",'Trial tariffs'!C23)</f>
        <v/>
      </c>
      <c r="D115" s="209" t="str">
        <f>IF('Trial tariffs'!B23="","",'Trial tariffs'!B23)</f>
        <v/>
      </c>
      <c r="E115" s="212" t="str">
        <f>IF('Trial tariffs'!B23="","",'Trial tariffs'!B23)</f>
        <v/>
      </c>
      <c r="F115" s="235">
        <f>'Trial tariffs'!T23</f>
        <v>0</v>
      </c>
      <c r="I115" s="235">
        <f>'Trial tariffs'!P23</f>
        <v>0</v>
      </c>
    </row>
    <row r="116" spans="1:118" s="182" customFormat="1">
      <c r="A116" s="519"/>
      <c r="B116" s="381" t="str">
        <f>IF('Trial tariffs'!C24="","",'Trial tariffs'!C24)</f>
        <v/>
      </c>
      <c r="C116" s="381" t="str">
        <f>IF('Trial tariffs'!C24="","",'Trial tariffs'!C24)</f>
        <v/>
      </c>
      <c r="D116" s="209" t="str">
        <f>IF('Trial tariffs'!B24="","",'Trial tariffs'!B24)</f>
        <v/>
      </c>
      <c r="E116" s="212" t="str">
        <f>IF('Trial tariffs'!B24="","",'Trial tariffs'!B24)</f>
        <v/>
      </c>
      <c r="F116" s="235">
        <f>'Trial tariffs'!T24</f>
        <v>0</v>
      </c>
      <c r="I116" s="235">
        <f>'Trial tariffs'!P24</f>
        <v>0</v>
      </c>
    </row>
    <row r="117" spans="1:118" s="182" customFormat="1" ht="13.5" thickBot="1">
      <c r="A117" s="671"/>
      <c r="B117" s="382" t="str">
        <f>IF('Trial tariffs'!C25="","",'Trial tariffs'!C25)</f>
        <v/>
      </c>
      <c r="C117" s="383" t="str">
        <f>IF('Trial tariffs'!C25="","",'Trial tariffs'!C25)</f>
        <v/>
      </c>
      <c r="D117" s="213" t="str">
        <f>IF('Trial tariffs'!B25="","",'Trial tariffs'!B25)</f>
        <v/>
      </c>
      <c r="E117" s="214" t="str">
        <f>IF('Trial tariffs'!B25="","",'Trial tariffs'!B25)</f>
        <v/>
      </c>
      <c r="F117" s="236">
        <f>'Trial tariffs'!T25</f>
        <v>0</v>
      </c>
      <c r="I117" s="236">
        <f>'Trial tariffs'!P25</f>
        <v>0</v>
      </c>
    </row>
    <row r="118" spans="1:118" s="121" customFormat="1" ht="13.5" thickBot="1">
      <c r="A118" s="70"/>
      <c r="F118" s="122">
        <f>SUM(F43:F117)</f>
        <v>410370679.06369799</v>
      </c>
      <c r="G118" s="182"/>
      <c r="H118" s="182"/>
      <c r="I118" s="123">
        <f>SUM(I43:I117)</f>
        <v>268319229.6980173</v>
      </c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J118" s="122">
        <f>SUM(BJ43:BJ117)</f>
        <v>0</v>
      </c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</row>
    <row r="119" spans="1:118" s="121" customFormat="1" ht="13.5" thickTop="1">
      <c r="A119" s="70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</row>
    <row r="120" spans="1:118" s="121" customFormat="1">
      <c r="A120" s="70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</row>
    <row r="121" spans="1:118" s="121" customFormat="1">
      <c r="A121" s="70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</row>
    <row r="122" spans="1:118" s="121" customFormat="1">
      <c r="A122" s="70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</row>
    <row r="123" spans="1:118" s="121" customFormat="1">
      <c r="A123" s="70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</row>
    <row r="124" spans="1:118" s="121" customFormat="1">
      <c r="A124" s="70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</row>
    <row r="125" spans="1:118" s="121" customFormat="1">
      <c r="A125" s="70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</row>
    <row r="126" spans="1:118" s="121" customFormat="1">
      <c r="A126" s="70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</row>
    <row r="127" spans="1:118" s="121" customFormat="1">
      <c r="A127" s="70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</row>
    <row r="128" spans="1:118" s="121" customFormat="1">
      <c r="A128" s="70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</row>
    <row r="129" spans="1:118" s="121" customFormat="1">
      <c r="A129" s="70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</row>
    <row r="130" spans="1:118" s="121" customFormat="1">
      <c r="A130" s="70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</row>
    <row r="131" spans="1:118" s="121" customFormat="1">
      <c r="A131" s="70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</row>
    <row r="132" spans="1:118" s="121" customFormat="1">
      <c r="A132" s="70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</row>
    <row r="133" spans="1:118" s="121" customFormat="1">
      <c r="A133" s="70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</row>
    <row r="134" spans="1:118" s="121" customFormat="1">
      <c r="A134" s="70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</row>
    <row r="135" spans="1:118" s="121" customFormat="1">
      <c r="A135" s="70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</row>
    <row r="136" spans="1:118" s="121" customFormat="1">
      <c r="A136" s="70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</row>
    <row r="137" spans="1:118" s="121" customFormat="1">
      <c r="A137" s="70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</row>
    <row r="138" spans="1:118" s="121" customFormat="1">
      <c r="A138" s="70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</row>
    <row r="139" spans="1:118" s="121" customFormat="1">
      <c r="A139" s="70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</row>
    <row r="140" spans="1:118" s="121" customFormat="1">
      <c r="A140" s="70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</row>
    <row r="141" spans="1:118" s="121" customFormat="1">
      <c r="A141" s="70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</row>
    <row r="142" spans="1:118" s="121" customFormat="1">
      <c r="A142" s="70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</row>
    <row r="143" spans="1:118" s="121" customFormat="1">
      <c r="A143" s="70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</row>
    <row r="144" spans="1:118" s="121" customFormat="1">
      <c r="A144" s="70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</row>
    <row r="145" spans="1:118" s="121" customFormat="1">
      <c r="A145" s="70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</row>
    <row r="146" spans="1:118" s="121" customFormat="1">
      <c r="A146" s="70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</row>
    <row r="147" spans="1:118" s="121" customFormat="1">
      <c r="A147" s="70"/>
    </row>
    <row r="148" spans="1:118" s="121" customFormat="1">
      <c r="A148" s="70"/>
    </row>
    <row r="149" spans="1:118" s="121" customFormat="1">
      <c r="A149" s="70"/>
    </row>
    <row r="150" spans="1:118" s="121" customFormat="1">
      <c r="A150" s="70"/>
    </row>
    <row r="151" spans="1:118" s="121" customFormat="1">
      <c r="A151" s="70"/>
    </row>
    <row r="152" spans="1:118" s="121" customFormat="1">
      <c r="A152" s="70"/>
    </row>
    <row r="153" spans="1:118" s="121" customFormat="1">
      <c r="A153" s="70"/>
    </row>
    <row r="154" spans="1:118" s="121" customFormat="1">
      <c r="A154" s="70"/>
    </row>
    <row r="155" spans="1:118" s="121" customFormat="1">
      <c r="A155" s="70"/>
    </row>
    <row r="156" spans="1:118" s="121" customFormat="1">
      <c r="A156" s="70"/>
    </row>
    <row r="157" spans="1:118" s="121" customFormat="1">
      <c r="A157" s="70"/>
    </row>
  </sheetData>
  <mergeCells count="1">
    <mergeCell ref="B101:E101"/>
  </mergeCells>
  <conditionalFormatting sqref="F21:F37">
    <cfRule type="cellIs" dxfId="35" priority="3" stopIfTrue="1" operator="equal">
      <formula>"BREACHED"</formula>
    </cfRule>
  </conditionalFormatting>
  <conditionalFormatting sqref="A43:A100">
    <cfRule type="cellIs" dxfId="34" priority="4" stopIfTrue="1" operator="equal">
      <formula>FALSE</formula>
    </cfRule>
  </conditionalFormatting>
  <conditionalFormatting sqref="C38:D38 D39">
    <cfRule type="cellIs" dxfId="33" priority="5" stopIfTrue="1" operator="equal">
      <formula>"Error"</formula>
    </cfRule>
  </conditionalFormatting>
  <conditionalFormatting sqref="C39">
    <cfRule type="cellIs" dxfId="32" priority="2" stopIfTrue="1" operator="equal">
      <formula>"Error"</formula>
    </cfRule>
  </conditionalFormatting>
  <printOptions horizontalCentered="1"/>
  <pageMargins left="0.15748031496062992" right="0.15748031496062992" top="0.39370078740157483" bottom="0.39370078740157483" header="0.11811023622047245" footer="0.11811023622047245"/>
  <pageSetup paperSize="9" scale="32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rowBreaks count="1" manualBreakCount="1">
    <brk id="118" max="16383" man="1"/>
  </rowBreaks>
  <colBreaks count="4" manualBreakCount="4">
    <brk id="27" max="96" man="1"/>
    <brk id="49" max="1048575" man="1"/>
    <brk id="71" max="1048575" man="1"/>
    <brk id="94" max="1048575" man="1"/>
  </col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1EA858-E5C5-419C-9803-5BF9C3B1B4DE}">
            <xm:f>Input!$E$7=Input!$G$8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A102:J119 A101:B101 F101:J101 A3:J100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39997558519241921"/>
    <pageSetUpPr autoPageBreaks="0"/>
  </sheetPr>
  <dimension ref="B1:CK107"/>
  <sheetViews>
    <sheetView showGridLines="0" zoomScale="80" zoomScaleNormal="80" zoomScaleSheetLayoutView="85" workbookViewId="0">
      <pane xSplit="4" ySplit="6" topLeftCell="E7" activePane="bottomRight" state="frozen"/>
      <selection pane="topRight"/>
      <selection pane="bottomLeft"/>
      <selection pane="bottomRight" activeCell="AK3" sqref="AK3"/>
    </sheetView>
  </sheetViews>
  <sheetFormatPr defaultRowHeight="12.75"/>
  <cols>
    <col min="1" max="1" width="7.5703125" style="158" customWidth="1"/>
    <col min="2" max="2" width="50.42578125" style="158" customWidth="1"/>
    <col min="3" max="3" width="46" style="158" customWidth="1"/>
    <col min="4" max="4" width="20" style="158" customWidth="1"/>
    <col min="5" max="5" width="16" style="158" customWidth="1"/>
    <col min="6" max="6" width="11.28515625" style="158" bestFit="1" customWidth="1"/>
    <col min="7" max="7" width="15.42578125" style="158" customWidth="1"/>
    <col min="8" max="8" width="15.85546875" style="158" customWidth="1"/>
    <col min="9" max="9" width="15.28515625" style="158" customWidth="1"/>
    <col min="10" max="10" width="11.28515625" style="158" bestFit="1" customWidth="1"/>
    <col min="11" max="11" width="14.85546875" style="158" customWidth="1"/>
    <col min="12" max="13" width="9.140625" style="158"/>
    <col min="14" max="14" width="9.7109375" style="158" customWidth="1"/>
    <col min="15" max="15" width="13.28515625" style="158" customWidth="1"/>
    <col min="16" max="16" width="10.5703125" style="158" customWidth="1"/>
    <col min="17" max="17" width="11" style="158" bestFit="1" customWidth="1"/>
    <col min="18" max="18" width="11" style="158" customWidth="1"/>
    <col min="19" max="19" width="11" style="158" bestFit="1" customWidth="1"/>
    <col min="20" max="20" width="1.85546875" style="158" customWidth="1"/>
    <col min="21" max="21" width="15.7109375" style="158" bestFit="1" customWidth="1"/>
    <col min="22" max="22" width="19.140625" style="158" bestFit="1" customWidth="1"/>
    <col min="23" max="23" width="17.85546875" style="158" bestFit="1" customWidth="1"/>
    <col min="24" max="24" width="15.7109375" style="158" customWidth="1"/>
    <col min="25" max="25" width="17.85546875" style="158" bestFit="1" customWidth="1"/>
    <col min="26" max="26" width="19.140625" style="158" bestFit="1" customWidth="1"/>
    <col min="27" max="28" width="17.85546875" style="158" bestFit="1" customWidth="1"/>
    <col min="29" max="29" width="17.85546875" style="158" customWidth="1"/>
    <col min="30" max="30" width="13.85546875" style="158" customWidth="1"/>
    <col min="31" max="31" width="13.140625" style="158" bestFit="1" customWidth="1"/>
    <col min="32" max="32" width="10.5703125" style="158" bestFit="1" customWidth="1"/>
    <col min="33" max="34" width="14.140625" style="158" customWidth="1"/>
    <col min="35" max="35" width="10.5703125" style="158" bestFit="1" customWidth="1"/>
    <col min="36" max="36" width="1.85546875" style="158" customWidth="1"/>
    <col min="37" max="37" width="16" style="158" customWidth="1"/>
    <col min="38" max="39" width="11.28515625" style="158" bestFit="1" customWidth="1"/>
    <col min="40" max="40" width="14.85546875" style="158" customWidth="1"/>
    <col min="41" max="41" width="17" style="158" customWidth="1"/>
    <col min="42" max="42" width="10" style="158" bestFit="1" customWidth="1"/>
    <col min="43" max="43" width="17.7109375" style="158" customWidth="1"/>
    <col min="44" max="44" width="9.85546875" style="158" bestFit="1" customWidth="1"/>
    <col min="45" max="45" width="9.85546875" style="158" customWidth="1"/>
    <col min="46" max="46" width="9.85546875" style="158" bestFit="1" customWidth="1"/>
    <col min="47" max="47" width="14.140625" style="158" customWidth="1"/>
    <col min="48" max="51" width="10.5703125" style="158" customWidth="1"/>
    <col min="52" max="52" width="1.85546875" style="158" customWidth="1"/>
    <col min="53" max="53" width="14.42578125" style="158" bestFit="1" customWidth="1"/>
    <col min="54" max="54" width="15.7109375" style="158" bestFit="1" customWidth="1"/>
    <col min="55" max="55" width="15.5703125" style="158" customWidth="1"/>
    <col min="56" max="56" width="15.85546875" style="158" customWidth="1"/>
    <col min="57" max="57" width="17" style="158" customWidth="1"/>
    <col min="58" max="58" width="14.42578125" style="158" bestFit="1" customWidth="1"/>
    <col min="59" max="59" width="16.7109375" style="158" customWidth="1"/>
    <col min="60" max="61" width="10.85546875" style="158" customWidth="1"/>
    <col min="62" max="62" width="9.85546875" style="158" bestFit="1" customWidth="1"/>
    <col min="63" max="63" width="14.42578125" style="158" bestFit="1" customWidth="1"/>
    <col min="64" max="64" width="12.140625" style="158" customWidth="1"/>
    <col min="65" max="65" width="11.5703125" style="158" bestFit="1" customWidth="1"/>
    <col min="66" max="66" width="10.5703125" style="158" customWidth="1"/>
    <col min="67" max="67" width="10.5703125" style="158" bestFit="1" customWidth="1"/>
    <col min="68" max="68" width="17.85546875" style="158" customWidth="1"/>
    <col min="69" max="69" width="12.140625" style="158" customWidth="1"/>
    <col min="70" max="70" width="1.85546875" style="158" customWidth="1"/>
    <col min="71" max="71" width="14.5703125" style="158" customWidth="1"/>
    <col min="72" max="72" width="15.7109375" style="158" bestFit="1" customWidth="1"/>
    <col min="73" max="73" width="14.42578125" style="158" bestFit="1" customWidth="1"/>
    <col min="74" max="74" width="18.42578125" style="158" customWidth="1"/>
    <col min="75" max="75" width="17.85546875" style="158" customWidth="1"/>
    <col min="76" max="76" width="14.42578125" style="158" bestFit="1" customWidth="1"/>
    <col min="77" max="77" width="16.42578125" style="158" customWidth="1"/>
    <col min="78" max="78" width="10" style="158" bestFit="1" customWidth="1"/>
    <col min="79" max="79" width="10" style="158" customWidth="1"/>
    <col min="80" max="80" width="10" style="158" bestFit="1" customWidth="1"/>
    <col min="81" max="81" width="14.42578125" style="158" bestFit="1" customWidth="1"/>
    <col min="82" max="83" width="10.5703125" style="158" bestFit="1" customWidth="1"/>
    <col min="84" max="84" width="10.5703125" style="158" customWidth="1"/>
    <col min="85" max="85" width="10.5703125" style="158" bestFit="1" customWidth="1"/>
    <col min="86" max="86" width="17.85546875" style="158" bestFit="1" customWidth="1"/>
    <col min="87" max="88" width="9.140625" style="158"/>
    <col min="89" max="89" width="14.28515625" style="158" bestFit="1" customWidth="1"/>
    <col min="90" max="16384" width="9.140625" style="158"/>
  </cols>
  <sheetData>
    <row r="1" spans="2:89" ht="14.25">
      <c r="B1" s="174" t="str">
        <f>"Tariff Approval - "&amp;Input!$E$3</f>
        <v>Tariff Approval - United Energy</v>
      </c>
      <c r="C1" s="276" t="s">
        <v>191</v>
      </c>
      <c r="D1" s="276"/>
      <c r="G1" s="241"/>
    </row>
    <row r="2" spans="2:89">
      <c r="G2" s="241"/>
    </row>
    <row r="3" spans="2:89">
      <c r="B3" s="175" t="str">
        <f>"PROPOSED "&amp;Input!$E$7&amp;" DISTRIBUTION TARIFFS"</f>
        <v>PROPOSED 2021/22 DISTRIBUTION TARIFFS</v>
      </c>
      <c r="C3" s="175"/>
      <c r="D3" s="175"/>
      <c r="AK3" s="722"/>
    </row>
    <row r="4" spans="2:89" ht="13.5" thickBot="1">
      <c r="C4" s="637"/>
      <c r="D4" s="519"/>
      <c r="E4" s="384" t="str">
        <f>"Proposed Distribution Tariffs (Pt) for "&amp;Input!$E$7</f>
        <v>Proposed Distribution Tariffs (Pt) for 2021/22</v>
      </c>
      <c r="F4" s="385"/>
      <c r="G4" s="385"/>
      <c r="H4" s="385"/>
      <c r="I4" s="269"/>
      <c r="O4" s="176"/>
      <c r="U4" s="384" t="str">
        <f>"Forecast Quantities (Qt) for "&amp;Input!$E$7</f>
        <v>Forecast Quantities (Qt) for 2021/22</v>
      </c>
      <c r="V4" s="385"/>
      <c r="W4" s="385"/>
      <c r="X4" s="269"/>
      <c r="Y4" s="269"/>
      <c r="AK4" s="386" t="str">
        <f>"Current Distribution Tariffs (Pt-1) for "&amp;Input!$E$8</f>
        <v>Current Distribution Tariffs (Pt-1) for HY21</v>
      </c>
      <c r="AL4" s="384"/>
      <c r="AM4" s="384"/>
      <c r="AN4" s="385"/>
      <c r="AO4" s="269"/>
      <c r="BA4" s="386" t="str">
        <f>"Forecast Revenue (Pt "&amp;Input!$E$7&amp;")*(Qt " &amp;Input!$E$7&amp;")"</f>
        <v>Forecast Revenue (Pt 2021/22)*(Qt 2021/22)</v>
      </c>
      <c r="BB4" s="385"/>
      <c r="BC4" s="387"/>
      <c r="BD4" s="269"/>
      <c r="BE4" s="269"/>
      <c r="BS4" s="386" t="str">
        <f>"Revenue (Pt-1 "&amp;Input!$E$8&amp;")*(Qt " &amp;Input!$E$7&amp;")"</f>
        <v>Revenue (Pt-1 HY21)*(Qt 2021/22)</v>
      </c>
      <c r="BT4" s="385"/>
      <c r="BU4" s="385"/>
      <c r="BV4" s="269"/>
      <c r="BW4" s="269"/>
    </row>
    <row r="5" spans="2:89" ht="13.5" thickBot="1">
      <c r="E5" s="161" t="s">
        <v>123</v>
      </c>
      <c r="F5" s="799" t="s">
        <v>124</v>
      </c>
      <c r="G5" s="800"/>
      <c r="H5" s="800"/>
      <c r="I5" s="800"/>
      <c r="J5" s="800"/>
      <c r="K5" s="800"/>
      <c r="L5" s="800"/>
      <c r="M5" s="801"/>
      <c r="N5" s="803"/>
      <c r="O5" s="799" t="s">
        <v>125</v>
      </c>
      <c r="P5" s="800"/>
      <c r="Q5" s="800"/>
      <c r="R5" s="801"/>
      <c r="S5" s="802"/>
      <c r="U5" s="384"/>
      <c r="V5" s="385"/>
      <c r="W5" s="385"/>
      <c r="X5" s="269"/>
      <c r="Y5" s="269"/>
      <c r="AK5" s="386"/>
      <c r="AL5" s="384"/>
      <c r="AM5" s="384"/>
      <c r="AN5" s="385"/>
      <c r="AO5" s="269"/>
      <c r="BA5" s="386"/>
      <c r="BB5" s="385"/>
      <c r="BC5" s="387"/>
      <c r="BD5" s="269"/>
      <c r="BE5" s="269"/>
      <c r="BS5" s="386"/>
      <c r="BT5" s="385"/>
      <c r="BU5" s="385"/>
      <c r="BV5" s="269"/>
      <c r="BW5" s="269"/>
    </row>
    <row r="6" spans="2:89">
      <c r="B6" s="159" t="s">
        <v>31</v>
      </c>
      <c r="C6" s="160" t="s">
        <v>32</v>
      </c>
      <c r="D6" s="160"/>
      <c r="E6" s="419" t="s">
        <v>126</v>
      </c>
      <c r="F6" s="420" t="s">
        <v>127</v>
      </c>
      <c r="G6" s="420" t="s">
        <v>128</v>
      </c>
      <c r="H6" s="420" t="s">
        <v>129</v>
      </c>
      <c r="I6" s="420" t="s">
        <v>130</v>
      </c>
      <c r="J6" s="420" t="s">
        <v>131</v>
      </c>
      <c r="K6" s="420" t="s">
        <v>132</v>
      </c>
      <c r="L6" s="420" t="s">
        <v>133</v>
      </c>
      <c r="M6" s="420" t="s">
        <v>134</v>
      </c>
      <c r="N6" s="420" t="s">
        <v>318</v>
      </c>
      <c r="O6" s="420" t="s">
        <v>135</v>
      </c>
      <c r="P6" s="420" t="s">
        <v>136</v>
      </c>
      <c r="Q6" s="420" t="s">
        <v>137</v>
      </c>
      <c r="R6" s="604" t="s">
        <v>138</v>
      </c>
      <c r="S6" s="421" t="s">
        <v>290</v>
      </c>
      <c r="U6" s="161" t="str">
        <f t="shared" ref="U6:AG6" si="0">E6</f>
        <v>Fixed</v>
      </c>
      <c r="V6" s="162" t="str">
        <f t="shared" si="0"/>
        <v>PkBlk1</v>
      </c>
      <c r="W6" s="162" t="str">
        <f t="shared" si="0"/>
        <v>PkBlk2</v>
      </c>
      <c r="X6" s="162" t="str">
        <f t="shared" si="0"/>
        <v>PkBlk3</v>
      </c>
      <c r="Y6" s="162" t="str">
        <f t="shared" si="0"/>
        <v>PkBlk4</v>
      </c>
      <c r="Z6" s="162" t="str">
        <f t="shared" si="0"/>
        <v>OPkBlk1</v>
      </c>
      <c r="AA6" s="162" t="str">
        <f t="shared" si="0"/>
        <v>OPkBlk2</v>
      </c>
      <c r="AB6" s="162" t="str">
        <f t="shared" si="0"/>
        <v>OPkBlk3</v>
      </c>
      <c r="AC6" s="162" t="str">
        <f t="shared" si="0"/>
        <v>OPkBlk4</v>
      </c>
      <c r="AD6" s="162" t="str">
        <f t="shared" si="0"/>
        <v>OPkBlk5</v>
      </c>
      <c r="AE6" s="162" t="str">
        <f t="shared" si="0"/>
        <v>DemBlk1</v>
      </c>
      <c r="AF6" s="162" t="str">
        <f t="shared" si="0"/>
        <v>DemBlk2</v>
      </c>
      <c r="AG6" s="162" t="str">
        <f t="shared" si="0"/>
        <v>DemBlk3</v>
      </c>
      <c r="AH6" s="610" t="str">
        <f t="shared" ref="AH6" si="1">R6</f>
        <v>DemBlk4</v>
      </c>
      <c r="AI6" s="163" t="str">
        <f t="shared" ref="AI6" si="2">S6</f>
        <v>DemBlk5</v>
      </c>
      <c r="AK6" s="161" t="str">
        <f t="shared" ref="AK6:AW6" si="3">E6</f>
        <v>Fixed</v>
      </c>
      <c r="AL6" s="162" t="str">
        <f t="shared" si="3"/>
        <v>PkBlk1</v>
      </c>
      <c r="AM6" s="162" t="str">
        <f t="shared" si="3"/>
        <v>PkBlk2</v>
      </c>
      <c r="AN6" s="162" t="str">
        <f t="shared" si="3"/>
        <v>PkBlk3</v>
      </c>
      <c r="AO6" s="162" t="str">
        <f t="shared" si="3"/>
        <v>PkBlk4</v>
      </c>
      <c r="AP6" s="162" t="str">
        <f t="shared" si="3"/>
        <v>OPkBlk1</v>
      </c>
      <c r="AQ6" s="162" t="str">
        <f t="shared" si="3"/>
        <v>OPkBlk2</v>
      </c>
      <c r="AR6" s="162" t="str">
        <f t="shared" si="3"/>
        <v>OPkBlk3</v>
      </c>
      <c r="AS6" s="162" t="str">
        <f t="shared" si="3"/>
        <v>OPkBlk4</v>
      </c>
      <c r="AT6" s="162" t="str">
        <f t="shared" si="3"/>
        <v>OPkBlk5</v>
      </c>
      <c r="AU6" s="162" t="str">
        <f t="shared" si="3"/>
        <v>DemBlk1</v>
      </c>
      <c r="AV6" s="162" t="str">
        <f t="shared" si="3"/>
        <v>DemBlk2</v>
      </c>
      <c r="AW6" s="162" t="str">
        <f t="shared" si="3"/>
        <v>DemBlk3</v>
      </c>
      <c r="AX6" s="610" t="str">
        <f t="shared" ref="AX6" si="4">R6</f>
        <v>DemBlk4</v>
      </c>
      <c r="AY6" s="163" t="str">
        <f t="shared" ref="AY6" si="5">S6</f>
        <v>DemBlk5</v>
      </c>
      <c r="BA6" s="161" t="str">
        <f t="shared" ref="BA6:BM6" si="6">E6</f>
        <v>Fixed</v>
      </c>
      <c r="BB6" s="162" t="str">
        <f t="shared" si="6"/>
        <v>PkBlk1</v>
      </c>
      <c r="BC6" s="162" t="str">
        <f t="shared" si="6"/>
        <v>PkBlk2</v>
      </c>
      <c r="BD6" s="162" t="str">
        <f t="shared" si="6"/>
        <v>PkBlk3</v>
      </c>
      <c r="BE6" s="162" t="str">
        <f t="shared" si="6"/>
        <v>PkBlk4</v>
      </c>
      <c r="BF6" s="162" t="str">
        <f t="shared" si="6"/>
        <v>OPkBlk1</v>
      </c>
      <c r="BG6" s="162" t="str">
        <f t="shared" si="6"/>
        <v>OPkBlk2</v>
      </c>
      <c r="BH6" s="162" t="str">
        <f t="shared" si="6"/>
        <v>OPkBlk3</v>
      </c>
      <c r="BI6" s="162" t="str">
        <f t="shared" si="6"/>
        <v>OPkBlk4</v>
      </c>
      <c r="BJ6" s="162" t="str">
        <f t="shared" si="6"/>
        <v>OPkBlk5</v>
      </c>
      <c r="BK6" s="162" t="str">
        <f t="shared" si="6"/>
        <v>DemBlk1</v>
      </c>
      <c r="BL6" s="162" t="str">
        <f t="shared" si="6"/>
        <v>DemBlk2</v>
      </c>
      <c r="BM6" s="162" t="str">
        <f t="shared" si="6"/>
        <v>DemBlk3</v>
      </c>
      <c r="BN6" s="162" t="str">
        <f t="shared" ref="BN6" si="7">R6</f>
        <v>DemBlk4</v>
      </c>
      <c r="BO6" s="162" t="str">
        <f t="shared" ref="BO6" si="8">S6</f>
        <v>DemBlk5</v>
      </c>
      <c r="BP6" s="163" t="s">
        <v>28</v>
      </c>
      <c r="BQ6" s="601" t="s">
        <v>265</v>
      </c>
      <c r="BS6" s="161" t="str">
        <f t="shared" ref="BS6:CE6" si="9">E6</f>
        <v>Fixed</v>
      </c>
      <c r="BT6" s="162" t="str">
        <f t="shared" si="9"/>
        <v>PkBlk1</v>
      </c>
      <c r="BU6" s="162" t="str">
        <f t="shared" si="9"/>
        <v>PkBlk2</v>
      </c>
      <c r="BV6" s="162" t="str">
        <f t="shared" si="9"/>
        <v>PkBlk3</v>
      </c>
      <c r="BW6" s="162" t="str">
        <f t="shared" si="9"/>
        <v>PkBlk4</v>
      </c>
      <c r="BX6" s="162" t="str">
        <f t="shared" si="9"/>
        <v>OPkBlk1</v>
      </c>
      <c r="BY6" s="162" t="str">
        <f t="shared" si="9"/>
        <v>OPkBlk2</v>
      </c>
      <c r="BZ6" s="162" t="str">
        <f t="shared" si="9"/>
        <v>OPkBlk3</v>
      </c>
      <c r="CA6" s="162" t="str">
        <f t="shared" si="9"/>
        <v>OPkBlk4</v>
      </c>
      <c r="CB6" s="162" t="str">
        <f t="shared" si="9"/>
        <v>OPkBlk5</v>
      </c>
      <c r="CC6" s="162" t="str">
        <f t="shared" si="9"/>
        <v>DemBlk1</v>
      </c>
      <c r="CD6" s="162" t="str">
        <f t="shared" si="9"/>
        <v>DemBlk2</v>
      </c>
      <c r="CE6" s="162" t="str">
        <f t="shared" si="9"/>
        <v>DemBlk3</v>
      </c>
      <c r="CF6" s="162" t="str">
        <f t="shared" ref="CF6" si="10">R6</f>
        <v>DemBlk4</v>
      </c>
      <c r="CG6" s="162" t="str">
        <f t="shared" ref="CG6" si="11">S6</f>
        <v>DemBlk5</v>
      </c>
      <c r="CH6" s="163" t="s">
        <v>28</v>
      </c>
    </row>
    <row r="7" spans="2:89">
      <c r="B7" s="416" t="s">
        <v>341</v>
      </c>
      <c r="C7" s="449" t="s">
        <v>319</v>
      </c>
      <c r="D7" s="376" t="str">
        <f>IF(C7="","",INDEX('Side constraints'!$C$33:$C$92,MATCH('Prop DUOS'!C7,'Side constraints'!$E$33:$E$92,0),1))</f>
        <v>Residential</v>
      </c>
      <c r="E7" s="422">
        <v>17</v>
      </c>
      <c r="F7" s="423">
        <v>6.22</v>
      </c>
      <c r="G7" s="423">
        <v>0</v>
      </c>
      <c r="H7" s="423">
        <v>0</v>
      </c>
      <c r="I7" s="423">
        <v>0</v>
      </c>
      <c r="J7" s="423">
        <v>0</v>
      </c>
      <c r="K7" s="423">
        <v>0</v>
      </c>
      <c r="L7" s="423">
        <v>0</v>
      </c>
      <c r="M7" s="423">
        <v>0</v>
      </c>
      <c r="N7" s="423">
        <v>0</v>
      </c>
      <c r="O7" s="426">
        <v>0</v>
      </c>
      <c r="P7" s="426">
        <v>0</v>
      </c>
      <c r="Q7" s="423">
        <v>0</v>
      </c>
      <c r="R7" s="605">
        <v>0</v>
      </c>
      <c r="S7" s="740">
        <v>0</v>
      </c>
      <c r="U7" s="437">
        <v>580549</v>
      </c>
      <c r="V7" s="438">
        <v>2524288486.6366243</v>
      </c>
      <c r="W7" s="438">
        <v>0</v>
      </c>
      <c r="X7" s="438">
        <v>0</v>
      </c>
      <c r="Y7" s="438">
        <v>0</v>
      </c>
      <c r="Z7" s="438">
        <v>0</v>
      </c>
      <c r="AA7" s="438">
        <v>0</v>
      </c>
      <c r="AB7" s="438">
        <v>0</v>
      </c>
      <c r="AC7" s="438">
        <v>0</v>
      </c>
      <c r="AD7" s="438">
        <v>0</v>
      </c>
      <c r="AE7" s="438">
        <v>0</v>
      </c>
      <c r="AF7" s="438">
        <v>0</v>
      </c>
      <c r="AG7" s="438">
        <v>0</v>
      </c>
      <c r="AH7" s="611">
        <v>0</v>
      </c>
      <c r="AI7" s="439">
        <v>0</v>
      </c>
      <c r="AK7" s="744">
        <f>'t-1 DUOS'!D7</f>
        <v>10.95</v>
      </c>
      <c r="AL7" s="745">
        <f>'t-1 DUOS'!E7</f>
        <v>5.54</v>
      </c>
      <c r="AM7" s="746">
        <f>'t-1 DUOS'!F7</f>
        <v>0</v>
      </c>
      <c r="AN7" s="746">
        <f>'t-1 DUOS'!G7</f>
        <v>0</v>
      </c>
      <c r="AO7" s="746">
        <f>'t-1 DUOS'!H7</f>
        <v>5.54</v>
      </c>
      <c r="AP7" s="746">
        <f>'t-1 DUOS'!I7</f>
        <v>0</v>
      </c>
      <c r="AQ7" s="746">
        <f>'t-1 DUOS'!J7</f>
        <v>0</v>
      </c>
      <c r="AR7" s="746">
        <f>'t-1 DUOS'!K7</f>
        <v>0</v>
      </c>
      <c r="AS7" s="746">
        <f>'t-1 DUOS'!L7</f>
        <v>0</v>
      </c>
      <c r="AT7" s="746">
        <f>'t-1 DUOS'!M7</f>
        <v>0</v>
      </c>
      <c r="AU7" s="746">
        <f>'t-1 DUOS'!N7</f>
        <v>0</v>
      </c>
      <c r="AV7" s="746">
        <f>'t-1 DUOS'!O7</f>
        <v>0</v>
      </c>
      <c r="AW7" s="746">
        <f>'t-1 DUOS'!P7</f>
        <v>0</v>
      </c>
      <c r="AX7" s="747">
        <f>'t-1 DUOS'!Q7</f>
        <v>0</v>
      </c>
      <c r="AY7" s="748">
        <f>'t-1 DUOS'!R7</f>
        <v>0</v>
      </c>
      <c r="BA7" s="164">
        <f t="shared" ref="BA7:BA17" si="12">IF($E$69="cents",E7/100,E7)*IF($E$71="day",U7*$D$74,U7)</f>
        <v>36023065.450000003</v>
      </c>
      <c r="BB7" s="165">
        <f t="shared" ref="BB7:BB17" si="13">IF(F$69="cents",F7/100,F7)*V7</f>
        <v>157010743.86879802</v>
      </c>
      <c r="BC7" s="165">
        <f t="shared" ref="BC7:BC17" si="14">IF(G$69="cents",G7/100,G7)*W7</f>
        <v>0</v>
      </c>
      <c r="BD7" s="165">
        <f t="shared" ref="BD7:BD17" si="15">IF(H$69="cents",H7/100,H7)*X7</f>
        <v>0</v>
      </c>
      <c r="BE7" s="165">
        <f t="shared" ref="BE7:BE17" si="16">IF(I$69="cents",I7/100,I7)*Y7</f>
        <v>0</v>
      </c>
      <c r="BF7" s="165">
        <f t="shared" ref="BF7:BF17" si="17">IF(J$69="cents",J7/100,J7)*Z7</f>
        <v>0</v>
      </c>
      <c r="BG7" s="165">
        <f t="shared" ref="BG7:BG17" si="18">IF(K$69="cents",K7/100,K7)*AA7</f>
        <v>0</v>
      </c>
      <c r="BH7" s="165">
        <f t="shared" ref="BH7:BI17" si="19">IF(L$69="cents",L7/100,L7)*AB7</f>
        <v>0</v>
      </c>
      <c r="BI7" s="165">
        <f t="shared" si="19"/>
        <v>0</v>
      </c>
      <c r="BJ7" s="165">
        <f t="shared" ref="BJ7:BJ17" si="20">IF(N$69="cents",N7/100,N7)*AD7</f>
        <v>0</v>
      </c>
      <c r="BK7" s="165">
        <f>IF(O$69="cents",O7/100,O7)*IF(O$71="day",AE7*$D$74,IF(O$71="month",AE7*12,AE7))</f>
        <v>0</v>
      </c>
      <c r="BL7" s="165">
        <f>IF(P$69="cents",P7/100,P7)*IF(P$71="day",AF7*$D$74,IF(P$71="month",AF7*12,AF7))</f>
        <v>0</v>
      </c>
      <c r="BM7" s="165">
        <f>IF(Q$69="cents",Q7/100,Q7)*IF(Q$71="day",AG7*$D$74,IF(Q$71="month",AG7*12,AG7))</f>
        <v>0</v>
      </c>
      <c r="BN7" s="165">
        <f>IF(R$69="cents",R7/100,R7)*IF(R$71="day",AH7*$D$74,IF(R$71="month",AH7*12,AH7))</f>
        <v>0</v>
      </c>
      <c r="BO7" s="165">
        <f>IF(S$69="cents",S7/100,S7)*IF(S$71="day",AI7*$D$74,IF(S$71="month",AI7*12,AI7))</f>
        <v>0</v>
      </c>
      <c r="BP7" s="166">
        <f>SUM(BA7:BO7)</f>
        <v>193033809.31879801</v>
      </c>
      <c r="BQ7" s="603">
        <f>IF(BP7=0,"",BP7/$BP$67)</f>
        <v>0.47038889269385442</v>
      </c>
      <c r="BS7" s="741">
        <f t="shared" ref="BS7:BS18" si="21">IF($E$69="cents",AK7/100,AK7)*IF($E$71="day",U7*$D$74,U7)</f>
        <v>23203092.157499999</v>
      </c>
      <c r="BT7" s="742">
        <f>IF(F$69="cents",AL7/100,AL7)*V7</f>
        <v>139845582.15966898</v>
      </c>
      <c r="BU7" s="742">
        <f t="shared" ref="BU7:BU17" si="22">IF(G$69="cents",AM7/100,AM7)*W7</f>
        <v>0</v>
      </c>
      <c r="BV7" s="742">
        <f t="shared" ref="BV7:BV17" si="23">IF(H$69="cents",AN7/100,AN7)*X7</f>
        <v>0</v>
      </c>
      <c r="BW7" s="742">
        <f t="shared" ref="BW7:BW17" si="24">IF(I$69="cents",AO7/100,AO7)*Y7</f>
        <v>0</v>
      </c>
      <c r="BX7" s="742">
        <f t="shared" ref="BX7:BX17" si="25">IF(J$69="cents",AP7/100,AP7)*Z7</f>
        <v>0</v>
      </c>
      <c r="BY7" s="742">
        <f t="shared" ref="BY7:BY17" si="26">IF(K$69="cents",AQ7/100,AQ7)*AA7</f>
        <v>0</v>
      </c>
      <c r="BZ7" s="742">
        <f t="shared" ref="BZ7:CA17" si="27">IF(L$69="cents",AR7/100,AR7)*AB7</f>
        <v>0</v>
      </c>
      <c r="CA7" s="742">
        <f t="shared" si="27"/>
        <v>0</v>
      </c>
      <c r="CB7" s="742">
        <f t="shared" ref="CB7:CB17" si="28">IF(N$69="cents",AT7/100,AT7)*AD7</f>
        <v>0</v>
      </c>
      <c r="CC7" s="742">
        <f>IF(O$69="cents",AU7/100,AU7)*IF(O$71="day",AE7*$D$74,IF(O$71="month",AE7*12,AE7))</f>
        <v>0</v>
      </c>
      <c r="CD7" s="742">
        <f>IF(P$69="cents",AV7/100,AV7)*IF(P$71="day",AF7*$D$74,IF(P$71="month",AF7*12,AF7))</f>
        <v>0</v>
      </c>
      <c r="CE7" s="742">
        <f>IF(Q$69="cents",AW7/100,AW7)*IF(Q$71="day",AG7*$D$74,IF(Q$71="month",AG7*12,AG7))</f>
        <v>0</v>
      </c>
      <c r="CF7" s="742">
        <f>IF(R$69="cents",AX7/100,AX7)*IF(R$71="day",AH7*$D$74,IF(R$71="month",AH7*12,AH7))</f>
        <v>0</v>
      </c>
      <c r="CG7" s="742">
        <f>IF(S$69="cents",AY7/100,AY7)*IF(S$71="day",AI7*$D$74,IF(S$71="month",AI7*12,AI7))</f>
        <v>0</v>
      </c>
      <c r="CH7" s="743">
        <f>SUM(BS7:CG7)</f>
        <v>163048674.31716898</v>
      </c>
      <c r="CK7" s="724"/>
    </row>
    <row r="8" spans="2:89">
      <c r="B8" s="416" t="s">
        <v>350</v>
      </c>
      <c r="C8" s="449" t="s">
        <v>350</v>
      </c>
      <c r="D8" s="376" t="str">
        <f>IF(C8="","",INDEX('Side constraints'!$C$33:$C$92,MATCH('Prop DUOS'!C8,'Side constraints'!$E$33:$E$92,0),1))</f>
        <v>Residential</v>
      </c>
      <c r="E8" s="425">
        <v>17</v>
      </c>
      <c r="F8" s="426">
        <v>0</v>
      </c>
      <c r="G8" s="426">
        <v>12.33</v>
      </c>
      <c r="H8" s="426">
        <v>3.09</v>
      </c>
      <c r="I8" s="426">
        <v>0</v>
      </c>
      <c r="J8" s="426">
        <v>0</v>
      </c>
      <c r="K8" s="426">
        <v>0</v>
      </c>
      <c r="L8" s="426">
        <v>0</v>
      </c>
      <c r="M8" s="426">
        <v>0</v>
      </c>
      <c r="N8" s="426">
        <v>0</v>
      </c>
      <c r="O8" s="426">
        <v>0</v>
      </c>
      <c r="P8" s="426">
        <v>0</v>
      </c>
      <c r="Q8" s="426">
        <v>0</v>
      </c>
      <c r="R8" s="606">
        <v>0</v>
      </c>
      <c r="S8" s="455">
        <v>0</v>
      </c>
      <c r="U8" s="437">
        <v>55272.112328767122</v>
      </c>
      <c r="V8" s="440">
        <v>0</v>
      </c>
      <c r="W8" s="440">
        <v>85971618.797040969</v>
      </c>
      <c r="X8" s="440">
        <v>165813121.49595508</v>
      </c>
      <c r="Y8" s="440">
        <v>0</v>
      </c>
      <c r="Z8" s="440">
        <v>0</v>
      </c>
      <c r="AA8" s="440">
        <v>0</v>
      </c>
      <c r="AB8" s="440">
        <v>0</v>
      </c>
      <c r="AC8" s="440">
        <v>0</v>
      </c>
      <c r="AD8" s="440">
        <v>0</v>
      </c>
      <c r="AE8" s="440">
        <v>0</v>
      </c>
      <c r="AF8" s="440">
        <v>0</v>
      </c>
      <c r="AG8" s="440">
        <v>0</v>
      </c>
      <c r="AH8" s="612">
        <v>0</v>
      </c>
      <c r="AI8" s="441">
        <v>0</v>
      </c>
      <c r="AK8" s="749">
        <f>'t-1 DUOS'!D8</f>
        <v>10.95</v>
      </c>
      <c r="AL8" s="750">
        <f>'t-1 DUOS'!E8</f>
        <v>5.57</v>
      </c>
      <c r="AM8" s="750">
        <f>'t-1 DUOS'!F8</f>
        <v>0</v>
      </c>
      <c r="AN8" s="750">
        <f>'t-1 DUOS'!G8</f>
        <v>0</v>
      </c>
      <c r="AO8" s="750">
        <f>'t-1 DUOS'!H8</f>
        <v>5.57</v>
      </c>
      <c r="AP8" s="750">
        <f>'t-1 DUOS'!I8</f>
        <v>1.86</v>
      </c>
      <c r="AQ8" s="750">
        <f>'t-1 DUOS'!J8</f>
        <v>0</v>
      </c>
      <c r="AR8" s="750">
        <f>'t-1 DUOS'!K8</f>
        <v>0</v>
      </c>
      <c r="AS8" s="750">
        <f>'t-1 DUOS'!L8</f>
        <v>0</v>
      </c>
      <c r="AT8" s="750">
        <f>'t-1 DUOS'!M8</f>
        <v>0</v>
      </c>
      <c r="AU8" s="750">
        <f>'t-1 DUOS'!N8</f>
        <v>0</v>
      </c>
      <c r="AV8" s="750">
        <f>'t-1 DUOS'!O8</f>
        <v>0</v>
      </c>
      <c r="AW8" s="750">
        <f>'t-1 DUOS'!P8</f>
        <v>0</v>
      </c>
      <c r="AX8" s="751">
        <f>'t-1 DUOS'!Q8</f>
        <v>0</v>
      </c>
      <c r="AY8" s="752">
        <f>'t-1 DUOS'!R8</f>
        <v>0</v>
      </c>
      <c r="BA8" s="164">
        <f t="shared" si="12"/>
        <v>3429634.5700000003</v>
      </c>
      <c r="BB8" s="165">
        <f t="shared" si="13"/>
        <v>0</v>
      </c>
      <c r="BC8" s="165">
        <f t="shared" si="14"/>
        <v>10600300.597675152</v>
      </c>
      <c r="BD8" s="165">
        <f t="shared" si="15"/>
        <v>5123625.4542250112</v>
      </c>
      <c r="BE8" s="165">
        <f t="shared" si="16"/>
        <v>0</v>
      </c>
      <c r="BF8" s="165">
        <f t="shared" si="17"/>
        <v>0</v>
      </c>
      <c r="BG8" s="165">
        <f t="shared" si="18"/>
        <v>0</v>
      </c>
      <c r="BH8" s="165">
        <f t="shared" si="19"/>
        <v>0</v>
      </c>
      <c r="BI8" s="165">
        <f t="shared" si="19"/>
        <v>0</v>
      </c>
      <c r="BJ8" s="165">
        <f t="shared" si="20"/>
        <v>0</v>
      </c>
      <c r="BK8" s="165">
        <f t="shared" ref="BK8:BK66" si="29">IF(O$69="cents",O8/100,O8)*IF(O$71="day",AE8*$D$74,IF(O$71="month",AE8*12,AE8))</f>
        <v>0</v>
      </c>
      <c r="BL8" s="165">
        <f t="shared" ref="BL8:BL66" si="30">IF(P$69="cents",P8/100,P8)*IF(P$71="day",AF8*$D$74,IF(P$71="month",AF8*12,AF8))</f>
        <v>0</v>
      </c>
      <c r="BM8" s="165">
        <f t="shared" ref="BM8:BM39" si="31">IF(Q$69="cents",Q8/100,Q8)*IF(Q$71="day",AG8*$D$74,IF(Q$71="month",AG8*12,AG8))</f>
        <v>0</v>
      </c>
      <c r="BN8" s="165">
        <f t="shared" ref="BN8:BN39" si="32">IF(R$69="cents",R8/100,R8)*IF(R$71="day",AH8*$D$74,IF(R$71="month",AH8*12,AH8))</f>
        <v>0</v>
      </c>
      <c r="BO8" s="165">
        <f t="shared" ref="BO8:BO39" si="33">IF(S$69="cents",S8/100,S8)*IF(S$71="day",AI8*$D$74,IF(S$71="month",AI8*12,AI8))</f>
        <v>0</v>
      </c>
      <c r="BP8" s="166">
        <f t="shared" ref="BP8:BP66" si="34">SUM(BA8:BO8)</f>
        <v>19153560.621900164</v>
      </c>
      <c r="BQ8" s="603">
        <f t="shared" ref="BQ8:BQ66" si="35">IF(BP8=0,"",BP8/$BP$67)</f>
        <v>4.6673803951103279E-2</v>
      </c>
      <c r="BS8" s="741">
        <f t="shared" si="21"/>
        <v>2209088.1494999998</v>
      </c>
      <c r="BT8" s="742">
        <f t="shared" ref="BT8:BT17" si="36">IF(F$69="cents",AL8/100,AL8)*V8</f>
        <v>0</v>
      </c>
      <c r="BU8" s="742">
        <f t="shared" si="22"/>
        <v>0</v>
      </c>
      <c r="BV8" s="742">
        <f t="shared" si="23"/>
        <v>0</v>
      </c>
      <c r="BW8" s="742">
        <f t="shared" si="24"/>
        <v>0</v>
      </c>
      <c r="BX8" s="742">
        <f t="shared" si="25"/>
        <v>0</v>
      </c>
      <c r="BY8" s="742">
        <f t="shared" si="26"/>
        <v>0</v>
      </c>
      <c r="BZ8" s="742">
        <f t="shared" si="27"/>
        <v>0</v>
      </c>
      <c r="CA8" s="742">
        <f t="shared" si="27"/>
        <v>0</v>
      </c>
      <c r="CB8" s="742">
        <f t="shared" si="28"/>
        <v>0</v>
      </c>
      <c r="CC8" s="742">
        <f t="shared" ref="CC8:CC66" si="37">IF(O$69="cents",AU8/100,AU8)*IF(O$71="day",AE8*$D$74,IF(O$71="month",AE8*12,AE8))</f>
        <v>0</v>
      </c>
      <c r="CD8" s="742">
        <f t="shared" ref="CD8:CD22" si="38">IF(P$69="cents",AV8/100,AV8)*IF(P$71="day",AF8*$D$74,IF(P$71="month",AF8*12,AF8))</f>
        <v>0</v>
      </c>
      <c r="CE8" s="742">
        <f t="shared" ref="CE8:CE22" si="39">IF(Q$69="cents",AW8/100,AW8)*IF(Q$71="day",AG8*$D$74,IF(Q$71="month",AG8*12,AG8))</f>
        <v>0</v>
      </c>
      <c r="CF8" s="742">
        <f t="shared" ref="CF8:CF22" si="40">IF(R$69="cents",AX8/100,AX8)*IF(R$71="day",AH8*$D$74,IF(R$71="month",AH8*12,AH8))</f>
        <v>0</v>
      </c>
      <c r="CG8" s="742">
        <f t="shared" ref="CG8:CG22" si="41">IF(S$69="cents",AY8/100,AY8)*IF(S$71="day",AI8*$D$74,IF(S$71="month",AI8*12,AI8))</f>
        <v>0</v>
      </c>
      <c r="CH8" s="743">
        <f t="shared" ref="CH8:CH66" si="42">SUM(BS8:CG8)</f>
        <v>2209088.1494999998</v>
      </c>
      <c r="CK8" s="724"/>
    </row>
    <row r="9" spans="2:89">
      <c r="B9" s="416" t="s">
        <v>342</v>
      </c>
      <c r="C9" s="449" t="s">
        <v>338</v>
      </c>
      <c r="D9" s="376" t="str">
        <f>IF(C9="","",INDEX('Side constraints'!$C$33:$C$92,MATCH('Prop DUOS'!C9,'Side constraints'!$E$33:$E$92,0),1))</f>
        <v>Residential</v>
      </c>
      <c r="E9" s="425">
        <v>17</v>
      </c>
      <c r="F9" s="426">
        <v>2.29</v>
      </c>
      <c r="G9" s="426">
        <v>0</v>
      </c>
      <c r="H9" s="426">
        <v>0</v>
      </c>
      <c r="I9" s="426">
        <v>0</v>
      </c>
      <c r="J9" s="426">
        <v>0</v>
      </c>
      <c r="K9" s="426">
        <v>0</v>
      </c>
      <c r="L9" s="426">
        <v>0</v>
      </c>
      <c r="M9" s="426">
        <v>0</v>
      </c>
      <c r="N9" s="426">
        <v>0</v>
      </c>
      <c r="O9" s="426">
        <v>0</v>
      </c>
      <c r="P9" s="426">
        <v>0</v>
      </c>
      <c r="Q9" s="426">
        <v>22.16</v>
      </c>
      <c r="R9" s="606">
        <v>8.74</v>
      </c>
      <c r="S9" s="455">
        <v>0</v>
      </c>
      <c r="U9" s="437">
        <v>809</v>
      </c>
      <c r="V9" s="440">
        <v>4347911.9823071193</v>
      </c>
      <c r="W9" s="440">
        <v>0</v>
      </c>
      <c r="X9" s="440">
        <v>0</v>
      </c>
      <c r="Y9" s="440">
        <v>0</v>
      </c>
      <c r="Z9" s="440">
        <v>0</v>
      </c>
      <c r="AA9" s="440">
        <v>0</v>
      </c>
      <c r="AB9" s="440">
        <v>0</v>
      </c>
      <c r="AC9" s="440">
        <v>0</v>
      </c>
      <c r="AD9" s="440">
        <v>0</v>
      </c>
      <c r="AE9" s="440">
        <v>0</v>
      </c>
      <c r="AF9" s="440">
        <v>0</v>
      </c>
      <c r="AG9" s="440">
        <v>938.38779800727002</v>
      </c>
      <c r="AH9" s="612">
        <v>1742.4161316469886</v>
      </c>
      <c r="AI9" s="441">
        <v>0</v>
      </c>
      <c r="AK9" s="749">
        <f>'t-1 DUOS'!D9</f>
        <v>15.92</v>
      </c>
      <c r="AL9" s="750">
        <f>'t-1 DUOS'!E9</f>
        <v>0</v>
      </c>
      <c r="AM9" s="750">
        <f>'t-1 DUOS'!F9</f>
        <v>0</v>
      </c>
      <c r="AN9" s="750">
        <f>'t-1 DUOS'!G9</f>
        <v>8.85</v>
      </c>
      <c r="AO9" s="750">
        <f>'t-1 DUOS'!H9</f>
        <v>0</v>
      </c>
      <c r="AP9" s="750">
        <f>'t-1 DUOS'!I9</f>
        <v>0</v>
      </c>
      <c r="AQ9" s="750">
        <f>'t-1 DUOS'!J9</f>
        <v>8.85</v>
      </c>
      <c r="AR9" s="750">
        <f>'t-1 DUOS'!K9</f>
        <v>1.8</v>
      </c>
      <c r="AS9" s="750">
        <f>'t-1 DUOS'!L9</f>
        <v>0</v>
      </c>
      <c r="AT9" s="750">
        <f>'t-1 DUOS'!M9</f>
        <v>0</v>
      </c>
      <c r="AU9" s="750">
        <f>'t-1 DUOS'!N9</f>
        <v>0</v>
      </c>
      <c r="AV9" s="750">
        <f>'t-1 DUOS'!O9</f>
        <v>0</v>
      </c>
      <c r="AW9" s="750">
        <f>'t-1 DUOS'!P9</f>
        <v>0</v>
      </c>
      <c r="AX9" s="751">
        <f>'t-1 DUOS'!Q9</f>
        <v>0</v>
      </c>
      <c r="AY9" s="752">
        <f>'t-1 DUOS'!R9</f>
        <v>0</v>
      </c>
      <c r="BA9" s="164">
        <f t="shared" si="12"/>
        <v>50198.450000000004</v>
      </c>
      <c r="BB9" s="165">
        <f t="shared" si="13"/>
        <v>99567.184394833035</v>
      </c>
      <c r="BC9" s="165">
        <f t="shared" si="14"/>
        <v>0</v>
      </c>
      <c r="BD9" s="165">
        <f t="shared" si="15"/>
        <v>0</v>
      </c>
      <c r="BE9" s="165">
        <f t="shared" si="16"/>
        <v>0</v>
      </c>
      <c r="BF9" s="165">
        <f t="shared" si="17"/>
        <v>0</v>
      </c>
      <c r="BG9" s="165">
        <f t="shared" si="18"/>
        <v>0</v>
      </c>
      <c r="BH9" s="165">
        <f t="shared" si="19"/>
        <v>0</v>
      </c>
      <c r="BI9" s="165">
        <f t="shared" si="19"/>
        <v>0</v>
      </c>
      <c r="BJ9" s="165">
        <f t="shared" si="20"/>
        <v>0</v>
      </c>
      <c r="BK9" s="165">
        <f t="shared" si="29"/>
        <v>0</v>
      </c>
      <c r="BL9" s="165">
        <f t="shared" si="30"/>
        <v>0</v>
      </c>
      <c r="BM9" s="165">
        <f t="shared" si="31"/>
        <v>75900.558654020031</v>
      </c>
      <c r="BN9" s="165">
        <f t="shared" si="32"/>
        <v>55584.817015670589</v>
      </c>
      <c r="BO9" s="165">
        <f t="shared" si="33"/>
        <v>0</v>
      </c>
      <c r="BP9" s="166">
        <f t="shared" si="34"/>
        <v>281251.01006452367</v>
      </c>
      <c r="BQ9" s="603">
        <f t="shared" si="35"/>
        <v>6.8535844399562407E-4</v>
      </c>
      <c r="BS9" s="741">
        <f t="shared" si="21"/>
        <v>47009.372000000003</v>
      </c>
      <c r="BT9" s="742">
        <f t="shared" si="36"/>
        <v>0</v>
      </c>
      <c r="BU9" s="742">
        <f t="shared" si="22"/>
        <v>0</v>
      </c>
      <c r="BV9" s="742">
        <f t="shared" si="23"/>
        <v>0</v>
      </c>
      <c r="BW9" s="742">
        <f t="shared" si="24"/>
        <v>0</v>
      </c>
      <c r="BX9" s="742">
        <f t="shared" si="25"/>
        <v>0</v>
      </c>
      <c r="BY9" s="742">
        <f t="shared" si="26"/>
        <v>0</v>
      </c>
      <c r="BZ9" s="742">
        <f t="shared" si="27"/>
        <v>0</v>
      </c>
      <c r="CA9" s="742">
        <f t="shared" si="27"/>
        <v>0</v>
      </c>
      <c r="CB9" s="742">
        <f t="shared" si="28"/>
        <v>0</v>
      </c>
      <c r="CC9" s="742">
        <f t="shared" si="37"/>
        <v>0</v>
      </c>
      <c r="CD9" s="742">
        <f t="shared" si="38"/>
        <v>0</v>
      </c>
      <c r="CE9" s="742">
        <f t="shared" si="39"/>
        <v>0</v>
      </c>
      <c r="CF9" s="742">
        <f t="shared" si="40"/>
        <v>0</v>
      </c>
      <c r="CG9" s="742">
        <f t="shared" si="41"/>
        <v>0</v>
      </c>
      <c r="CH9" s="743">
        <f t="shared" si="42"/>
        <v>47009.372000000003</v>
      </c>
      <c r="CK9" s="724"/>
    </row>
    <row r="10" spans="2:89">
      <c r="B10" s="416" t="s">
        <v>322</v>
      </c>
      <c r="C10" s="449" t="s">
        <v>322</v>
      </c>
      <c r="D10" s="376" t="str">
        <f>IF(C10="","",INDEX('Side constraints'!$C$33:$C$92,MATCH('Prop DUOS'!C10,'Side constraints'!$E$33:$E$92,0),1))</f>
        <v>Residential</v>
      </c>
      <c r="E10" s="425">
        <v>0</v>
      </c>
      <c r="F10" s="426">
        <v>0</v>
      </c>
      <c r="G10" s="426">
        <v>0</v>
      </c>
      <c r="H10" s="426">
        <v>2.17</v>
      </c>
      <c r="I10" s="426">
        <v>0</v>
      </c>
      <c r="J10" s="426">
        <v>0</v>
      </c>
      <c r="K10" s="426">
        <v>0</v>
      </c>
      <c r="L10" s="426">
        <v>0</v>
      </c>
      <c r="M10" s="426">
        <v>0</v>
      </c>
      <c r="N10" s="426">
        <v>0</v>
      </c>
      <c r="O10" s="426">
        <v>0</v>
      </c>
      <c r="P10" s="426">
        <v>0</v>
      </c>
      <c r="Q10" s="426">
        <v>0</v>
      </c>
      <c r="R10" s="606">
        <v>0</v>
      </c>
      <c r="S10" s="455">
        <v>0</v>
      </c>
      <c r="U10" s="437">
        <v>54435.679452054792</v>
      </c>
      <c r="V10" s="440">
        <v>0</v>
      </c>
      <c r="W10" s="440">
        <v>0</v>
      </c>
      <c r="X10" s="440">
        <v>76921511.443784386</v>
      </c>
      <c r="Y10" s="440">
        <v>0</v>
      </c>
      <c r="Z10" s="440">
        <v>0</v>
      </c>
      <c r="AA10" s="440">
        <v>0</v>
      </c>
      <c r="AB10" s="440">
        <v>0</v>
      </c>
      <c r="AC10" s="440">
        <v>0</v>
      </c>
      <c r="AD10" s="440">
        <v>0</v>
      </c>
      <c r="AE10" s="440">
        <v>0</v>
      </c>
      <c r="AF10" s="440">
        <v>0</v>
      </c>
      <c r="AG10" s="440">
        <v>0</v>
      </c>
      <c r="AH10" s="612">
        <v>0</v>
      </c>
      <c r="AI10" s="441">
        <v>0</v>
      </c>
      <c r="AK10" s="749">
        <f>'t-1 DUOS'!D10</f>
        <v>0</v>
      </c>
      <c r="AL10" s="750">
        <f>'t-1 DUOS'!E10</f>
        <v>0</v>
      </c>
      <c r="AM10" s="750">
        <f>'t-1 DUOS'!F10</f>
        <v>0</v>
      </c>
      <c r="AN10" s="750">
        <f>'t-1 DUOS'!G10</f>
        <v>0</v>
      </c>
      <c r="AO10" s="750">
        <f>'t-1 DUOS'!H10</f>
        <v>0</v>
      </c>
      <c r="AP10" s="750">
        <f>'t-1 DUOS'!I10</f>
        <v>0</v>
      </c>
      <c r="AQ10" s="750">
        <f>'t-1 DUOS'!J10</f>
        <v>0</v>
      </c>
      <c r="AR10" s="750">
        <f>'t-1 DUOS'!K10</f>
        <v>1.73</v>
      </c>
      <c r="AS10" s="750">
        <f>'t-1 DUOS'!L10</f>
        <v>0</v>
      </c>
      <c r="AT10" s="750">
        <f>'t-1 DUOS'!M10</f>
        <v>0</v>
      </c>
      <c r="AU10" s="750">
        <f>'t-1 DUOS'!N10</f>
        <v>0</v>
      </c>
      <c r="AV10" s="750">
        <f>'t-1 DUOS'!O10</f>
        <v>0</v>
      </c>
      <c r="AW10" s="750">
        <f>'t-1 DUOS'!P10</f>
        <v>0</v>
      </c>
      <c r="AX10" s="751">
        <f>'t-1 DUOS'!Q10</f>
        <v>0</v>
      </c>
      <c r="AY10" s="752">
        <f>'t-1 DUOS'!R10</f>
        <v>0</v>
      </c>
      <c r="BA10" s="164">
        <f t="shared" si="12"/>
        <v>0</v>
      </c>
      <c r="BB10" s="165">
        <f t="shared" si="13"/>
        <v>0</v>
      </c>
      <c r="BC10" s="165">
        <f t="shared" si="14"/>
        <v>0</v>
      </c>
      <c r="BD10" s="165">
        <f t="shared" si="15"/>
        <v>1669196.7983301212</v>
      </c>
      <c r="BE10" s="165">
        <f t="shared" si="16"/>
        <v>0</v>
      </c>
      <c r="BF10" s="165">
        <f t="shared" si="17"/>
        <v>0</v>
      </c>
      <c r="BG10" s="165">
        <f t="shared" si="18"/>
        <v>0</v>
      </c>
      <c r="BH10" s="165">
        <f t="shared" si="19"/>
        <v>0</v>
      </c>
      <c r="BI10" s="165">
        <f t="shared" si="19"/>
        <v>0</v>
      </c>
      <c r="BJ10" s="165">
        <f t="shared" si="20"/>
        <v>0</v>
      </c>
      <c r="BK10" s="165">
        <f t="shared" si="29"/>
        <v>0</v>
      </c>
      <c r="BL10" s="165">
        <f t="shared" si="30"/>
        <v>0</v>
      </c>
      <c r="BM10" s="165">
        <f t="shared" si="31"/>
        <v>0</v>
      </c>
      <c r="BN10" s="165">
        <f t="shared" si="32"/>
        <v>0</v>
      </c>
      <c r="BO10" s="165">
        <f t="shared" si="33"/>
        <v>0</v>
      </c>
      <c r="BP10" s="166">
        <f t="shared" si="34"/>
        <v>1669196.7983301212</v>
      </c>
      <c r="BQ10" s="603">
        <f t="shared" si="35"/>
        <v>4.0675342647251544E-3</v>
      </c>
      <c r="BS10" s="741">
        <f t="shared" si="21"/>
        <v>0</v>
      </c>
      <c r="BT10" s="742">
        <f t="shared" si="36"/>
        <v>0</v>
      </c>
      <c r="BU10" s="742">
        <f t="shared" si="22"/>
        <v>0</v>
      </c>
      <c r="BV10" s="742">
        <f t="shared" si="23"/>
        <v>0</v>
      </c>
      <c r="BW10" s="742">
        <f t="shared" si="24"/>
        <v>0</v>
      </c>
      <c r="BX10" s="742">
        <f t="shared" si="25"/>
        <v>0</v>
      </c>
      <c r="BY10" s="742">
        <f t="shared" si="26"/>
        <v>0</v>
      </c>
      <c r="BZ10" s="742">
        <f t="shared" si="27"/>
        <v>0</v>
      </c>
      <c r="CA10" s="742">
        <f t="shared" si="27"/>
        <v>0</v>
      </c>
      <c r="CB10" s="742">
        <f t="shared" si="28"/>
        <v>0</v>
      </c>
      <c r="CC10" s="742">
        <f t="shared" si="37"/>
        <v>0</v>
      </c>
      <c r="CD10" s="742">
        <f t="shared" si="38"/>
        <v>0</v>
      </c>
      <c r="CE10" s="742">
        <f t="shared" si="39"/>
        <v>0</v>
      </c>
      <c r="CF10" s="742">
        <f t="shared" si="40"/>
        <v>0</v>
      </c>
      <c r="CG10" s="742">
        <f t="shared" si="41"/>
        <v>0</v>
      </c>
      <c r="CH10" s="743">
        <f t="shared" si="42"/>
        <v>0</v>
      </c>
      <c r="CK10" s="724"/>
    </row>
    <row r="11" spans="2:89">
      <c r="B11" s="416" t="s">
        <v>348</v>
      </c>
      <c r="C11" s="449" t="s">
        <v>323</v>
      </c>
      <c r="D11" s="376" t="str">
        <f>IF(C11="","",INDEX('Side constraints'!$C$33:$C$92,MATCH('Prop DUOS'!C11,'Side constraints'!$E$33:$E$92,0),1))</f>
        <v>Small and medium business</v>
      </c>
      <c r="E11" s="425">
        <v>27.96</v>
      </c>
      <c r="F11" s="426">
        <v>6.85</v>
      </c>
      <c r="G11" s="426">
        <v>0</v>
      </c>
      <c r="H11" s="426">
        <v>0</v>
      </c>
      <c r="I11" s="426">
        <v>0</v>
      </c>
      <c r="J11" s="426">
        <v>0</v>
      </c>
      <c r="K11" s="426">
        <v>0</v>
      </c>
      <c r="L11" s="426">
        <v>0</v>
      </c>
      <c r="M11" s="426">
        <v>0</v>
      </c>
      <c r="N11" s="426">
        <v>0</v>
      </c>
      <c r="O11" s="426">
        <v>0</v>
      </c>
      <c r="P11" s="426">
        <v>0</v>
      </c>
      <c r="Q11" s="426">
        <v>0</v>
      </c>
      <c r="R11" s="606">
        <v>0</v>
      </c>
      <c r="S11" s="455">
        <v>0</v>
      </c>
      <c r="U11" s="437">
        <v>36969</v>
      </c>
      <c r="V11" s="440">
        <v>403328071.08330297</v>
      </c>
      <c r="W11" s="440">
        <v>0</v>
      </c>
      <c r="X11" s="440">
        <v>0</v>
      </c>
      <c r="Y11" s="440">
        <v>0</v>
      </c>
      <c r="Z11" s="440">
        <v>0</v>
      </c>
      <c r="AA11" s="440">
        <v>0</v>
      </c>
      <c r="AB11" s="440">
        <v>0</v>
      </c>
      <c r="AC11" s="440">
        <v>0</v>
      </c>
      <c r="AD11" s="440">
        <v>0</v>
      </c>
      <c r="AE11" s="440">
        <v>0</v>
      </c>
      <c r="AF11" s="440">
        <v>0</v>
      </c>
      <c r="AG11" s="440">
        <v>0</v>
      </c>
      <c r="AH11" s="612">
        <v>0</v>
      </c>
      <c r="AI11" s="441">
        <v>0</v>
      </c>
      <c r="AK11" s="749">
        <f>'t-1 DUOS'!D11</f>
        <v>16.43</v>
      </c>
      <c r="AL11" s="750">
        <f>'t-1 DUOS'!E11</f>
        <v>6.81</v>
      </c>
      <c r="AM11" s="750">
        <f>'t-1 DUOS'!F11</f>
        <v>0</v>
      </c>
      <c r="AN11" s="750">
        <f>'t-1 DUOS'!G11</f>
        <v>0</v>
      </c>
      <c r="AO11" s="750">
        <f>'t-1 DUOS'!H11</f>
        <v>6.81</v>
      </c>
      <c r="AP11" s="750">
        <f>'t-1 DUOS'!I11</f>
        <v>0</v>
      </c>
      <c r="AQ11" s="750">
        <f>'t-1 DUOS'!J11</f>
        <v>0</v>
      </c>
      <c r="AR11" s="750">
        <f>'t-1 DUOS'!K11</f>
        <v>0</v>
      </c>
      <c r="AS11" s="750">
        <f>'t-1 DUOS'!L11</f>
        <v>0</v>
      </c>
      <c r="AT11" s="750">
        <f>'t-1 DUOS'!M11</f>
        <v>0</v>
      </c>
      <c r="AU11" s="750">
        <f>'t-1 DUOS'!N11</f>
        <v>0</v>
      </c>
      <c r="AV11" s="750">
        <f>'t-1 DUOS'!O11</f>
        <v>0</v>
      </c>
      <c r="AW11" s="750">
        <f>'t-1 DUOS'!P11</f>
        <v>0</v>
      </c>
      <c r="AX11" s="751">
        <f>'t-1 DUOS'!Q11</f>
        <v>0</v>
      </c>
      <c r="AY11" s="752">
        <f>'t-1 DUOS'!R11</f>
        <v>0</v>
      </c>
      <c r="BA11" s="164">
        <f t="shared" si="12"/>
        <v>3772834.3260000004</v>
      </c>
      <c r="BB11" s="165">
        <f t="shared" si="13"/>
        <v>27627972.86920625</v>
      </c>
      <c r="BC11" s="165">
        <f t="shared" si="14"/>
        <v>0</v>
      </c>
      <c r="BD11" s="165">
        <f t="shared" si="15"/>
        <v>0</v>
      </c>
      <c r="BE11" s="165">
        <f t="shared" si="16"/>
        <v>0</v>
      </c>
      <c r="BF11" s="165">
        <f t="shared" si="17"/>
        <v>0</v>
      </c>
      <c r="BG11" s="165">
        <f t="shared" si="18"/>
        <v>0</v>
      </c>
      <c r="BH11" s="165">
        <f t="shared" si="19"/>
        <v>0</v>
      </c>
      <c r="BI11" s="165">
        <f t="shared" si="19"/>
        <v>0</v>
      </c>
      <c r="BJ11" s="165">
        <f t="shared" si="20"/>
        <v>0</v>
      </c>
      <c r="BK11" s="165">
        <f t="shared" si="29"/>
        <v>0</v>
      </c>
      <c r="BL11" s="165">
        <f t="shared" si="30"/>
        <v>0</v>
      </c>
      <c r="BM11" s="165">
        <f t="shared" si="31"/>
        <v>0</v>
      </c>
      <c r="BN11" s="165">
        <f t="shared" si="32"/>
        <v>0</v>
      </c>
      <c r="BO11" s="165">
        <f t="shared" si="33"/>
        <v>0</v>
      </c>
      <c r="BP11" s="166">
        <f t="shared" si="34"/>
        <v>31400807.195206251</v>
      </c>
      <c r="BQ11" s="603">
        <f t="shared" si="35"/>
        <v>7.6518154919962486E-2</v>
      </c>
      <c r="BS11" s="741">
        <f t="shared" si="21"/>
        <v>2217012.4454999999</v>
      </c>
      <c r="BT11" s="742">
        <f t="shared" si="36"/>
        <v>27466641.640772931</v>
      </c>
      <c r="BU11" s="742">
        <f t="shared" si="22"/>
        <v>0</v>
      </c>
      <c r="BV11" s="742">
        <f t="shared" si="23"/>
        <v>0</v>
      </c>
      <c r="BW11" s="742">
        <f t="shared" si="24"/>
        <v>0</v>
      </c>
      <c r="BX11" s="742">
        <f t="shared" si="25"/>
        <v>0</v>
      </c>
      <c r="BY11" s="742">
        <f t="shared" si="26"/>
        <v>0</v>
      </c>
      <c r="BZ11" s="742">
        <f t="shared" si="27"/>
        <v>0</v>
      </c>
      <c r="CA11" s="742">
        <f t="shared" si="27"/>
        <v>0</v>
      </c>
      <c r="CB11" s="742">
        <f t="shared" si="28"/>
        <v>0</v>
      </c>
      <c r="CC11" s="742">
        <f t="shared" si="37"/>
        <v>0</v>
      </c>
      <c r="CD11" s="742">
        <f t="shared" si="38"/>
        <v>0</v>
      </c>
      <c r="CE11" s="742">
        <f t="shared" si="39"/>
        <v>0</v>
      </c>
      <c r="CF11" s="742">
        <f t="shared" si="40"/>
        <v>0</v>
      </c>
      <c r="CG11" s="742">
        <f t="shared" si="41"/>
        <v>0</v>
      </c>
      <c r="CH11" s="743">
        <f t="shared" si="42"/>
        <v>29683654.086272933</v>
      </c>
      <c r="CK11" s="724"/>
    </row>
    <row r="12" spans="2:89">
      <c r="B12" s="416" t="s">
        <v>347</v>
      </c>
      <c r="C12" s="449" t="s">
        <v>347</v>
      </c>
      <c r="D12" s="376" t="str">
        <f>IF(C12="","",INDEX('Side constraints'!$C$33:$C$92,MATCH('Prop DUOS'!C12,'Side constraints'!$E$33:$E$92,0),1))</f>
        <v>Small and medium business</v>
      </c>
      <c r="E12" s="425">
        <v>27.96</v>
      </c>
      <c r="F12" s="426">
        <v>0</v>
      </c>
      <c r="G12" s="426">
        <v>11.22</v>
      </c>
      <c r="H12" s="426">
        <v>2.4900000000000002</v>
      </c>
      <c r="I12" s="426">
        <v>0</v>
      </c>
      <c r="J12" s="426">
        <v>0</v>
      </c>
      <c r="K12" s="426">
        <v>0</v>
      </c>
      <c r="L12" s="426">
        <v>0</v>
      </c>
      <c r="M12" s="426">
        <v>0</v>
      </c>
      <c r="N12" s="426">
        <v>0</v>
      </c>
      <c r="O12" s="426">
        <v>0</v>
      </c>
      <c r="P12" s="426">
        <v>0</v>
      </c>
      <c r="Q12" s="426">
        <v>0</v>
      </c>
      <c r="R12" s="606">
        <v>0</v>
      </c>
      <c r="S12" s="455">
        <v>0</v>
      </c>
      <c r="U12" s="437">
        <v>14398.068493150686</v>
      </c>
      <c r="V12" s="440">
        <v>0</v>
      </c>
      <c r="W12" s="440">
        <v>123667368.07564241</v>
      </c>
      <c r="X12" s="440">
        <v>113278792.18936664</v>
      </c>
      <c r="Y12" s="440">
        <v>0</v>
      </c>
      <c r="Z12" s="440">
        <v>0</v>
      </c>
      <c r="AA12" s="440">
        <v>0</v>
      </c>
      <c r="AB12" s="440">
        <v>0</v>
      </c>
      <c r="AC12" s="440">
        <v>0</v>
      </c>
      <c r="AD12" s="440">
        <v>0</v>
      </c>
      <c r="AE12" s="440">
        <v>0</v>
      </c>
      <c r="AF12" s="440">
        <v>0</v>
      </c>
      <c r="AG12" s="440">
        <v>0</v>
      </c>
      <c r="AH12" s="612">
        <v>0</v>
      </c>
      <c r="AI12" s="441">
        <v>0</v>
      </c>
      <c r="AK12" s="749">
        <f>'t-1 DUOS'!D12</f>
        <v>25.33</v>
      </c>
      <c r="AL12" s="750">
        <f>'t-1 DUOS'!E12</f>
        <v>0</v>
      </c>
      <c r="AM12" s="750">
        <f>'t-1 DUOS'!F12</f>
        <v>0</v>
      </c>
      <c r="AN12" s="750">
        <f>'t-1 DUOS'!G12</f>
        <v>9.34</v>
      </c>
      <c r="AO12" s="750">
        <f>'t-1 DUOS'!H12</f>
        <v>0</v>
      </c>
      <c r="AP12" s="750">
        <f>'t-1 DUOS'!I12</f>
        <v>0</v>
      </c>
      <c r="AQ12" s="750">
        <f>'t-1 DUOS'!J12</f>
        <v>9.34</v>
      </c>
      <c r="AR12" s="750">
        <f>'t-1 DUOS'!K12</f>
        <v>1.74</v>
      </c>
      <c r="AS12" s="750">
        <f>'t-1 DUOS'!L12</f>
        <v>0</v>
      </c>
      <c r="AT12" s="750">
        <f>'t-1 DUOS'!M12</f>
        <v>0</v>
      </c>
      <c r="AU12" s="750">
        <f>'t-1 DUOS'!N12</f>
        <v>0</v>
      </c>
      <c r="AV12" s="750">
        <f>'t-1 DUOS'!O12</f>
        <v>0</v>
      </c>
      <c r="AW12" s="750">
        <f>'t-1 DUOS'!P12</f>
        <v>0</v>
      </c>
      <c r="AX12" s="751">
        <f>'t-1 DUOS'!Q12</f>
        <v>0</v>
      </c>
      <c r="AY12" s="752">
        <f>'t-1 DUOS'!R12</f>
        <v>0</v>
      </c>
      <c r="BA12" s="164">
        <f t="shared" si="12"/>
        <v>1469380.4820000001</v>
      </c>
      <c r="BB12" s="165">
        <f t="shared" si="13"/>
        <v>0</v>
      </c>
      <c r="BC12" s="165">
        <f t="shared" si="14"/>
        <v>13875478.698087079</v>
      </c>
      <c r="BD12" s="165">
        <f t="shared" si="15"/>
        <v>2820641.9255152293</v>
      </c>
      <c r="BE12" s="165">
        <f t="shared" si="16"/>
        <v>0</v>
      </c>
      <c r="BF12" s="165">
        <f t="shared" si="17"/>
        <v>0</v>
      </c>
      <c r="BG12" s="165">
        <f t="shared" si="18"/>
        <v>0</v>
      </c>
      <c r="BH12" s="165">
        <f t="shared" si="19"/>
        <v>0</v>
      </c>
      <c r="BI12" s="165">
        <f t="shared" si="19"/>
        <v>0</v>
      </c>
      <c r="BJ12" s="165">
        <f t="shared" si="20"/>
        <v>0</v>
      </c>
      <c r="BK12" s="165">
        <f t="shared" si="29"/>
        <v>0</v>
      </c>
      <c r="BL12" s="165">
        <f t="shared" si="30"/>
        <v>0</v>
      </c>
      <c r="BM12" s="165">
        <f t="shared" si="31"/>
        <v>0</v>
      </c>
      <c r="BN12" s="165">
        <f t="shared" si="32"/>
        <v>0</v>
      </c>
      <c r="BO12" s="165">
        <f t="shared" si="33"/>
        <v>0</v>
      </c>
      <c r="BP12" s="166">
        <f t="shared" si="34"/>
        <v>18165501.105602309</v>
      </c>
      <c r="BQ12" s="603">
        <f t="shared" si="35"/>
        <v>4.4266079504141791E-2</v>
      </c>
      <c r="BS12" s="741">
        <f t="shared" si="21"/>
        <v>1331166.2234999998</v>
      </c>
      <c r="BT12" s="742">
        <f t="shared" si="36"/>
        <v>0</v>
      </c>
      <c r="BU12" s="742">
        <f t="shared" si="22"/>
        <v>0</v>
      </c>
      <c r="BV12" s="742">
        <f t="shared" si="23"/>
        <v>10580239.190486845</v>
      </c>
      <c r="BW12" s="742">
        <f t="shared" si="24"/>
        <v>0</v>
      </c>
      <c r="BX12" s="742">
        <f t="shared" si="25"/>
        <v>0</v>
      </c>
      <c r="BY12" s="742">
        <f t="shared" si="26"/>
        <v>0</v>
      </c>
      <c r="BZ12" s="742">
        <f t="shared" si="27"/>
        <v>0</v>
      </c>
      <c r="CA12" s="742">
        <f t="shared" si="27"/>
        <v>0</v>
      </c>
      <c r="CB12" s="742">
        <f t="shared" si="28"/>
        <v>0</v>
      </c>
      <c r="CC12" s="742">
        <f t="shared" si="37"/>
        <v>0</v>
      </c>
      <c r="CD12" s="742">
        <f t="shared" si="38"/>
        <v>0</v>
      </c>
      <c r="CE12" s="742">
        <f t="shared" si="39"/>
        <v>0</v>
      </c>
      <c r="CF12" s="742">
        <f t="shared" si="40"/>
        <v>0</v>
      </c>
      <c r="CG12" s="742">
        <f t="shared" si="41"/>
        <v>0</v>
      </c>
      <c r="CH12" s="743">
        <f t="shared" si="42"/>
        <v>11911405.413986845</v>
      </c>
      <c r="CK12" s="724"/>
    </row>
    <row r="13" spans="2:89">
      <c r="B13" s="416" t="s">
        <v>346</v>
      </c>
      <c r="C13" s="449" t="s">
        <v>349</v>
      </c>
      <c r="D13" s="376" t="str">
        <f>IF(C13="","",INDEX('Side constraints'!$C$33:$C$92,MATCH('Prop DUOS'!C13,'Side constraints'!$E$33:$E$92,0),1))</f>
        <v>Small and medium business</v>
      </c>
      <c r="E13" s="425">
        <v>27.96</v>
      </c>
      <c r="F13" s="426">
        <v>3.17</v>
      </c>
      <c r="G13" s="426">
        <v>0</v>
      </c>
      <c r="H13" s="426">
        <v>0</v>
      </c>
      <c r="I13" s="426">
        <v>0</v>
      </c>
      <c r="J13" s="426">
        <v>0</v>
      </c>
      <c r="K13" s="426">
        <v>0</v>
      </c>
      <c r="L13" s="426">
        <v>0</v>
      </c>
      <c r="M13" s="426">
        <v>0</v>
      </c>
      <c r="N13" s="426">
        <v>0</v>
      </c>
      <c r="O13" s="426">
        <v>0</v>
      </c>
      <c r="P13" s="426">
        <v>0</v>
      </c>
      <c r="Q13" s="426">
        <v>32.590000000000003</v>
      </c>
      <c r="R13" s="606">
        <v>15.83</v>
      </c>
      <c r="S13" s="455">
        <v>0</v>
      </c>
      <c r="U13" s="437">
        <v>8216.139726027397</v>
      </c>
      <c r="V13" s="440">
        <v>625883199.74601364</v>
      </c>
      <c r="W13" s="440">
        <v>0</v>
      </c>
      <c r="X13" s="440">
        <v>0</v>
      </c>
      <c r="Y13" s="440">
        <v>0</v>
      </c>
      <c r="Z13" s="440">
        <v>0</v>
      </c>
      <c r="AA13" s="440">
        <v>0</v>
      </c>
      <c r="AB13" s="440">
        <v>0</v>
      </c>
      <c r="AC13" s="440">
        <v>0</v>
      </c>
      <c r="AD13" s="440">
        <v>0</v>
      </c>
      <c r="AE13" s="440">
        <v>0</v>
      </c>
      <c r="AF13" s="440">
        <v>0</v>
      </c>
      <c r="AG13" s="440">
        <v>75415.659202010967</v>
      </c>
      <c r="AH13" s="612">
        <v>126023.54741072851</v>
      </c>
      <c r="AI13" s="441">
        <v>0</v>
      </c>
      <c r="AK13" s="749">
        <f>'t-1 DUOS'!D13</f>
        <v>26.95</v>
      </c>
      <c r="AL13" s="750">
        <f>'t-1 DUOS'!E13</f>
        <v>0</v>
      </c>
      <c r="AM13" s="750">
        <f>'t-1 DUOS'!F13</f>
        <v>0</v>
      </c>
      <c r="AN13" s="750">
        <f>'t-1 DUOS'!G13</f>
        <v>7.72</v>
      </c>
      <c r="AO13" s="750">
        <f>'t-1 DUOS'!H13</f>
        <v>0</v>
      </c>
      <c r="AP13" s="750">
        <f>'t-1 DUOS'!I13</f>
        <v>0</v>
      </c>
      <c r="AQ13" s="750">
        <f>'t-1 DUOS'!J13</f>
        <v>7.72</v>
      </c>
      <c r="AR13" s="750">
        <f>'t-1 DUOS'!K13</f>
        <v>1.41</v>
      </c>
      <c r="AS13" s="750">
        <f>'t-1 DUOS'!L13</f>
        <v>0</v>
      </c>
      <c r="AT13" s="750">
        <f>'t-1 DUOS'!M13</f>
        <v>0</v>
      </c>
      <c r="AU13" s="750">
        <f>'t-1 DUOS'!N13</f>
        <v>0</v>
      </c>
      <c r="AV13" s="750">
        <f>'t-1 DUOS'!O13</f>
        <v>0</v>
      </c>
      <c r="AW13" s="750">
        <f>'t-1 DUOS'!P13</f>
        <v>0</v>
      </c>
      <c r="AX13" s="751">
        <f>'t-1 DUOS'!Q13</f>
        <v>0</v>
      </c>
      <c r="AY13" s="752">
        <f>'t-1 DUOS'!R13</f>
        <v>0</v>
      </c>
      <c r="BA13" s="164">
        <f t="shared" si="12"/>
        <v>838489.9236000001</v>
      </c>
      <c r="BB13" s="165">
        <f t="shared" si="13"/>
        <v>19840497.431948632</v>
      </c>
      <c r="BC13" s="165">
        <f t="shared" si="14"/>
        <v>0</v>
      </c>
      <c r="BD13" s="165">
        <f t="shared" si="15"/>
        <v>0</v>
      </c>
      <c r="BE13" s="165">
        <f t="shared" si="16"/>
        <v>0</v>
      </c>
      <c r="BF13" s="165">
        <f t="shared" si="17"/>
        <v>0</v>
      </c>
      <c r="BG13" s="165">
        <f t="shared" si="18"/>
        <v>0</v>
      </c>
      <c r="BH13" s="165">
        <f t="shared" si="19"/>
        <v>0</v>
      </c>
      <c r="BI13" s="165">
        <f t="shared" si="19"/>
        <v>0</v>
      </c>
      <c r="BJ13" s="165">
        <f t="shared" si="20"/>
        <v>0</v>
      </c>
      <c r="BK13" s="165">
        <f t="shared" si="29"/>
        <v>0</v>
      </c>
      <c r="BL13" s="165">
        <f t="shared" si="30"/>
        <v>0</v>
      </c>
      <c r="BM13" s="165">
        <f t="shared" si="31"/>
        <v>8970956.6168864127</v>
      </c>
      <c r="BN13" s="165">
        <f t="shared" si="32"/>
        <v>7281577.5576181877</v>
      </c>
      <c r="BO13" s="165">
        <f t="shared" si="33"/>
        <v>0</v>
      </c>
      <c r="BP13" s="166">
        <f t="shared" si="34"/>
        <v>36931521.530053228</v>
      </c>
      <c r="BQ13" s="603">
        <f t="shared" si="35"/>
        <v>8.9995517258484967E-2</v>
      </c>
      <c r="BS13" s="741">
        <f t="shared" si="21"/>
        <v>808201.12450000003</v>
      </c>
      <c r="BT13" s="742">
        <f t="shared" si="36"/>
        <v>0</v>
      </c>
      <c r="BU13" s="742">
        <f t="shared" si="22"/>
        <v>0</v>
      </c>
      <c r="BV13" s="742">
        <f t="shared" si="23"/>
        <v>0</v>
      </c>
      <c r="BW13" s="742">
        <f t="shared" si="24"/>
        <v>0</v>
      </c>
      <c r="BX13" s="742">
        <f t="shared" si="25"/>
        <v>0</v>
      </c>
      <c r="BY13" s="742">
        <f t="shared" si="26"/>
        <v>0</v>
      </c>
      <c r="BZ13" s="742">
        <f t="shared" si="27"/>
        <v>0</v>
      </c>
      <c r="CA13" s="742">
        <f t="shared" si="27"/>
        <v>0</v>
      </c>
      <c r="CB13" s="742">
        <f t="shared" si="28"/>
        <v>0</v>
      </c>
      <c r="CC13" s="742">
        <f t="shared" si="37"/>
        <v>0</v>
      </c>
      <c r="CD13" s="742">
        <f t="shared" si="38"/>
        <v>0</v>
      </c>
      <c r="CE13" s="742">
        <f t="shared" si="39"/>
        <v>0</v>
      </c>
      <c r="CF13" s="742">
        <f t="shared" si="40"/>
        <v>0</v>
      </c>
      <c r="CG13" s="742">
        <f t="shared" si="41"/>
        <v>0</v>
      </c>
      <c r="CH13" s="743">
        <f t="shared" si="42"/>
        <v>808201.12450000003</v>
      </c>
      <c r="CK13" s="724"/>
    </row>
    <row r="14" spans="2:89">
      <c r="B14" s="416" t="s">
        <v>326</v>
      </c>
      <c r="C14" s="449" t="s">
        <v>326</v>
      </c>
      <c r="D14" s="376" t="str">
        <f>IF(C14="","",INDEX('Side constraints'!$C$33:$C$92,MATCH('Prop DUOS'!C14,'Side constraints'!$E$33:$E$92,0),1))</f>
        <v>Small and medium business</v>
      </c>
      <c r="E14" s="425">
        <v>0</v>
      </c>
      <c r="F14" s="426">
        <v>0</v>
      </c>
      <c r="G14" s="426">
        <v>9.5399999999999991</v>
      </c>
      <c r="H14" s="426">
        <v>4.12</v>
      </c>
      <c r="I14" s="426">
        <v>0</v>
      </c>
      <c r="J14" s="426">
        <v>0</v>
      </c>
      <c r="K14" s="426">
        <v>0</v>
      </c>
      <c r="L14" s="426">
        <v>0</v>
      </c>
      <c r="M14" s="426">
        <v>0</v>
      </c>
      <c r="N14" s="426">
        <v>0</v>
      </c>
      <c r="O14" s="426">
        <v>0</v>
      </c>
      <c r="P14" s="426">
        <v>0</v>
      </c>
      <c r="Q14" s="426">
        <v>0</v>
      </c>
      <c r="R14" s="606">
        <v>0</v>
      </c>
      <c r="S14" s="455">
        <v>0</v>
      </c>
      <c r="U14" s="437">
        <v>9501.465753424658</v>
      </c>
      <c r="V14" s="440">
        <v>0</v>
      </c>
      <c r="W14" s="440">
        <v>32050724.468822587</v>
      </c>
      <c r="X14" s="440">
        <v>59106621.536154352</v>
      </c>
      <c r="Y14" s="440">
        <v>0</v>
      </c>
      <c r="Z14" s="440">
        <v>0</v>
      </c>
      <c r="AA14" s="440">
        <v>0</v>
      </c>
      <c r="AB14" s="440">
        <v>0</v>
      </c>
      <c r="AC14" s="440">
        <v>0</v>
      </c>
      <c r="AD14" s="440">
        <v>0</v>
      </c>
      <c r="AE14" s="440">
        <v>0</v>
      </c>
      <c r="AF14" s="440">
        <v>0</v>
      </c>
      <c r="AG14" s="440">
        <v>0</v>
      </c>
      <c r="AH14" s="612">
        <v>0</v>
      </c>
      <c r="AI14" s="441">
        <v>0</v>
      </c>
      <c r="AK14" s="749">
        <f>'t-1 DUOS'!D14</f>
        <v>0</v>
      </c>
      <c r="AL14" s="750">
        <f>'t-1 DUOS'!E14</f>
        <v>0</v>
      </c>
      <c r="AM14" s="750">
        <f>'t-1 DUOS'!F14</f>
        <v>0</v>
      </c>
      <c r="AN14" s="750">
        <f>'t-1 DUOS'!G14</f>
        <v>6.39</v>
      </c>
      <c r="AO14" s="750">
        <f>'t-1 DUOS'!H14</f>
        <v>0</v>
      </c>
      <c r="AP14" s="750">
        <f>'t-1 DUOS'!I14</f>
        <v>0</v>
      </c>
      <c r="AQ14" s="750">
        <f>'t-1 DUOS'!J14</f>
        <v>6.39</v>
      </c>
      <c r="AR14" s="750">
        <f>'t-1 DUOS'!K14</f>
        <v>1.38</v>
      </c>
      <c r="AS14" s="750">
        <f>'t-1 DUOS'!L14</f>
        <v>0</v>
      </c>
      <c r="AT14" s="750">
        <f>'t-1 DUOS'!M14</f>
        <v>0</v>
      </c>
      <c r="AU14" s="750">
        <f>'t-1 DUOS'!N14</f>
        <v>0</v>
      </c>
      <c r="AV14" s="750">
        <f>'t-1 DUOS'!O14</f>
        <v>0</v>
      </c>
      <c r="AW14" s="750">
        <f>'t-1 DUOS'!P14</f>
        <v>0</v>
      </c>
      <c r="AX14" s="751">
        <f>'t-1 DUOS'!Q14</f>
        <v>0</v>
      </c>
      <c r="AY14" s="752">
        <f>'t-1 DUOS'!R14</f>
        <v>0</v>
      </c>
      <c r="BA14" s="164">
        <f t="shared" si="12"/>
        <v>0</v>
      </c>
      <c r="BB14" s="165">
        <f t="shared" si="13"/>
        <v>0</v>
      </c>
      <c r="BC14" s="165">
        <f t="shared" si="14"/>
        <v>3057639.1143256743</v>
      </c>
      <c r="BD14" s="165">
        <f t="shared" si="15"/>
        <v>2435192.8072895594</v>
      </c>
      <c r="BE14" s="165">
        <f t="shared" si="16"/>
        <v>0</v>
      </c>
      <c r="BF14" s="165">
        <f t="shared" si="17"/>
        <v>0</v>
      </c>
      <c r="BG14" s="165">
        <f t="shared" si="18"/>
        <v>0</v>
      </c>
      <c r="BH14" s="165">
        <f t="shared" si="19"/>
        <v>0</v>
      </c>
      <c r="BI14" s="165">
        <f t="shared" si="19"/>
        <v>0</v>
      </c>
      <c r="BJ14" s="165">
        <f t="shared" si="20"/>
        <v>0</v>
      </c>
      <c r="BK14" s="165">
        <f t="shared" si="29"/>
        <v>0</v>
      </c>
      <c r="BL14" s="165">
        <f t="shared" si="30"/>
        <v>0</v>
      </c>
      <c r="BM14" s="165">
        <f t="shared" si="31"/>
        <v>0</v>
      </c>
      <c r="BN14" s="165">
        <f t="shared" si="32"/>
        <v>0</v>
      </c>
      <c r="BO14" s="165">
        <f t="shared" si="33"/>
        <v>0</v>
      </c>
      <c r="BP14" s="166">
        <f t="shared" si="34"/>
        <v>5492831.9216152336</v>
      </c>
      <c r="BQ14" s="603">
        <f t="shared" si="35"/>
        <v>1.3385049668138286E-2</v>
      </c>
      <c r="BS14" s="741">
        <f t="shared" si="21"/>
        <v>0</v>
      </c>
      <c r="BT14" s="742">
        <f t="shared" si="36"/>
        <v>0</v>
      </c>
      <c r="BU14" s="742">
        <f t="shared" si="22"/>
        <v>0</v>
      </c>
      <c r="BV14" s="742">
        <f t="shared" si="23"/>
        <v>3776913.1161602628</v>
      </c>
      <c r="BW14" s="742">
        <f t="shared" si="24"/>
        <v>0</v>
      </c>
      <c r="BX14" s="742">
        <f t="shared" si="25"/>
        <v>0</v>
      </c>
      <c r="BY14" s="742">
        <f t="shared" si="26"/>
        <v>0</v>
      </c>
      <c r="BZ14" s="742">
        <f t="shared" si="27"/>
        <v>0</v>
      </c>
      <c r="CA14" s="742">
        <f t="shared" si="27"/>
        <v>0</v>
      </c>
      <c r="CB14" s="742">
        <f t="shared" si="28"/>
        <v>0</v>
      </c>
      <c r="CC14" s="742">
        <f t="shared" si="37"/>
        <v>0</v>
      </c>
      <c r="CD14" s="742">
        <f t="shared" si="38"/>
        <v>0</v>
      </c>
      <c r="CE14" s="742">
        <f t="shared" si="39"/>
        <v>0</v>
      </c>
      <c r="CF14" s="742">
        <f t="shared" si="40"/>
        <v>0</v>
      </c>
      <c r="CG14" s="742">
        <f t="shared" si="41"/>
        <v>0</v>
      </c>
      <c r="CH14" s="743">
        <f t="shared" si="42"/>
        <v>3776913.1161602628</v>
      </c>
      <c r="CK14" s="724"/>
    </row>
    <row r="15" spans="2:89">
      <c r="B15" s="416" t="s">
        <v>345</v>
      </c>
      <c r="C15" s="449" t="s">
        <v>331</v>
      </c>
      <c r="D15" s="376" t="str">
        <f>IF(C15="","",INDEX('Side constraints'!$C$33:$C$92,MATCH('Prop DUOS'!C15,'Side constraints'!$E$33:$E$92,0),1))</f>
        <v>Large low voltage</v>
      </c>
      <c r="E15" s="425">
        <v>0</v>
      </c>
      <c r="F15" s="426">
        <v>0</v>
      </c>
      <c r="G15" s="426">
        <v>1.42</v>
      </c>
      <c r="H15" s="426">
        <v>0.65</v>
      </c>
      <c r="I15" s="426">
        <v>0</v>
      </c>
      <c r="J15" s="426">
        <v>0</v>
      </c>
      <c r="K15" s="426">
        <v>0</v>
      </c>
      <c r="L15" s="426">
        <v>0</v>
      </c>
      <c r="M15" s="426">
        <v>0</v>
      </c>
      <c r="N15" s="426">
        <v>0</v>
      </c>
      <c r="O15" s="426">
        <v>22.37</v>
      </c>
      <c r="P15" s="426">
        <v>0</v>
      </c>
      <c r="Q15" s="426">
        <v>0</v>
      </c>
      <c r="R15" s="606">
        <v>0</v>
      </c>
      <c r="S15" s="455">
        <v>0</v>
      </c>
      <c r="U15" s="437">
        <v>2989.5698630136985</v>
      </c>
      <c r="V15" s="440">
        <v>0</v>
      </c>
      <c r="W15" s="440">
        <v>981694296.1242367</v>
      </c>
      <c r="X15" s="440">
        <v>1184370376.5132132</v>
      </c>
      <c r="Y15" s="440">
        <v>0</v>
      </c>
      <c r="Z15" s="440">
        <v>0</v>
      </c>
      <c r="AA15" s="440">
        <v>0</v>
      </c>
      <c r="AB15" s="440">
        <v>0</v>
      </c>
      <c r="AC15" s="440">
        <v>0</v>
      </c>
      <c r="AD15" s="440">
        <v>0</v>
      </c>
      <c r="AE15" s="440">
        <v>823719.26000000047</v>
      </c>
      <c r="AF15" s="440">
        <v>185858.51673972595</v>
      </c>
      <c r="AG15" s="440">
        <v>0</v>
      </c>
      <c r="AH15" s="612">
        <v>0</v>
      </c>
      <c r="AI15" s="441">
        <v>0</v>
      </c>
      <c r="AK15" s="749">
        <f>'t-1 DUOS'!D15</f>
        <v>16.43</v>
      </c>
      <c r="AL15" s="750">
        <f>'t-1 DUOS'!E15</f>
        <v>5.4</v>
      </c>
      <c r="AM15" s="750">
        <f>'t-1 DUOS'!F15</f>
        <v>0</v>
      </c>
      <c r="AN15" s="750">
        <f>'t-1 DUOS'!G15</f>
        <v>0</v>
      </c>
      <c r="AO15" s="750">
        <f>'t-1 DUOS'!H15</f>
        <v>5.4</v>
      </c>
      <c r="AP15" s="750">
        <f>'t-1 DUOS'!I15</f>
        <v>0</v>
      </c>
      <c r="AQ15" s="750">
        <f>'t-1 DUOS'!J15</f>
        <v>0</v>
      </c>
      <c r="AR15" s="750">
        <f>'t-1 DUOS'!K15</f>
        <v>0</v>
      </c>
      <c r="AS15" s="750">
        <f>'t-1 DUOS'!L15</f>
        <v>0</v>
      </c>
      <c r="AT15" s="750">
        <f>'t-1 DUOS'!M15</f>
        <v>0</v>
      </c>
      <c r="AU15" s="750">
        <f>'t-1 DUOS'!N15</f>
        <v>0</v>
      </c>
      <c r="AV15" s="750">
        <f>'t-1 DUOS'!O15</f>
        <v>0</v>
      </c>
      <c r="AW15" s="750">
        <f>'t-1 DUOS'!P15</f>
        <v>0</v>
      </c>
      <c r="AX15" s="751">
        <f>'t-1 DUOS'!Q15</f>
        <v>0</v>
      </c>
      <c r="AY15" s="752">
        <f>'t-1 DUOS'!R15</f>
        <v>0</v>
      </c>
      <c r="BA15" s="164">
        <f t="shared" si="12"/>
        <v>0</v>
      </c>
      <c r="BB15" s="165">
        <f t="shared" si="13"/>
        <v>0</v>
      </c>
      <c r="BC15" s="165">
        <f t="shared" si="14"/>
        <v>13940059.00496416</v>
      </c>
      <c r="BD15" s="165">
        <f t="shared" si="15"/>
        <v>7698407.4473358858</v>
      </c>
      <c r="BE15" s="165">
        <f t="shared" si="16"/>
        <v>0</v>
      </c>
      <c r="BF15" s="165">
        <f t="shared" si="17"/>
        <v>0</v>
      </c>
      <c r="BG15" s="165">
        <f t="shared" si="18"/>
        <v>0</v>
      </c>
      <c r="BH15" s="165">
        <f t="shared" si="19"/>
        <v>0</v>
      </c>
      <c r="BI15" s="165">
        <f t="shared" si="19"/>
        <v>0</v>
      </c>
      <c r="BJ15" s="165">
        <f t="shared" si="20"/>
        <v>0</v>
      </c>
      <c r="BK15" s="165">
        <f t="shared" si="29"/>
        <v>67257089.438630044</v>
      </c>
      <c r="BL15" s="165">
        <f t="shared" si="30"/>
        <v>0</v>
      </c>
      <c r="BM15" s="165">
        <f t="shared" si="31"/>
        <v>0</v>
      </c>
      <c r="BN15" s="165">
        <f t="shared" si="32"/>
        <v>0</v>
      </c>
      <c r="BO15" s="165">
        <f t="shared" si="33"/>
        <v>0</v>
      </c>
      <c r="BP15" s="166">
        <f t="shared" si="34"/>
        <v>88895555.890930086</v>
      </c>
      <c r="BQ15" s="603">
        <f t="shared" si="35"/>
        <v>0.21662258154933059</v>
      </c>
      <c r="BS15" s="741">
        <f t="shared" si="21"/>
        <v>179283.0099</v>
      </c>
      <c r="BT15" s="742">
        <f t="shared" si="36"/>
        <v>0</v>
      </c>
      <c r="BU15" s="742">
        <f t="shared" si="22"/>
        <v>0</v>
      </c>
      <c r="BV15" s="742">
        <f t="shared" si="23"/>
        <v>0</v>
      </c>
      <c r="BW15" s="742">
        <f t="shared" si="24"/>
        <v>0</v>
      </c>
      <c r="BX15" s="742">
        <f t="shared" si="25"/>
        <v>0</v>
      </c>
      <c r="BY15" s="742">
        <f t="shared" si="26"/>
        <v>0</v>
      </c>
      <c r="BZ15" s="742">
        <f t="shared" si="27"/>
        <v>0</v>
      </c>
      <c r="CA15" s="742">
        <f t="shared" si="27"/>
        <v>0</v>
      </c>
      <c r="CB15" s="742">
        <f t="shared" si="28"/>
        <v>0</v>
      </c>
      <c r="CC15" s="742">
        <f t="shared" si="37"/>
        <v>0</v>
      </c>
      <c r="CD15" s="742">
        <f t="shared" si="38"/>
        <v>0</v>
      </c>
      <c r="CE15" s="742">
        <f t="shared" si="39"/>
        <v>0</v>
      </c>
      <c r="CF15" s="742">
        <f t="shared" si="40"/>
        <v>0</v>
      </c>
      <c r="CG15" s="742">
        <f t="shared" si="41"/>
        <v>0</v>
      </c>
      <c r="CH15" s="743">
        <f t="shared" si="42"/>
        <v>179283.0099</v>
      </c>
      <c r="CK15" s="724"/>
    </row>
    <row r="16" spans="2:89">
      <c r="B16" s="416" t="s">
        <v>343</v>
      </c>
      <c r="C16" s="449" t="s">
        <v>332</v>
      </c>
      <c r="D16" s="376" t="str">
        <f>IF(C16="","",INDEX('Side constraints'!$C$33:$C$92,MATCH('Prop DUOS'!C16,'Side constraints'!$E$33:$E$92,0),1))</f>
        <v>High Voltage</v>
      </c>
      <c r="E16" s="425">
        <v>0</v>
      </c>
      <c r="F16" s="426">
        <v>0</v>
      </c>
      <c r="G16" s="426">
        <v>0.78</v>
      </c>
      <c r="H16" s="426">
        <v>0.36</v>
      </c>
      <c r="I16" s="426">
        <v>0</v>
      </c>
      <c r="J16" s="426">
        <v>0</v>
      </c>
      <c r="K16" s="426">
        <v>0</v>
      </c>
      <c r="L16" s="426">
        <v>0</v>
      </c>
      <c r="M16" s="426">
        <v>0</v>
      </c>
      <c r="N16" s="426">
        <v>0</v>
      </c>
      <c r="O16" s="426">
        <v>9.8699999999999992</v>
      </c>
      <c r="P16" s="426">
        <v>0</v>
      </c>
      <c r="Q16" s="426">
        <v>0</v>
      </c>
      <c r="R16" s="606">
        <v>0</v>
      </c>
      <c r="S16" s="455">
        <v>0</v>
      </c>
      <c r="U16" s="437">
        <v>95</v>
      </c>
      <c r="V16" s="440">
        <v>0</v>
      </c>
      <c r="W16" s="440">
        <v>399717208.64517057</v>
      </c>
      <c r="X16" s="440">
        <v>623012247.97659087</v>
      </c>
      <c r="Y16" s="440">
        <v>0</v>
      </c>
      <c r="Z16" s="440">
        <v>0</v>
      </c>
      <c r="AA16" s="440">
        <v>0</v>
      </c>
      <c r="AB16" s="440">
        <v>0</v>
      </c>
      <c r="AC16" s="440">
        <v>0</v>
      </c>
      <c r="AD16" s="440">
        <v>0</v>
      </c>
      <c r="AE16" s="440">
        <v>274773.69</v>
      </c>
      <c r="AF16" s="440">
        <v>69117.120904109615</v>
      </c>
      <c r="AG16" s="440">
        <v>0</v>
      </c>
      <c r="AH16" s="612">
        <v>0</v>
      </c>
      <c r="AI16" s="441">
        <v>0</v>
      </c>
      <c r="AK16" s="749">
        <f>'t-1 DUOS'!D16</f>
        <v>22.34</v>
      </c>
      <c r="AL16" s="750">
        <f>'t-1 DUOS'!E16</f>
        <v>0</v>
      </c>
      <c r="AM16" s="750">
        <f>'t-1 DUOS'!F16</f>
        <v>0</v>
      </c>
      <c r="AN16" s="750">
        <f>'t-1 DUOS'!G16</f>
        <v>8.91</v>
      </c>
      <c r="AO16" s="750">
        <f>'t-1 DUOS'!H16</f>
        <v>0</v>
      </c>
      <c r="AP16" s="750">
        <f>'t-1 DUOS'!I16</f>
        <v>0</v>
      </c>
      <c r="AQ16" s="750">
        <f>'t-1 DUOS'!J16</f>
        <v>8.91</v>
      </c>
      <c r="AR16" s="750">
        <f>'t-1 DUOS'!K16</f>
        <v>1.68</v>
      </c>
      <c r="AS16" s="750">
        <f>'t-1 DUOS'!L16</f>
        <v>0</v>
      </c>
      <c r="AT16" s="750">
        <f>'t-1 DUOS'!M16</f>
        <v>0</v>
      </c>
      <c r="AU16" s="750">
        <f>'t-1 DUOS'!N16</f>
        <v>0</v>
      </c>
      <c r="AV16" s="750">
        <f>'t-1 DUOS'!O16</f>
        <v>0</v>
      </c>
      <c r="AW16" s="750">
        <f>'t-1 DUOS'!P16</f>
        <v>0</v>
      </c>
      <c r="AX16" s="751">
        <f>'t-1 DUOS'!Q16</f>
        <v>0</v>
      </c>
      <c r="AY16" s="752">
        <f>'t-1 DUOS'!R16</f>
        <v>0</v>
      </c>
      <c r="BA16" s="164">
        <f t="shared" si="12"/>
        <v>0</v>
      </c>
      <c r="BB16" s="165">
        <f t="shared" si="13"/>
        <v>0</v>
      </c>
      <c r="BC16" s="165">
        <f t="shared" si="14"/>
        <v>3117794.2274323306</v>
      </c>
      <c r="BD16" s="165">
        <f t="shared" si="15"/>
        <v>2242844.0927157272</v>
      </c>
      <c r="BE16" s="165">
        <f t="shared" si="16"/>
        <v>0</v>
      </c>
      <c r="BF16" s="165">
        <f t="shared" si="17"/>
        <v>0</v>
      </c>
      <c r="BG16" s="165">
        <f t="shared" si="18"/>
        <v>0</v>
      </c>
      <c r="BH16" s="165">
        <f t="shared" si="19"/>
        <v>0</v>
      </c>
      <c r="BI16" s="165">
        <f t="shared" si="19"/>
        <v>0</v>
      </c>
      <c r="BJ16" s="165">
        <f t="shared" si="20"/>
        <v>0</v>
      </c>
      <c r="BK16" s="165">
        <f t="shared" si="29"/>
        <v>9898859.5690949988</v>
      </c>
      <c r="BL16" s="165">
        <f t="shared" si="30"/>
        <v>0</v>
      </c>
      <c r="BM16" s="165">
        <f t="shared" si="31"/>
        <v>0</v>
      </c>
      <c r="BN16" s="165">
        <f t="shared" si="32"/>
        <v>0</v>
      </c>
      <c r="BO16" s="165">
        <f t="shared" si="33"/>
        <v>0</v>
      </c>
      <c r="BP16" s="166">
        <f t="shared" si="34"/>
        <v>15259497.889243057</v>
      </c>
      <c r="BQ16" s="603">
        <f t="shared" si="35"/>
        <v>3.7184669051061679E-2</v>
      </c>
      <c r="BS16" s="741">
        <f t="shared" si="21"/>
        <v>7746.3949999999995</v>
      </c>
      <c r="BT16" s="742">
        <f t="shared" si="36"/>
        <v>0</v>
      </c>
      <c r="BU16" s="742">
        <f t="shared" si="22"/>
        <v>0</v>
      </c>
      <c r="BV16" s="742">
        <f t="shared" si="23"/>
        <v>55510391.294714242</v>
      </c>
      <c r="BW16" s="742">
        <f t="shared" si="24"/>
        <v>0</v>
      </c>
      <c r="BX16" s="742">
        <f t="shared" si="25"/>
        <v>0</v>
      </c>
      <c r="BY16" s="742">
        <f t="shared" si="26"/>
        <v>0</v>
      </c>
      <c r="BZ16" s="742">
        <f t="shared" si="27"/>
        <v>0</v>
      </c>
      <c r="CA16" s="742">
        <f t="shared" si="27"/>
        <v>0</v>
      </c>
      <c r="CB16" s="742">
        <f t="shared" si="28"/>
        <v>0</v>
      </c>
      <c r="CC16" s="742">
        <f t="shared" si="37"/>
        <v>0</v>
      </c>
      <c r="CD16" s="742">
        <f t="shared" si="38"/>
        <v>0</v>
      </c>
      <c r="CE16" s="742">
        <f t="shared" si="39"/>
        <v>0</v>
      </c>
      <c r="CF16" s="742">
        <f t="shared" si="40"/>
        <v>0</v>
      </c>
      <c r="CG16" s="742">
        <f t="shared" si="41"/>
        <v>0</v>
      </c>
      <c r="CH16" s="743">
        <f t="shared" si="42"/>
        <v>55518137.689714245</v>
      </c>
      <c r="CK16" s="724"/>
    </row>
    <row r="17" spans="2:89">
      <c r="B17" s="416" t="s">
        <v>344</v>
      </c>
      <c r="C17" s="449" t="s">
        <v>333</v>
      </c>
      <c r="D17" s="376" t="str">
        <f>IF(C17="","",INDEX('Side constraints'!$C$33:$C$92,MATCH('Prop DUOS'!C17,'Side constraints'!$E$33:$E$92,0),1))</f>
        <v>Subtransmission</v>
      </c>
      <c r="E17" s="425">
        <v>0</v>
      </c>
      <c r="F17" s="426">
        <v>0</v>
      </c>
      <c r="G17" s="426">
        <v>0</v>
      </c>
      <c r="H17" s="426">
        <v>0</v>
      </c>
      <c r="I17" s="426">
        <v>0</v>
      </c>
      <c r="J17" s="426">
        <v>0</v>
      </c>
      <c r="K17" s="426">
        <v>0</v>
      </c>
      <c r="L17" s="426">
        <v>0</v>
      </c>
      <c r="M17" s="426">
        <v>0</v>
      </c>
      <c r="N17" s="426">
        <v>0</v>
      </c>
      <c r="O17" s="426">
        <v>2.41</v>
      </c>
      <c r="P17" s="426">
        <v>0</v>
      </c>
      <c r="Q17" s="426">
        <v>0</v>
      </c>
      <c r="R17" s="606">
        <v>0</v>
      </c>
      <c r="S17" s="455">
        <v>0</v>
      </c>
      <c r="U17" s="437">
        <v>1</v>
      </c>
      <c r="V17" s="440">
        <v>0</v>
      </c>
      <c r="W17" s="440">
        <v>13659712.5</v>
      </c>
      <c r="X17" s="440">
        <v>10782361.5</v>
      </c>
      <c r="Y17" s="440">
        <v>0</v>
      </c>
      <c r="Z17" s="440">
        <v>0</v>
      </c>
      <c r="AA17" s="440">
        <v>0</v>
      </c>
      <c r="AB17" s="440">
        <v>0</v>
      </c>
      <c r="AC17" s="440">
        <v>0</v>
      </c>
      <c r="AD17" s="440">
        <v>0</v>
      </c>
      <c r="AE17" s="440">
        <v>9906.8700000000026</v>
      </c>
      <c r="AF17" s="440">
        <v>2788.267561643836</v>
      </c>
      <c r="AG17" s="440">
        <v>0</v>
      </c>
      <c r="AH17" s="612">
        <v>0</v>
      </c>
      <c r="AI17" s="441">
        <v>0</v>
      </c>
      <c r="AK17" s="749">
        <f>'t-1 DUOS'!D17</f>
        <v>0</v>
      </c>
      <c r="AL17" s="750">
        <f>'t-1 DUOS'!E17</f>
        <v>0</v>
      </c>
      <c r="AM17" s="750">
        <f>'t-1 DUOS'!F17</f>
        <v>0</v>
      </c>
      <c r="AN17" s="750">
        <f>'t-1 DUOS'!G17</f>
        <v>7.26</v>
      </c>
      <c r="AO17" s="750">
        <f>'t-1 DUOS'!H17</f>
        <v>0</v>
      </c>
      <c r="AP17" s="750">
        <f>'t-1 DUOS'!I17</f>
        <v>0</v>
      </c>
      <c r="AQ17" s="750">
        <f>'t-1 DUOS'!J17</f>
        <v>7.26</v>
      </c>
      <c r="AR17" s="750">
        <f>'t-1 DUOS'!K17</f>
        <v>1.69</v>
      </c>
      <c r="AS17" s="750">
        <f>'t-1 DUOS'!L17</f>
        <v>0</v>
      </c>
      <c r="AT17" s="750">
        <f>'t-1 DUOS'!M17</f>
        <v>0</v>
      </c>
      <c r="AU17" s="750">
        <f>'t-1 DUOS'!N17</f>
        <v>0</v>
      </c>
      <c r="AV17" s="750">
        <f>'t-1 DUOS'!O17</f>
        <v>34.79</v>
      </c>
      <c r="AW17" s="750">
        <f>'t-1 DUOS'!P17</f>
        <v>0</v>
      </c>
      <c r="AX17" s="751">
        <f>'t-1 DUOS'!Q17</f>
        <v>0</v>
      </c>
      <c r="AY17" s="752">
        <f>'t-1 DUOS'!R17</f>
        <v>0</v>
      </c>
      <c r="BA17" s="164">
        <f t="shared" si="12"/>
        <v>0</v>
      </c>
      <c r="BB17" s="165">
        <f t="shared" si="13"/>
        <v>0</v>
      </c>
      <c r="BC17" s="165">
        <f t="shared" si="14"/>
        <v>0</v>
      </c>
      <c r="BD17" s="165">
        <f t="shared" si="15"/>
        <v>0</v>
      </c>
      <c r="BE17" s="165">
        <f t="shared" si="16"/>
        <v>0</v>
      </c>
      <c r="BF17" s="165">
        <f t="shared" si="17"/>
        <v>0</v>
      </c>
      <c r="BG17" s="165">
        <f t="shared" si="18"/>
        <v>0</v>
      </c>
      <c r="BH17" s="165">
        <f t="shared" si="19"/>
        <v>0</v>
      </c>
      <c r="BI17" s="165">
        <f t="shared" si="19"/>
        <v>0</v>
      </c>
      <c r="BJ17" s="165">
        <f t="shared" si="20"/>
        <v>0</v>
      </c>
      <c r="BK17" s="165">
        <f t="shared" si="29"/>
        <v>87145.781955000013</v>
      </c>
      <c r="BL17" s="165">
        <f t="shared" si="30"/>
        <v>0</v>
      </c>
      <c r="BM17" s="165">
        <f t="shared" si="31"/>
        <v>0</v>
      </c>
      <c r="BN17" s="165">
        <f t="shared" si="32"/>
        <v>0</v>
      </c>
      <c r="BO17" s="165">
        <f t="shared" si="33"/>
        <v>0</v>
      </c>
      <c r="BP17" s="166">
        <f t="shared" si="34"/>
        <v>87145.781955000013</v>
      </c>
      <c r="BQ17" s="603">
        <f t="shared" si="35"/>
        <v>2.1235869520169396E-4</v>
      </c>
      <c r="BS17" s="741">
        <f t="shared" si="21"/>
        <v>0</v>
      </c>
      <c r="BT17" s="742">
        <f t="shared" si="36"/>
        <v>0</v>
      </c>
      <c r="BU17" s="742">
        <f t="shared" si="22"/>
        <v>0</v>
      </c>
      <c r="BV17" s="742">
        <f t="shared" si="23"/>
        <v>782799.4449</v>
      </c>
      <c r="BW17" s="742">
        <f t="shared" si="24"/>
        <v>0</v>
      </c>
      <c r="BX17" s="742">
        <f t="shared" si="25"/>
        <v>0</v>
      </c>
      <c r="BY17" s="742">
        <f t="shared" si="26"/>
        <v>0</v>
      </c>
      <c r="BZ17" s="742">
        <f t="shared" si="27"/>
        <v>0</v>
      </c>
      <c r="CA17" s="742">
        <f t="shared" si="27"/>
        <v>0</v>
      </c>
      <c r="CB17" s="742">
        <f t="shared" si="28"/>
        <v>0</v>
      </c>
      <c r="CC17" s="742">
        <f t="shared" si="37"/>
        <v>0</v>
      </c>
      <c r="CD17" s="742">
        <f t="shared" si="38"/>
        <v>354063.97391400003</v>
      </c>
      <c r="CE17" s="742">
        <f t="shared" si="39"/>
        <v>0</v>
      </c>
      <c r="CF17" s="742">
        <f t="shared" si="40"/>
        <v>0</v>
      </c>
      <c r="CG17" s="742">
        <f t="shared" si="41"/>
        <v>0</v>
      </c>
      <c r="CH17" s="743">
        <f t="shared" si="42"/>
        <v>1136863.418814</v>
      </c>
      <c r="CK17" s="724"/>
    </row>
    <row r="18" spans="2:89">
      <c r="B18" s="416"/>
      <c r="C18" s="449"/>
      <c r="D18" s="376" t="str">
        <f>IF(C18="","",INDEX('Side constraints'!$C$33:$C$92,MATCH('Prop DUOS'!C18,'Side constraints'!$E$33:$E$92,0),1))</f>
        <v/>
      </c>
      <c r="E18" s="425"/>
      <c r="F18" s="426"/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606"/>
      <c r="S18" s="427"/>
      <c r="U18" s="437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612"/>
      <c r="AI18" s="441"/>
      <c r="AK18" s="749">
        <f>'t-1 DUOS'!D18</f>
        <v>0</v>
      </c>
      <c r="AL18" s="750">
        <f>'t-1 DUOS'!E18</f>
        <v>0</v>
      </c>
      <c r="AM18" s="750">
        <f>'t-1 DUOS'!F18</f>
        <v>0</v>
      </c>
      <c r="AN18" s="750">
        <f>'t-1 DUOS'!G18</f>
        <v>5.91</v>
      </c>
      <c r="AO18" s="750">
        <f>'t-1 DUOS'!H18</f>
        <v>0</v>
      </c>
      <c r="AP18" s="750">
        <f>'t-1 DUOS'!I18</f>
        <v>0</v>
      </c>
      <c r="AQ18" s="750">
        <f>'t-1 DUOS'!J18</f>
        <v>5.91</v>
      </c>
      <c r="AR18" s="750">
        <f>'t-1 DUOS'!K18</f>
        <v>1.34</v>
      </c>
      <c r="AS18" s="750">
        <f>'t-1 DUOS'!L18</f>
        <v>0</v>
      </c>
      <c r="AT18" s="750">
        <f>'t-1 DUOS'!M18</f>
        <v>0</v>
      </c>
      <c r="AU18" s="750">
        <f>'t-1 DUOS'!N18</f>
        <v>0</v>
      </c>
      <c r="AV18" s="750">
        <f>'t-1 DUOS'!O18</f>
        <v>52.1</v>
      </c>
      <c r="AW18" s="750">
        <f>'t-1 DUOS'!P18</f>
        <v>0</v>
      </c>
      <c r="AX18" s="751">
        <f>'t-1 DUOS'!Q18</f>
        <v>0</v>
      </c>
      <c r="AY18" s="752">
        <f>'t-1 DUOS'!R18</f>
        <v>0</v>
      </c>
      <c r="BA18" s="164">
        <f>IF($E$69="cents",E18/100,E18)*IF($E$71="day",U18*$D$74,U18)</f>
        <v>0</v>
      </c>
      <c r="BB18" s="165">
        <f t="shared" ref="BB18:BI18" si="43">IF(F$69="cents",F18/100,F18)*V18</f>
        <v>0</v>
      </c>
      <c r="BC18" s="165">
        <f t="shared" si="43"/>
        <v>0</v>
      </c>
      <c r="BD18" s="165">
        <f t="shared" si="43"/>
        <v>0</v>
      </c>
      <c r="BE18" s="165">
        <f t="shared" si="43"/>
        <v>0</v>
      </c>
      <c r="BF18" s="165">
        <f t="shared" si="43"/>
        <v>0</v>
      </c>
      <c r="BG18" s="165">
        <f t="shared" si="43"/>
        <v>0</v>
      </c>
      <c r="BH18" s="165">
        <f t="shared" si="43"/>
        <v>0</v>
      </c>
      <c r="BI18" s="165">
        <f t="shared" si="43"/>
        <v>0</v>
      </c>
      <c r="BJ18" s="165">
        <f t="shared" ref="BJ18" si="44">IF(N$69="cents",N18/100,N18)*AD18</f>
        <v>0</v>
      </c>
      <c r="BK18" s="165">
        <f t="shared" si="29"/>
        <v>0</v>
      </c>
      <c r="BL18" s="165">
        <f t="shared" si="30"/>
        <v>0</v>
      </c>
      <c r="BM18" s="165">
        <f t="shared" si="31"/>
        <v>0</v>
      </c>
      <c r="BN18" s="165">
        <f t="shared" si="32"/>
        <v>0</v>
      </c>
      <c r="BO18" s="165">
        <f t="shared" si="33"/>
        <v>0</v>
      </c>
      <c r="BP18" s="166">
        <f t="shared" si="34"/>
        <v>0</v>
      </c>
      <c r="BQ18" s="603" t="str">
        <f t="shared" si="35"/>
        <v/>
      </c>
      <c r="BS18" s="164">
        <f t="shared" si="21"/>
        <v>0</v>
      </c>
      <c r="BT18" s="165">
        <f t="shared" ref="BT18:CA18" si="45">IF(F$69="cents",AL18/100,AL18)*V18</f>
        <v>0</v>
      </c>
      <c r="BU18" s="165">
        <f t="shared" si="45"/>
        <v>0</v>
      </c>
      <c r="BV18" s="165">
        <f t="shared" si="45"/>
        <v>0</v>
      </c>
      <c r="BW18" s="165">
        <f t="shared" si="45"/>
        <v>0</v>
      </c>
      <c r="BX18" s="165">
        <f t="shared" si="45"/>
        <v>0</v>
      </c>
      <c r="BY18" s="165">
        <f t="shared" si="45"/>
        <v>0</v>
      </c>
      <c r="BZ18" s="165">
        <f t="shared" si="45"/>
        <v>0</v>
      </c>
      <c r="CA18" s="165">
        <f t="shared" si="45"/>
        <v>0</v>
      </c>
      <c r="CB18" s="165">
        <f t="shared" ref="CB18" si="46">IF(N$69="cents",AT18/100,AT18)*AD18</f>
        <v>0</v>
      </c>
      <c r="CC18" s="165">
        <f t="shared" si="37"/>
        <v>0</v>
      </c>
      <c r="CD18" s="165">
        <f t="shared" si="38"/>
        <v>0</v>
      </c>
      <c r="CE18" s="165">
        <f t="shared" si="39"/>
        <v>0</v>
      </c>
      <c r="CF18" s="165">
        <f t="shared" si="40"/>
        <v>0</v>
      </c>
      <c r="CG18" s="165">
        <f t="shared" si="41"/>
        <v>0</v>
      </c>
      <c r="CH18" s="166">
        <f t="shared" si="42"/>
        <v>0</v>
      </c>
    </row>
    <row r="19" spans="2:89">
      <c r="B19" s="416"/>
      <c r="C19" s="449"/>
      <c r="D19" s="376" t="str">
        <f>IF(C19="","",INDEX('Side constraints'!$C$33:$C$92,MATCH('Prop DUOS'!C19,'Side constraints'!$D$33:$D$92,0),1))</f>
        <v/>
      </c>
      <c r="E19" s="425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/>
      <c r="Q19" s="426"/>
      <c r="R19" s="606"/>
      <c r="S19" s="427"/>
      <c r="U19" s="437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612"/>
      <c r="AI19" s="441"/>
      <c r="AK19" s="749">
        <f>'t-1 DUOS'!D19</f>
        <v>0</v>
      </c>
      <c r="AL19" s="750">
        <f>'t-1 DUOS'!E19</f>
        <v>0</v>
      </c>
      <c r="AM19" s="750">
        <f>'t-1 DUOS'!F19</f>
        <v>0</v>
      </c>
      <c r="AN19" s="750">
        <f>'t-1 DUOS'!G19</f>
        <v>1.24</v>
      </c>
      <c r="AO19" s="750">
        <f>'t-1 DUOS'!H19</f>
        <v>0</v>
      </c>
      <c r="AP19" s="750">
        <f>'t-1 DUOS'!I19</f>
        <v>0</v>
      </c>
      <c r="AQ19" s="750">
        <f>'t-1 DUOS'!J19</f>
        <v>1.24</v>
      </c>
      <c r="AR19" s="750">
        <f>'t-1 DUOS'!K19</f>
        <v>1.04</v>
      </c>
      <c r="AS19" s="750">
        <f>'t-1 DUOS'!L19</f>
        <v>0</v>
      </c>
      <c r="AT19" s="750">
        <f>'t-1 DUOS'!M19</f>
        <v>0</v>
      </c>
      <c r="AU19" s="750">
        <f>'t-1 DUOS'!N19</f>
        <v>12.47</v>
      </c>
      <c r="AV19" s="750">
        <f>'t-1 DUOS'!O19</f>
        <v>18.64</v>
      </c>
      <c r="AW19" s="750">
        <f>'t-1 DUOS'!P19</f>
        <v>0</v>
      </c>
      <c r="AX19" s="751">
        <f>'t-1 DUOS'!Q19</f>
        <v>0</v>
      </c>
      <c r="AY19" s="752">
        <f>'t-1 DUOS'!R19</f>
        <v>0</v>
      </c>
      <c r="BA19" s="164">
        <f t="shared" ref="BA19:BA66" si="47">IF($E$69="cents",E19/100,E19)*IF($E$71="day",U19*$D$74,U19)</f>
        <v>0</v>
      </c>
      <c r="BB19" s="165">
        <f t="shared" ref="BB19:BB66" si="48">IF(F$69="cents",F19/100,F19)*V19</f>
        <v>0</v>
      </c>
      <c r="BC19" s="165">
        <f t="shared" ref="BC19:BC66" si="49">IF(G$69="cents",G19/100,G19)*W19</f>
        <v>0</v>
      </c>
      <c r="BD19" s="165">
        <f t="shared" ref="BD19:BD66" si="50">IF(H$69="cents",H19/100,H19)*X19</f>
        <v>0</v>
      </c>
      <c r="BE19" s="165">
        <f t="shared" ref="BE19:BE66" si="51">IF(I$69="cents",I19/100,I19)*Y19</f>
        <v>0</v>
      </c>
      <c r="BF19" s="165">
        <f t="shared" ref="BF19:BF66" si="52">IF(J$69="cents",J19/100,J19)*Z19</f>
        <v>0</v>
      </c>
      <c r="BG19" s="165">
        <f t="shared" ref="BG19:BG66" si="53">IF(K$69="cents",K19/100,K19)*AA19</f>
        <v>0</v>
      </c>
      <c r="BH19" s="165">
        <f t="shared" ref="BH19:BI66" si="54">IF(L$69="cents",L19/100,L19)*AB19</f>
        <v>0</v>
      </c>
      <c r="BI19" s="165">
        <f t="shared" si="54"/>
        <v>0</v>
      </c>
      <c r="BJ19" s="165">
        <f t="shared" ref="BJ19:BJ66" si="55">IF(N$69="cents",N19/100,N19)*AD19</f>
        <v>0</v>
      </c>
      <c r="BK19" s="165">
        <f t="shared" si="29"/>
        <v>0</v>
      </c>
      <c r="BL19" s="165">
        <f t="shared" si="30"/>
        <v>0</v>
      </c>
      <c r="BM19" s="165">
        <f t="shared" si="31"/>
        <v>0</v>
      </c>
      <c r="BN19" s="165">
        <f t="shared" si="32"/>
        <v>0</v>
      </c>
      <c r="BO19" s="165">
        <f t="shared" si="33"/>
        <v>0</v>
      </c>
      <c r="BP19" s="166">
        <f t="shared" si="34"/>
        <v>0</v>
      </c>
      <c r="BQ19" s="603" t="str">
        <f t="shared" si="35"/>
        <v/>
      </c>
      <c r="BS19" s="164">
        <f t="shared" ref="BS19:BS66" si="56">IF($E$69="cents",AK19/100,AK19)*IF($E$71="day",U19*$D$74,U19)</f>
        <v>0</v>
      </c>
      <c r="BT19" s="165">
        <f t="shared" ref="BT19:BT66" si="57">IF(F$69="cents",AL19/100,AL19)*V19</f>
        <v>0</v>
      </c>
      <c r="BU19" s="165">
        <f t="shared" ref="BU19:BU66" si="58">IF(G$69="cents",AM19/100,AM19)*W19</f>
        <v>0</v>
      </c>
      <c r="BV19" s="165">
        <f t="shared" ref="BV19:BV66" si="59">IF(H$69="cents",AN19/100,AN19)*X19</f>
        <v>0</v>
      </c>
      <c r="BW19" s="165">
        <f t="shared" ref="BW19:BW66" si="60">IF(I$69="cents",AO19/100,AO19)*Y19</f>
        <v>0</v>
      </c>
      <c r="BX19" s="165">
        <f t="shared" ref="BX19:BX66" si="61">IF(J$69="cents",AP19/100,AP19)*Z19</f>
        <v>0</v>
      </c>
      <c r="BY19" s="165">
        <f t="shared" ref="BY19:BY66" si="62">IF(K$69="cents",AQ19/100,AQ19)*AA19</f>
        <v>0</v>
      </c>
      <c r="BZ19" s="165">
        <f t="shared" ref="BZ19:CA66" si="63">IF(L$69="cents",AR19/100,AR19)*AB19</f>
        <v>0</v>
      </c>
      <c r="CA19" s="165">
        <f t="shared" si="63"/>
        <v>0</v>
      </c>
      <c r="CB19" s="165">
        <f t="shared" ref="CB19:CB66" si="64">IF(N$69="cents",AT19/100,AT19)*AD19</f>
        <v>0</v>
      </c>
      <c r="CC19" s="165">
        <f t="shared" si="37"/>
        <v>0</v>
      </c>
      <c r="CD19" s="165">
        <f t="shared" si="38"/>
        <v>0</v>
      </c>
      <c r="CE19" s="165">
        <f t="shared" si="39"/>
        <v>0</v>
      </c>
      <c r="CF19" s="165">
        <f t="shared" si="40"/>
        <v>0</v>
      </c>
      <c r="CG19" s="165">
        <f t="shared" si="41"/>
        <v>0</v>
      </c>
      <c r="CH19" s="166">
        <f t="shared" si="42"/>
        <v>0</v>
      </c>
    </row>
    <row r="20" spans="2:89">
      <c r="B20" s="416"/>
      <c r="C20" s="449"/>
      <c r="D20" s="376" t="str">
        <f>IF(C20="","",INDEX('Side constraints'!$C$33:$C$92,MATCH('Prop DUOS'!C20,'Side constraints'!$D$33:$D$92,0),1))</f>
        <v/>
      </c>
      <c r="E20" s="425"/>
      <c r="F20" s="426"/>
      <c r="G20" s="426"/>
      <c r="H20" s="426"/>
      <c r="I20" s="426"/>
      <c r="J20" s="426"/>
      <c r="K20" s="426"/>
      <c r="L20" s="426"/>
      <c r="M20" s="426"/>
      <c r="N20" s="426"/>
      <c r="O20" s="426"/>
      <c r="P20" s="426"/>
      <c r="Q20" s="426"/>
      <c r="R20" s="606"/>
      <c r="S20" s="427"/>
      <c r="U20" s="437"/>
      <c r="V20" s="440"/>
      <c r="W20" s="440"/>
      <c r="X20" s="440"/>
      <c r="Y20" s="440"/>
      <c r="Z20" s="440"/>
      <c r="AA20" s="440"/>
      <c r="AB20" s="440"/>
      <c r="AC20" s="440"/>
      <c r="AD20" s="440"/>
      <c r="AE20" s="440"/>
      <c r="AF20" s="440"/>
      <c r="AG20" s="440"/>
      <c r="AH20" s="612"/>
      <c r="AI20" s="441"/>
      <c r="AK20" s="749">
        <f>'t-1 DUOS'!D20</f>
        <v>0</v>
      </c>
      <c r="AL20" s="750">
        <f>'t-1 DUOS'!E20</f>
        <v>0</v>
      </c>
      <c r="AM20" s="750">
        <f>'t-1 DUOS'!F20</f>
        <v>0</v>
      </c>
      <c r="AN20" s="750">
        <f>'t-1 DUOS'!G20</f>
        <v>0.74</v>
      </c>
      <c r="AO20" s="750">
        <f>'t-1 DUOS'!H20</f>
        <v>0</v>
      </c>
      <c r="AP20" s="750">
        <f>'t-1 DUOS'!I20</f>
        <v>0</v>
      </c>
      <c r="AQ20" s="750">
        <f>'t-1 DUOS'!J20</f>
        <v>0.74</v>
      </c>
      <c r="AR20" s="750">
        <f>'t-1 DUOS'!K20</f>
        <v>0.64</v>
      </c>
      <c r="AS20" s="750">
        <f>'t-1 DUOS'!L20</f>
        <v>0</v>
      </c>
      <c r="AT20" s="750">
        <f>'t-1 DUOS'!M20</f>
        <v>0</v>
      </c>
      <c r="AU20" s="750">
        <f>'t-1 DUOS'!N20</f>
        <v>7.49</v>
      </c>
      <c r="AV20" s="750">
        <f>'t-1 DUOS'!O20</f>
        <v>10.29</v>
      </c>
      <c r="AW20" s="750">
        <f>'t-1 DUOS'!P20</f>
        <v>0</v>
      </c>
      <c r="AX20" s="751">
        <f>'t-1 DUOS'!Q20</f>
        <v>0</v>
      </c>
      <c r="AY20" s="752">
        <f>'t-1 DUOS'!R20</f>
        <v>0</v>
      </c>
      <c r="BA20" s="164">
        <f t="shared" si="47"/>
        <v>0</v>
      </c>
      <c r="BB20" s="165">
        <f t="shared" si="48"/>
        <v>0</v>
      </c>
      <c r="BC20" s="165">
        <f t="shared" si="49"/>
        <v>0</v>
      </c>
      <c r="BD20" s="165">
        <f t="shared" si="50"/>
        <v>0</v>
      </c>
      <c r="BE20" s="165">
        <f t="shared" si="51"/>
        <v>0</v>
      </c>
      <c r="BF20" s="165">
        <f t="shared" si="52"/>
        <v>0</v>
      </c>
      <c r="BG20" s="165">
        <f t="shared" si="53"/>
        <v>0</v>
      </c>
      <c r="BH20" s="165">
        <f t="shared" si="54"/>
        <v>0</v>
      </c>
      <c r="BI20" s="165">
        <f t="shared" si="54"/>
        <v>0</v>
      </c>
      <c r="BJ20" s="165">
        <f t="shared" si="55"/>
        <v>0</v>
      </c>
      <c r="BK20" s="165">
        <f t="shared" si="29"/>
        <v>0</v>
      </c>
      <c r="BL20" s="165">
        <f t="shared" si="30"/>
        <v>0</v>
      </c>
      <c r="BM20" s="165">
        <f t="shared" si="31"/>
        <v>0</v>
      </c>
      <c r="BN20" s="165">
        <f t="shared" si="32"/>
        <v>0</v>
      </c>
      <c r="BO20" s="165">
        <f t="shared" si="33"/>
        <v>0</v>
      </c>
      <c r="BP20" s="166">
        <f t="shared" si="34"/>
        <v>0</v>
      </c>
      <c r="BQ20" s="603" t="str">
        <f t="shared" si="35"/>
        <v/>
      </c>
      <c r="BS20" s="164">
        <f t="shared" si="56"/>
        <v>0</v>
      </c>
      <c r="BT20" s="165">
        <f t="shared" si="57"/>
        <v>0</v>
      </c>
      <c r="BU20" s="165">
        <f t="shared" si="58"/>
        <v>0</v>
      </c>
      <c r="BV20" s="165">
        <f t="shared" si="59"/>
        <v>0</v>
      </c>
      <c r="BW20" s="165">
        <f t="shared" si="60"/>
        <v>0</v>
      </c>
      <c r="BX20" s="165">
        <f t="shared" si="61"/>
        <v>0</v>
      </c>
      <c r="BY20" s="165">
        <f t="shared" si="62"/>
        <v>0</v>
      </c>
      <c r="BZ20" s="165">
        <f t="shared" si="63"/>
        <v>0</v>
      </c>
      <c r="CA20" s="165">
        <f t="shared" si="63"/>
        <v>0</v>
      </c>
      <c r="CB20" s="165">
        <f t="shared" si="64"/>
        <v>0</v>
      </c>
      <c r="CC20" s="165">
        <f t="shared" si="37"/>
        <v>0</v>
      </c>
      <c r="CD20" s="165">
        <f t="shared" si="38"/>
        <v>0</v>
      </c>
      <c r="CE20" s="165">
        <f t="shared" si="39"/>
        <v>0</v>
      </c>
      <c r="CF20" s="165">
        <f t="shared" si="40"/>
        <v>0</v>
      </c>
      <c r="CG20" s="165">
        <f t="shared" si="41"/>
        <v>0</v>
      </c>
      <c r="CH20" s="166">
        <f t="shared" si="42"/>
        <v>0</v>
      </c>
    </row>
    <row r="21" spans="2:89">
      <c r="B21" s="416"/>
      <c r="C21" s="449"/>
      <c r="D21" s="376" t="str">
        <f>IF(C21="","",INDEX('Side constraints'!$C$33:$C$92,MATCH('Prop DUOS'!C21,'Side constraints'!$D$33:$D$92,0),1))</f>
        <v/>
      </c>
      <c r="E21" s="425"/>
      <c r="F21" s="426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606"/>
      <c r="S21" s="427"/>
      <c r="U21" s="437"/>
      <c r="V21" s="440"/>
      <c r="W21" s="440"/>
      <c r="X21" s="440"/>
      <c r="Y21" s="440"/>
      <c r="Z21" s="440"/>
      <c r="AA21" s="440"/>
      <c r="AB21" s="440"/>
      <c r="AC21" s="440"/>
      <c r="AD21" s="440"/>
      <c r="AE21" s="440"/>
      <c r="AF21" s="440"/>
      <c r="AG21" s="440"/>
      <c r="AH21" s="612"/>
      <c r="AI21" s="441"/>
      <c r="AK21" s="749">
        <f>'t-1 DUOS'!D21</f>
        <v>0</v>
      </c>
      <c r="AL21" s="750">
        <f>'t-1 DUOS'!E21</f>
        <v>0</v>
      </c>
      <c r="AM21" s="750">
        <f>'t-1 DUOS'!F21</f>
        <v>0</v>
      </c>
      <c r="AN21" s="750">
        <f>'t-1 DUOS'!G21</f>
        <v>0.43</v>
      </c>
      <c r="AO21" s="750">
        <f>'t-1 DUOS'!H21</f>
        <v>0</v>
      </c>
      <c r="AP21" s="750">
        <f>'t-1 DUOS'!I21</f>
        <v>0</v>
      </c>
      <c r="AQ21" s="750">
        <f>'t-1 DUOS'!J21</f>
        <v>0.43</v>
      </c>
      <c r="AR21" s="750">
        <f>'t-1 DUOS'!K21</f>
        <v>0.29000000000000004</v>
      </c>
      <c r="AS21" s="750">
        <f>'t-1 DUOS'!L21</f>
        <v>0</v>
      </c>
      <c r="AT21" s="750">
        <f>'t-1 DUOS'!M21</f>
        <v>0</v>
      </c>
      <c r="AU21" s="750">
        <f>'t-1 DUOS'!N21</f>
        <v>0.76</v>
      </c>
      <c r="AV21" s="750">
        <f>'t-1 DUOS'!O21</f>
        <v>1.1000000000000001</v>
      </c>
      <c r="AW21" s="750">
        <f>'t-1 DUOS'!P21</f>
        <v>0</v>
      </c>
      <c r="AX21" s="751">
        <f>'t-1 DUOS'!Q21</f>
        <v>0</v>
      </c>
      <c r="AY21" s="752">
        <f>'t-1 DUOS'!R21</f>
        <v>0</v>
      </c>
      <c r="BA21" s="164">
        <f t="shared" si="47"/>
        <v>0</v>
      </c>
      <c r="BB21" s="165">
        <f t="shared" si="48"/>
        <v>0</v>
      </c>
      <c r="BC21" s="165">
        <f t="shared" si="49"/>
        <v>0</v>
      </c>
      <c r="BD21" s="165">
        <f t="shared" si="50"/>
        <v>0</v>
      </c>
      <c r="BE21" s="165">
        <f t="shared" si="51"/>
        <v>0</v>
      </c>
      <c r="BF21" s="165">
        <f t="shared" si="52"/>
        <v>0</v>
      </c>
      <c r="BG21" s="165">
        <f t="shared" si="53"/>
        <v>0</v>
      </c>
      <c r="BH21" s="165">
        <f t="shared" si="54"/>
        <v>0</v>
      </c>
      <c r="BI21" s="165">
        <f t="shared" si="54"/>
        <v>0</v>
      </c>
      <c r="BJ21" s="165">
        <f t="shared" si="55"/>
        <v>0</v>
      </c>
      <c r="BK21" s="165">
        <f t="shared" si="29"/>
        <v>0</v>
      </c>
      <c r="BL21" s="165">
        <f t="shared" si="30"/>
        <v>0</v>
      </c>
      <c r="BM21" s="165">
        <f t="shared" si="31"/>
        <v>0</v>
      </c>
      <c r="BN21" s="165">
        <f t="shared" si="32"/>
        <v>0</v>
      </c>
      <c r="BO21" s="165">
        <f t="shared" si="33"/>
        <v>0</v>
      </c>
      <c r="BP21" s="166">
        <f t="shared" si="34"/>
        <v>0</v>
      </c>
      <c r="BQ21" s="603" t="str">
        <f t="shared" si="35"/>
        <v/>
      </c>
      <c r="BS21" s="164">
        <f t="shared" si="56"/>
        <v>0</v>
      </c>
      <c r="BT21" s="165">
        <f t="shared" si="57"/>
        <v>0</v>
      </c>
      <c r="BU21" s="165">
        <f t="shared" si="58"/>
        <v>0</v>
      </c>
      <c r="BV21" s="165">
        <f t="shared" si="59"/>
        <v>0</v>
      </c>
      <c r="BW21" s="165">
        <f t="shared" si="60"/>
        <v>0</v>
      </c>
      <c r="BX21" s="165">
        <f t="shared" si="61"/>
        <v>0</v>
      </c>
      <c r="BY21" s="165">
        <f t="shared" si="62"/>
        <v>0</v>
      </c>
      <c r="BZ21" s="165">
        <f t="shared" si="63"/>
        <v>0</v>
      </c>
      <c r="CA21" s="165">
        <f t="shared" si="63"/>
        <v>0</v>
      </c>
      <c r="CB21" s="165">
        <f t="shared" si="64"/>
        <v>0</v>
      </c>
      <c r="CC21" s="165">
        <f t="shared" si="37"/>
        <v>0</v>
      </c>
      <c r="CD21" s="165">
        <f t="shared" si="38"/>
        <v>0</v>
      </c>
      <c r="CE21" s="165">
        <f t="shared" si="39"/>
        <v>0</v>
      </c>
      <c r="CF21" s="165">
        <f t="shared" si="40"/>
        <v>0</v>
      </c>
      <c r="CG21" s="165">
        <f t="shared" si="41"/>
        <v>0</v>
      </c>
      <c r="CH21" s="166">
        <f t="shared" si="42"/>
        <v>0</v>
      </c>
    </row>
    <row r="22" spans="2:89">
      <c r="B22" s="416"/>
      <c r="C22" s="449"/>
      <c r="D22" s="376" t="str">
        <f>IF(C22="","",INDEX('Side constraints'!$C$33:$C$92,MATCH('Prop DUOS'!C22,'Side constraints'!$D$33:$D$92,0),1))</f>
        <v/>
      </c>
      <c r="E22" s="425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26"/>
      <c r="R22" s="606"/>
      <c r="S22" s="427"/>
      <c r="U22" s="437"/>
      <c r="V22" s="440"/>
      <c r="W22" s="440"/>
      <c r="X22" s="440"/>
      <c r="Y22" s="440"/>
      <c r="Z22" s="440"/>
      <c r="AA22" s="440"/>
      <c r="AB22" s="440"/>
      <c r="AC22" s="440"/>
      <c r="AD22" s="440"/>
      <c r="AE22" s="440"/>
      <c r="AF22" s="440"/>
      <c r="AG22" s="440"/>
      <c r="AH22" s="612"/>
      <c r="AI22" s="441"/>
      <c r="AK22" s="749">
        <f>'t-1 DUOS'!D22</f>
        <v>10.95</v>
      </c>
      <c r="AL22" s="750">
        <f>'t-1 DUOS'!E22</f>
        <v>0</v>
      </c>
      <c r="AM22" s="750">
        <f>'t-1 DUOS'!F22</f>
        <v>3.37</v>
      </c>
      <c r="AN22" s="750">
        <f>'t-1 DUOS'!G22</f>
        <v>10.62</v>
      </c>
      <c r="AO22" s="750">
        <f>'t-1 DUOS'!H22</f>
        <v>0</v>
      </c>
      <c r="AP22" s="750">
        <f>'t-1 DUOS'!I22</f>
        <v>0</v>
      </c>
      <c r="AQ22" s="750">
        <f>'t-1 DUOS'!J22</f>
        <v>10.62</v>
      </c>
      <c r="AR22" s="750">
        <f>'t-1 DUOS'!K22</f>
        <v>2.79</v>
      </c>
      <c r="AS22" s="750">
        <f>'t-1 DUOS'!L22</f>
        <v>3.37</v>
      </c>
      <c r="AT22" s="750">
        <f>'t-1 DUOS'!M22</f>
        <v>0</v>
      </c>
      <c r="AU22" s="750">
        <f>'t-1 DUOS'!N22</f>
        <v>0</v>
      </c>
      <c r="AV22" s="750">
        <f>'t-1 DUOS'!O22</f>
        <v>0</v>
      </c>
      <c r="AW22" s="750">
        <f>'t-1 DUOS'!P22</f>
        <v>0</v>
      </c>
      <c r="AX22" s="751">
        <f>'t-1 DUOS'!Q22</f>
        <v>0</v>
      </c>
      <c r="AY22" s="752">
        <f>'t-1 DUOS'!R22</f>
        <v>0</v>
      </c>
      <c r="BA22" s="164">
        <f t="shared" si="47"/>
        <v>0</v>
      </c>
      <c r="BB22" s="165">
        <f t="shared" si="48"/>
        <v>0</v>
      </c>
      <c r="BC22" s="165">
        <f t="shared" si="49"/>
        <v>0</v>
      </c>
      <c r="BD22" s="165">
        <f t="shared" si="50"/>
        <v>0</v>
      </c>
      <c r="BE22" s="165">
        <f t="shared" si="51"/>
        <v>0</v>
      </c>
      <c r="BF22" s="165">
        <f t="shared" si="52"/>
        <v>0</v>
      </c>
      <c r="BG22" s="165">
        <f t="shared" si="53"/>
        <v>0</v>
      </c>
      <c r="BH22" s="165">
        <f t="shared" si="54"/>
        <v>0</v>
      </c>
      <c r="BI22" s="165">
        <f t="shared" si="54"/>
        <v>0</v>
      </c>
      <c r="BJ22" s="165">
        <f t="shared" si="55"/>
        <v>0</v>
      </c>
      <c r="BK22" s="165">
        <f t="shared" si="29"/>
        <v>0</v>
      </c>
      <c r="BL22" s="165">
        <f t="shared" si="30"/>
        <v>0</v>
      </c>
      <c r="BM22" s="165">
        <f t="shared" si="31"/>
        <v>0</v>
      </c>
      <c r="BN22" s="165">
        <f t="shared" si="32"/>
        <v>0</v>
      </c>
      <c r="BO22" s="165">
        <f t="shared" si="33"/>
        <v>0</v>
      </c>
      <c r="BP22" s="166">
        <f t="shared" si="34"/>
        <v>0</v>
      </c>
      <c r="BQ22" s="603" t="str">
        <f t="shared" si="35"/>
        <v/>
      </c>
      <c r="BS22" s="164">
        <f t="shared" si="56"/>
        <v>0</v>
      </c>
      <c r="BT22" s="165">
        <f t="shared" si="57"/>
        <v>0</v>
      </c>
      <c r="BU22" s="165">
        <f t="shared" si="58"/>
        <v>0</v>
      </c>
      <c r="BV22" s="165">
        <f t="shared" si="59"/>
        <v>0</v>
      </c>
      <c r="BW22" s="165">
        <f t="shared" si="60"/>
        <v>0</v>
      </c>
      <c r="BX22" s="165">
        <f t="shared" si="61"/>
        <v>0</v>
      </c>
      <c r="BY22" s="165">
        <f t="shared" si="62"/>
        <v>0</v>
      </c>
      <c r="BZ22" s="165">
        <f t="shared" si="63"/>
        <v>0</v>
      </c>
      <c r="CA22" s="165">
        <f t="shared" si="63"/>
        <v>0</v>
      </c>
      <c r="CB22" s="165">
        <f t="shared" si="64"/>
        <v>0</v>
      </c>
      <c r="CC22" s="165">
        <f t="shared" si="37"/>
        <v>0</v>
      </c>
      <c r="CD22" s="165">
        <f t="shared" si="38"/>
        <v>0</v>
      </c>
      <c r="CE22" s="165">
        <f t="shared" si="39"/>
        <v>0</v>
      </c>
      <c r="CF22" s="165">
        <f t="shared" si="40"/>
        <v>0</v>
      </c>
      <c r="CG22" s="165">
        <f t="shared" si="41"/>
        <v>0</v>
      </c>
      <c r="CH22" s="166">
        <f t="shared" si="42"/>
        <v>0</v>
      </c>
    </row>
    <row r="23" spans="2:89">
      <c r="B23" s="417"/>
      <c r="C23" s="449"/>
      <c r="D23" s="376" t="str">
        <f>IF(C23="","",INDEX('Side constraints'!$C$33:$C$92,MATCH('Prop DUOS'!C23,'Side constraints'!$D$33:$D$92,0),1))</f>
        <v/>
      </c>
      <c r="E23" s="425"/>
      <c r="F23" s="426"/>
      <c r="G23" s="426"/>
      <c r="H23" s="426"/>
      <c r="I23" s="426"/>
      <c r="J23" s="426"/>
      <c r="K23" s="426"/>
      <c r="L23" s="426"/>
      <c r="M23" s="426"/>
      <c r="N23" s="426"/>
      <c r="O23" s="426"/>
      <c r="P23" s="426"/>
      <c r="Q23" s="426"/>
      <c r="R23" s="606"/>
      <c r="S23" s="427"/>
      <c r="U23" s="437"/>
      <c r="V23" s="440"/>
      <c r="W23" s="440"/>
      <c r="X23" s="440"/>
      <c r="Y23" s="440"/>
      <c r="Z23" s="440"/>
      <c r="AA23" s="440"/>
      <c r="AB23" s="440"/>
      <c r="AC23" s="440"/>
      <c r="AD23" s="440"/>
      <c r="AE23" s="440"/>
      <c r="AF23" s="440"/>
      <c r="AG23" s="440"/>
      <c r="AH23" s="612"/>
      <c r="AI23" s="441"/>
      <c r="AK23" s="749">
        <f>'t-1 DUOS'!D23</f>
        <v>10.95</v>
      </c>
      <c r="AL23" s="750">
        <f>'t-1 DUOS'!E23</f>
        <v>0</v>
      </c>
      <c r="AM23" s="750">
        <f>'t-1 DUOS'!F23</f>
        <v>3.86</v>
      </c>
      <c r="AN23" s="750">
        <f>'t-1 DUOS'!G23</f>
        <v>10.69</v>
      </c>
      <c r="AO23" s="750">
        <f>'t-1 DUOS'!H23</f>
        <v>0</v>
      </c>
      <c r="AP23" s="750">
        <f>'t-1 DUOS'!I23</f>
        <v>0</v>
      </c>
      <c r="AQ23" s="750">
        <f>'t-1 DUOS'!J23</f>
        <v>10.69</v>
      </c>
      <c r="AR23" s="750">
        <f>'t-1 DUOS'!K23</f>
        <v>3.42</v>
      </c>
      <c r="AS23" s="750">
        <f>'t-1 DUOS'!L23</f>
        <v>3.86</v>
      </c>
      <c r="AT23" s="750">
        <f>'t-1 DUOS'!M23</f>
        <v>0</v>
      </c>
      <c r="AU23" s="750">
        <f>'t-1 DUOS'!N23</f>
        <v>0</v>
      </c>
      <c r="AV23" s="750">
        <f>'t-1 DUOS'!O23</f>
        <v>0</v>
      </c>
      <c r="AW23" s="750">
        <f>'t-1 DUOS'!P23</f>
        <v>0</v>
      </c>
      <c r="AX23" s="751">
        <f>'t-1 DUOS'!Q23</f>
        <v>0</v>
      </c>
      <c r="AY23" s="752">
        <f>'t-1 DUOS'!R23</f>
        <v>0</v>
      </c>
      <c r="BA23" s="164">
        <f t="shared" si="47"/>
        <v>0</v>
      </c>
      <c r="BB23" s="165">
        <f t="shared" si="48"/>
        <v>0</v>
      </c>
      <c r="BC23" s="165">
        <f t="shared" si="49"/>
        <v>0</v>
      </c>
      <c r="BD23" s="165">
        <f t="shared" si="50"/>
        <v>0</v>
      </c>
      <c r="BE23" s="165">
        <f t="shared" si="51"/>
        <v>0</v>
      </c>
      <c r="BF23" s="165">
        <f t="shared" si="52"/>
        <v>0</v>
      </c>
      <c r="BG23" s="165">
        <f t="shared" si="53"/>
        <v>0</v>
      </c>
      <c r="BH23" s="165">
        <f t="shared" si="54"/>
        <v>0</v>
      </c>
      <c r="BI23" s="165">
        <f t="shared" si="54"/>
        <v>0</v>
      </c>
      <c r="BJ23" s="165">
        <f t="shared" si="55"/>
        <v>0</v>
      </c>
      <c r="BK23" s="165">
        <f t="shared" si="29"/>
        <v>0</v>
      </c>
      <c r="BL23" s="165">
        <f t="shared" si="30"/>
        <v>0</v>
      </c>
      <c r="BM23" s="165">
        <f t="shared" si="31"/>
        <v>0</v>
      </c>
      <c r="BN23" s="165">
        <f t="shared" si="32"/>
        <v>0</v>
      </c>
      <c r="BO23" s="165">
        <f t="shared" si="33"/>
        <v>0</v>
      </c>
      <c r="BP23" s="166">
        <f t="shared" si="34"/>
        <v>0</v>
      </c>
      <c r="BQ23" s="603" t="str">
        <f t="shared" si="35"/>
        <v/>
      </c>
      <c r="BS23" s="164">
        <f t="shared" si="56"/>
        <v>0</v>
      </c>
      <c r="BT23" s="165">
        <f t="shared" si="57"/>
        <v>0</v>
      </c>
      <c r="BU23" s="165">
        <f t="shared" si="58"/>
        <v>0</v>
      </c>
      <c r="BV23" s="165">
        <f t="shared" si="59"/>
        <v>0</v>
      </c>
      <c r="BW23" s="165">
        <f t="shared" si="60"/>
        <v>0</v>
      </c>
      <c r="BX23" s="165">
        <f t="shared" si="61"/>
        <v>0</v>
      </c>
      <c r="BY23" s="165">
        <f t="shared" si="62"/>
        <v>0</v>
      </c>
      <c r="BZ23" s="165">
        <f t="shared" si="63"/>
        <v>0</v>
      </c>
      <c r="CA23" s="165">
        <f t="shared" si="63"/>
        <v>0</v>
      </c>
      <c r="CB23" s="165">
        <f t="shared" si="64"/>
        <v>0</v>
      </c>
      <c r="CC23" s="165">
        <f t="shared" si="37"/>
        <v>0</v>
      </c>
      <c r="CD23" s="165">
        <f t="shared" ref="CD23:CD66" si="65">IF(P$69="cents",AV23/100,AV23)*IF(P$71="day",AF23*$D$74,IF(P$71="month",AF23*12,AF23))</f>
        <v>0</v>
      </c>
      <c r="CE23" s="165">
        <f t="shared" ref="CE23:CE66" si="66">IF(Q$69="cents",AW23/100,AW23)*IF(Q$71="day",AG23*$D$74,IF(Q$71="month",AG23*12,AG23))</f>
        <v>0</v>
      </c>
      <c r="CF23" s="165">
        <f t="shared" ref="CF23:CF66" si="67">IF(R$69="cents",AX23/100,AX23)*IF(R$71="day",AH23*$D$74,IF(R$71="month",AH23*12,AH23))</f>
        <v>0</v>
      </c>
      <c r="CG23" s="165">
        <f t="shared" ref="CG23:CG66" si="68">IF(S$69="cents",AY23/100,AY23)*IF(S$71="day",AI23*$D$74,IF(S$71="month",AI23*12,AI23))</f>
        <v>0</v>
      </c>
      <c r="CH23" s="166">
        <f t="shared" si="42"/>
        <v>0</v>
      </c>
    </row>
    <row r="24" spans="2:89">
      <c r="B24" s="416"/>
      <c r="C24" s="449"/>
      <c r="D24" s="376" t="str">
        <f>IF(C24="","",INDEX('Side constraints'!$C$33:$C$92,MATCH('Prop DUOS'!C24,'Side constraints'!$D$33:$D$92,0),1))</f>
        <v/>
      </c>
      <c r="E24" s="425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26"/>
      <c r="R24" s="606"/>
      <c r="S24" s="427"/>
      <c r="U24" s="437"/>
      <c r="V24" s="440"/>
      <c r="W24" s="440"/>
      <c r="X24" s="440"/>
      <c r="Y24" s="440"/>
      <c r="Z24" s="440"/>
      <c r="AA24" s="440"/>
      <c r="AB24" s="440"/>
      <c r="AC24" s="440"/>
      <c r="AD24" s="440"/>
      <c r="AE24" s="440"/>
      <c r="AF24" s="440"/>
      <c r="AG24" s="440"/>
      <c r="AH24" s="612"/>
      <c r="AI24" s="441"/>
      <c r="AK24" s="749">
        <f>'t-1 DUOS'!D24</f>
        <v>0</v>
      </c>
      <c r="AL24" s="750">
        <f>'t-1 DUOS'!E24</f>
        <v>0</v>
      </c>
      <c r="AM24" s="750">
        <f>'t-1 DUOS'!F24</f>
        <v>0</v>
      </c>
      <c r="AN24" s="750">
        <f>'t-1 DUOS'!G24</f>
        <v>6.92</v>
      </c>
      <c r="AO24" s="750">
        <f>'t-1 DUOS'!H24</f>
        <v>0</v>
      </c>
      <c r="AP24" s="750">
        <f>'t-1 DUOS'!I24</f>
        <v>0</v>
      </c>
      <c r="AQ24" s="750">
        <f>'t-1 DUOS'!J24</f>
        <v>6.92</v>
      </c>
      <c r="AR24" s="750">
        <f>'t-1 DUOS'!K24</f>
        <v>2.0299999999999998</v>
      </c>
      <c r="AS24" s="750">
        <f>'t-1 DUOS'!L24</f>
        <v>0</v>
      </c>
      <c r="AT24" s="750">
        <f>'t-1 DUOS'!M24</f>
        <v>0</v>
      </c>
      <c r="AU24" s="750">
        <f>'t-1 DUOS'!N24</f>
        <v>0</v>
      </c>
      <c r="AV24" s="750">
        <f>'t-1 DUOS'!O24</f>
        <v>30.08</v>
      </c>
      <c r="AW24" s="750">
        <f>'t-1 DUOS'!P24</f>
        <v>0</v>
      </c>
      <c r="AX24" s="751">
        <f>'t-1 DUOS'!Q24</f>
        <v>0</v>
      </c>
      <c r="AY24" s="752">
        <f>'t-1 DUOS'!R24</f>
        <v>0</v>
      </c>
      <c r="BA24" s="164">
        <f t="shared" si="47"/>
        <v>0</v>
      </c>
      <c r="BB24" s="165">
        <f t="shared" si="48"/>
        <v>0</v>
      </c>
      <c r="BC24" s="165">
        <f t="shared" si="49"/>
        <v>0</v>
      </c>
      <c r="BD24" s="165">
        <f t="shared" si="50"/>
        <v>0</v>
      </c>
      <c r="BE24" s="165">
        <f t="shared" si="51"/>
        <v>0</v>
      </c>
      <c r="BF24" s="165">
        <f t="shared" si="52"/>
        <v>0</v>
      </c>
      <c r="BG24" s="165">
        <f t="shared" si="53"/>
        <v>0</v>
      </c>
      <c r="BH24" s="165">
        <f t="shared" si="54"/>
        <v>0</v>
      </c>
      <c r="BI24" s="165">
        <f t="shared" si="54"/>
        <v>0</v>
      </c>
      <c r="BJ24" s="165">
        <f t="shared" si="55"/>
        <v>0</v>
      </c>
      <c r="BK24" s="165">
        <f t="shared" si="29"/>
        <v>0</v>
      </c>
      <c r="BL24" s="165">
        <f t="shared" si="30"/>
        <v>0</v>
      </c>
      <c r="BM24" s="165">
        <f t="shared" si="31"/>
        <v>0</v>
      </c>
      <c r="BN24" s="165">
        <f t="shared" si="32"/>
        <v>0</v>
      </c>
      <c r="BO24" s="165">
        <f t="shared" si="33"/>
        <v>0</v>
      </c>
      <c r="BP24" s="166">
        <f t="shared" si="34"/>
        <v>0</v>
      </c>
      <c r="BQ24" s="603" t="str">
        <f t="shared" si="35"/>
        <v/>
      </c>
      <c r="BS24" s="164">
        <f t="shared" si="56"/>
        <v>0</v>
      </c>
      <c r="BT24" s="165">
        <f t="shared" si="57"/>
        <v>0</v>
      </c>
      <c r="BU24" s="165">
        <f t="shared" si="58"/>
        <v>0</v>
      </c>
      <c r="BV24" s="165">
        <f t="shared" si="59"/>
        <v>0</v>
      </c>
      <c r="BW24" s="165">
        <f t="shared" si="60"/>
        <v>0</v>
      </c>
      <c r="BX24" s="165">
        <f t="shared" si="61"/>
        <v>0</v>
      </c>
      <c r="BY24" s="165">
        <f t="shared" si="62"/>
        <v>0</v>
      </c>
      <c r="BZ24" s="165">
        <f t="shared" si="63"/>
        <v>0</v>
      </c>
      <c r="CA24" s="165">
        <f t="shared" si="63"/>
        <v>0</v>
      </c>
      <c r="CB24" s="165">
        <f t="shared" si="64"/>
        <v>0</v>
      </c>
      <c r="CC24" s="165">
        <f t="shared" si="37"/>
        <v>0</v>
      </c>
      <c r="CD24" s="165">
        <f t="shared" si="65"/>
        <v>0</v>
      </c>
      <c r="CE24" s="165">
        <f t="shared" si="66"/>
        <v>0</v>
      </c>
      <c r="CF24" s="165">
        <f t="shared" si="67"/>
        <v>0</v>
      </c>
      <c r="CG24" s="165">
        <f t="shared" si="68"/>
        <v>0</v>
      </c>
      <c r="CH24" s="166">
        <f t="shared" si="42"/>
        <v>0</v>
      </c>
    </row>
    <row r="25" spans="2:89">
      <c r="B25" s="416"/>
      <c r="C25" s="449"/>
      <c r="D25" s="376" t="str">
        <f>IF(C25="","",INDEX('Side constraints'!$C$33:$C$92,MATCH('Prop DUOS'!C25,'Side constraints'!$D$33:$D$92,0),1))</f>
        <v/>
      </c>
      <c r="E25" s="425"/>
      <c r="F25" s="426"/>
      <c r="G25" s="426"/>
      <c r="H25" s="426"/>
      <c r="I25" s="426"/>
      <c r="J25" s="426"/>
      <c r="K25" s="426"/>
      <c r="L25" s="426"/>
      <c r="M25" s="426"/>
      <c r="N25" s="426"/>
      <c r="O25" s="426"/>
      <c r="P25" s="426"/>
      <c r="Q25" s="426"/>
      <c r="R25" s="606"/>
      <c r="S25" s="427"/>
      <c r="U25" s="437"/>
      <c r="V25" s="440"/>
      <c r="W25" s="440"/>
      <c r="X25" s="440"/>
      <c r="Y25" s="440"/>
      <c r="Z25" s="440"/>
      <c r="AA25" s="440"/>
      <c r="AB25" s="440"/>
      <c r="AC25" s="440"/>
      <c r="AD25" s="440"/>
      <c r="AE25" s="440"/>
      <c r="AF25" s="440"/>
      <c r="AG25" s="440"/>
      <c r="AH25" s="612"/>
      <c r="AI25" s="441"/>
      <c r="AK25" s="749">
        <f>'t-1 DUOS'!D25</f>
        <v>10.95</v>
      </c>
      <c r="AL25" s="750">
        <f>'t-1 DUOS'!E25</f>
        <v>0</v>
      </c>
      <c r="AM25" s="750">
        <f>'t-1 DUOS'!F25</f>
        <v>4.05</v>
      </c>
      <c r="AN25" s="750">
        <f>'t-1 DUOS'!G25</f>
        <v>10.99</v>
      </c>
      <c r="AO25" s="750">
        <f>'t-1 DUOS'!H25</f>
        <v>0</v>
      </c>
      <c r="AP25" s="750">
        <f>'t-1 DUOS'!I25</f>
        <v>0</v>
      </c>
      <c r="AQ25" s="750">
        <f>'t-1 DUOS'!J25</f>
        <v>10.99</v>
      </c>
      <c r="AR25" s="750">
        <f>'t-1 DUOS'!K25</f>
        <v>3.43</v>
      </c>
      <c r="AS25" s="750">
        <f>'t-1 DUOS'!L25</f>
        <v>4.05</v>
      </c>
      <c r="AT25" s="750">
        <f>'t-1 DUOS'!M25</f>
        <v>0</v>
      </c>
      <c r="AU25" s="750">
        <f>'t-1 DUOS'!N25</f>
        <v>0</v>
      </c>
      <c r="AV25" s="750">
        <f>'t-1 DUOS'!O25</f>
        <v>0</v>
      </c>
      <c r="AW25" s="750">
        <f>'t-1 DUOS'!P25</f>
        <v>0</v>
      </c>
      <c r="AX25" s="751">
        <f>'t-1 DUOS'!Q25</f>
        <v>0</v>
      </c>
      <c r="AY25" s="752">
        <f>'t-1 DUOS'!R25</f>
        <v>0</v>
      </c>
      <c r="BA25" s="164">
        <f t="shared" si="47"/>
        <v>0</v>
      </c>
      <c r="BB25" s="165">
        <f t="shared" si="48"/>
        <v>0</v>
      </c>
      <c r="BC25" s="165">
        <f t="shared" si="49"/>
        <v>0</v>
      </c>
      <c r="BD25" s="165">
        <f t="shared" si="50"/>
        <v>0</v>
      </c>
      <c r="BE25" s="165">
        <f t="shared" si="51"/>
        <v>0</v>
      </c>
      <c r="BF25" s="165">
        <f t="shared" si="52"/>
        <v>0</v>
      </c>
      <c r="BG25" s="165">
        <f t="shared" si="53"/>
        <v>0</v>
      </c>
      <c r="BH25" s="165">
        <f t="shared" si="54"/>
        <v>0</v>
      </c>
      <c r="BI25" s="165">
        <f t="shared" si="54"/>
        <v>0</v>
      </c>
      <c r="BJ25" s="165">
        <f t="shared" si="55"/>
        <v>0</v>
      </c>
      <c r="BK25" s="165">
        <f t="shared" si="29"/>
        <v>0</v>
      </c>
      <c r="BL25" s="165">
        <f t="shared" si="30"/>
        <v>0</v>
      </c>
      <c r="BM25" s="165">
        <f t="shared" si="31"/>
        <v>0</v>
      </c>
      <c r="BN25" s="165">
        <f t="shared" si="32"/>
        <v>0</v>
      </c>
      <c r="BO25" s="165">
        <f t="shared" si="33"/>
        <v>0</v>
      </c>
      <c r="BP25" s="166">
        <f t="shared" si="34"/>
        <v>0</v>
      </c>
      <c r="BQ25" s="603" t="str">
        <f t="shared" si="35"/>
        <v/>
      </c>
      <c r="BS25" s="164">
        <f t="shared" si="56"/>
        <v>0</v>
      </c>
      <c r="BT25" s="165">
        <f t="shared" si="57"/>
        <v>0</v>
      </c>
      <c r="BU25" s="165">
        <f t="shared" si="58"/>
        <v>0</v>
      </c>
      <c r="BV25" s="165">
        <f t="shared" si="59"/>
        <v>0</v>
      </c>
      <c r="BW25" s="165">
        <f t="shared" si="60"/>
        <v>0</v>
      </c>
      <c r="BX25" s="165">
        <f t="shared" si="61"/>
        <v>0</v>
      </c>
      <c r="BY25" s="165">
        <f t="shared" si="62"/>
        <v>0</v>
      </c>
      <c r="BZ25" s="165">
        <f t="shared" si="63"/>
        <v>0</v>
      </c>
      <c r="CA25" s="165">
        <f t="shared" si="63"/>
        <v>0</v>
      </c>
      <c r="CB25" s="165">
        <f t="shared" si="64"/>
        <v>0</v>
      </c>
      <c r="CC25" s="165">
        <f t="shared" si="37"/>
        <v>0</v>
      </c>
      <c r="CD25" s="165">
        <f t="shared" si="65"/>
        <v>0</v>
      </c>
      <c r="CE25" s="165">
        <f t="shared" si="66"/>
        <v>0</v>
      </c>
      <c r="CF25" s="165">
        <f t="shared" si="67"/>
        <v>0</v>
      </c>
      <c r="CG25" s="165">
        <f t="shared" si="68"/>
        <v>0</v>
      </c>
      <c r="CH25" s="166">
        <f t="shared" si="42"/>
        <v>0</v>
      </c>
    </row>
    <row r="26" spans="2:89">
      <c r="B26" s="416"/>
      <c r="C26" s="449"/>
      <c r="D26" s="376" t="str">
        <f>IF(C26="","",INDEX('Side constraints'!$C$33:$C$92,MATCH('Prop DUOS'!C26,'Side constraints'!$D$33:$D$92,0),1))</f>
        <v/>
      </c>
      <c r="E26" s="425"/>
      <c r="F26" s="426"/>
      <c r="G26" s="426"/>
      <c r="H26" s="426"/>
      <c r="I26" s="426"/>
      <c r="J26" s="426"/>
      <c r="K26" s="426"/>
      <c r="L26" s="426"/>
      <c r="M26" s="426"/>
      <c r="N26" s="426"/>
      <c r="O26" s="426"/>
      <c r="P26" s="426"/>
      <c r="Q26" s="426"/>
      <c r="R26" s="606"/>
      <c r="S26" s="427"/>
      <c r="U26" s="437"/>
      <c r="V26" s="440"/>
      <c r="W26" s="440"/>
      <c r="X26" s="440"/>
      <c r="Y26" s="440"/>
      <c r="Z26" s="440"/>
      <c r="AA26" s="440"/>
      <c r="AB26" s="440"/>
      <c r="AC26" s="440"/>
      <c r="AD26" s="440"/>
      <c r="AE26" s="440"/>
      <c r="AF26" s="440"/>
      <c r="AG26" s="440"/>
      <c r="AH26" s="612"/>
      <c r="AI26" s="441"/>
      <c r="AK26" s="749">
        <f>'t-1 DUOS'!D26</f>
        <v>0</v>
      </c>
      <c r="AL26" s="750">
        <f>'t-1 DUOS'!E26</f>
        <v>2.63</v>
      </c>
      <c r="AM26" s="750">
        <f>'t-1 DUOS'!F26</f>
        <v>0</v>
      </c>
      <c r="AN26" s="750">
        <f>'t-1 DUOS'!G26</f>
        <v>2.63</v>
      </c>
      <c r="AO26" s="750">
        <f>'t-1 DUOS'!H26</f>
        <v>0</v>
      </c>
      <c r="AP26" s="750">
        <f>'t-1 DUOS'!I26</f>
        <v>0</v>
      </c>
      <c r="AQ26" s="750">
        <f>'t-1 DUOS'!J26</f>
        <v>2.63</v>
      </c>
      <c r="AR26" s="750">
        <f>'t-1 DUOS'!K26</f>
        <v>0</v>
      </c>
      <c r="AS26" s="750">
        <f>'t-1 DUOS'!L26</f>
        <v>0</v>
      </c>
      <c r="AT26" s="750">
        <f>'t-1 DUOS'!M26</f>
        <v>0</v>
      </c>
      <c r="AU26" s="750">
        <f>'t-1 DUOS'!N26</f>
        <v>0</v>
      </c>
      <c r="AV26" s="750">
        <f>'t-1 DUOS'!O26</f>
        <v>0</v>
      </c>
      <c r="AW26" s="750">
        <f>'t-1 DUOS'!P26</f>
        <v>25.42</v>
      </c>
      <c r="AX26" s="751">
        <f>'t-1 DUOS'!Q26</f>
        <v>10.029999999999999</v>
      </c>
      <c r="AY26" s="752">
        <f>'t-1 DUOS'!R26</f>
        <v>0</v>
      </c>
      <c r="BA26" s="164">
        <f t="shared" si="47"/>
        <v>0</v>
      </c>
      <c r="BB26" s="165">
        <f t="shared" si="48"/>
        <v>0</v>
      </c>
      <c r="BC26" s="165">
        <f t="shared" si="49"/>
        <v>0</v>
      </c>
      <c r="BD26" s="165">
        <f t="shared" si="50"/>
        <v>0</v>
      </c>
      <c r="BE26" s="165">
        <f t="shared" si="51"/>
        <v>0</v>
      </c>
      <c r="BF26" s="165">
        <f t="shared" si="52"/>
        <v>0</v>
      </c>
      <c r="BG26" s="165">
        <f t="shared" si="53"/>
        <v>0</v>
      </c>
      <c r="BH26" s="165">
        <f t="shared" si="54"/>
        <v>0</v>
      </c>
      <c r="BI26" s="165">
        <f t="shared" si="54"/>
        <v>0</v>
      </c>
      <c r="BJ26" s="165">
        <f t="shared" si="55"/>
        <v>0</v>
      </c>
      <c r="BK26" s="165">
        <f t="shared" si="29"/>
        <v>0</v>
      </c>
      <c r="BL26" s="165">
        <f t="shared" si="30"/>
        <v>0</v>
      </c>
      <c r="BM26" s="165">
        <f t="shared" si="31"/>
        <v>0</v>
      </c>
      <c r="BN26" s="165">
        <f t="shared" si="32"/>
        <v>0</v>
      </c>
      <c r="BO26" s="165">
        <f t="shared" si="33"/>
        <v>0</v>
      </c>
      <c r="BP26" s="166">
        <f t="shared" si="34"/>
        <v>0</v>
      </c>
      <c r="BQ26" s="603" t="str">
        <f t="shared" si="35"/>
        <v/>
      </c>
      <c r="BS26" s="164">
        <f t="shared" si="56"/>
        <v>0</v>
      </c>
      <c r="BT26" s="165">
        <f t="shared" si="57"/>
        <v>0</v>
      </c>
      <c r="BU26" s="165">
        <f t="shared" si="58"/>
        <v>0</v>
      </c>
      <c r="BV26" s="165">
        <f t="shared" si="59"/>
        <v>0</v>
      </c>
      <c r="BW26" s="165">
        <f t="shared" si="60"/>
        <v>0</v>
      </c>
      <c r="BX26" s="165">
        <f t="shared" si="61"/>
        <v>0</v>
      </c>
      <c r="BY26" s="165">
        <f t="shared" si="62"/>
        <v>0</v>
      </c>
      <c r="BZ26" s="165">
        <f t="shared" si="63"/>
        <v>0</v>
      </c>
      <c r="CA26" s="165">
        <f t="shared" si="63"/>
        <v>0</v>
      </c>
      <c r="CB26" s="165">
        <f t="shared" si="64"/>
        <v>0</v>
      </c>
      <c r="CC26" s="165">
        <f t="shared" si="37"/>
        <v>0</v>
      </c>
      <c r="CD26" s="165">
        <f t="shared" si="65"/>
        <v>0</v>
      </c>
      <c r="CE26" s="165">
        <f t="shared" si="66"/>
        <v>0</v>
      </c>
      <c r="CF26" s="165">
        <f t="shared" si="67"/>
        <v>0</v>
      </c>
      <c r="CG26" s="165">
        <f t="shared" si="68"/>
        <v>0</v>
      </c>
      <c r="CH26" s="166">
        <f t="shared" si="42"/>
        <v>0</v>
      </c>
    </row>
    <row r="27" spans="2:89">
      <c r="B27" s="416"/>
      <c r="C27" s="449"/>
      <c r="D27" s="376" t="str">
        <f>IF(C27="","",INDEX('Side constraints'!$C$33:$C$92,MATCH('Prop DUOS'!C27,'Side constraints'!$D$33:$D$92,0),1))</f>
        <v/>
      </c>
      <c r="E27" s="425"/>
      <c r="F27" s="426"/>
      <c r="G27" s="426"/>
      <c r="H27" s="426"/>
      <c r="I27" s="426"/>
      <c r="J27" s="426"/>
      <c r="K27" s="426"/>
      <c r="L27" s="426"/>
      <c r="M27" s="426"/>
      <c r="N27" s="426"/>
      <c r="O27" s="426"/>
      <c r="P27" s="426"/>
      <c r="Q27" s="426"/>
      <c r="R27" s="606"/>
      <c r="S27" s="427"/>
      <c r="U27" s="437"/>
      <c r="V27" s="440"/>
      <c r="W27" s="440"/>
      <c r="X27" s="440"/>
      <c r="Y27" s="440"/>
      <c r="Z27" s="440"/>
      <c r="AA27" s="440"/>
      <c r="AB27" s="440"/>
      <c r="AC27" s="440"/>
      <c r="AD27" s="440"/>
      <c r="AE27" s="440"/>
      <c r="AF27" s="440"/>
      <c r="AG27" s="440"/>
      <c r="AH27" s="612"/>
      <c r="AI27" s="441"/>
      <c r="AK27" s="749">
        <f>'t-1 DUOS'!D27</f>
        <v>0</v>
      </c>
      <c r="AL27" s="750">
        <f>'t-1 DUOS'!E27</f>
        <v>2.88</v>
      </c>
      <c r="AM27" s="750">
        <f>'t-1 DUOS'!F27</f>
        <v>0</v>
      </c>
      <c r="AN27" s="750">
        <f>'t-1 DUOS'!G27</f>
        <v>2.88</v>
      </c>
      <c r="AO27" s="750">
        <f>'t-1 DUOS'!H27</f>
        <v>0</v>
      </c>
      <c r="AP27" s="750">
        <f>'t-1 DUOS'!I27</f>
        <v>0</v>
      </c>
      <c r="AQ27" s="750">
        <f>'t-1 DUOS'!J27</f>
        <v>2.88</v>
      </c>
      <c r="AR27" s="750">
        <f>'t-1 DUOS'!K27</f>
        <v>0</v>
      </c>
      <c r="AS27" s="750">
        <f>'t-1 DUOS'!L27</f>
        <v>0</v>
      </c>
      <c r="AT27" s="750">
        <f>'t-1 DUOS'!M27</f>
        <v>0</v>
      </c>
      <c r="AU27" s="750">
        <f>'t-1 DUOS'!N27</f>
        <v>0</v>
      </c>
      <c r="AV27" s="750">
        <f>'t-1 DUOS'!O27</f>
        <v>0</v>
      </c>
      <c r="AW27" s="750">
        <f>'t-1 DUOS'!P27</f>
        <v>32.619999999999997</v>
      </c>
      <c r="AX27" s="751">
        <f>'t-1 DUOS'!Q27</f>
        <v>21.74</v>
      </c>
      <c r="AY27" s="752">
        <f>'t-1 DUOS'!R27</f>
        <v>0</v>
      </c>
      <c r="BA27" s="164">
        <f t="shared" si="47"/>
        <v>0</v>
      </c>
      <c r="BB27" s="165">
        <f t="shared" si="48"/>
        <v>0</v>
      </c>
      <c r="BC27" s="165">
        <f t="shared" si="49"/>
        <v>0</v>
      </c>
      <c r="BD27" s="165">
        <f t="shared" si="50"/>
        <v>0</v>
      </c>
      <c r="BE27" s="165">
        <f t="shared" si="51"/>
        <v>0</v>
      </c>
      <c r="BF27" s="165">
        <f t="shared" si="52"/>
        <v>0</v>
      </c>
      <c r="BG27" s="165">
        <f t="shared" si="53"/>
        <v>0</v>
      </c>
      <c r="BH27" s="165">
        <f t="shared" si="54"/>
        <v>0</v>
      </c>
      <c r="BI27" s="165">
        <f t="shared" si="54"/>
        <v>0</v>
      </c>
      <c r="BJ27" s="165">
        <f t="shared" si="55"/>
        <v>0</v>
      </c>
      <c r="BK27" s="165">
        <f t="shared" si="29"/>
        <v>0</v>
      </c>
      <c r="BL27" s="165">
        <f t="shared" si="30"/>
        <v>0</v>
      </c>
      <c r="BM27" s="165">
        <f t="shared" si="31"/>
        <v>0</v>
      </c>
      <c r="BN27" s="165">
        <f t="shared" si="32"/>
        <v>0</v>
      </c>
      <c r="BO27" s="165">
        <f t="shared" si="33"/>
        <v>0</v>
      </c>
      <c r="BP27" s="166">
        <f t="shared" si="34"/>
        <v>0</v>
      </c>
      <c r="BQ27" s="603" t="str">
        <f t="shared" si="35"/>
        <v/>
      </c>
      <c r="BS27" s="164">
        <f t="shared" si="56"/>
        <v>0</v>
      </c>
      <c r="BT27" s="165">
        <f t="shared" si="57"/>
        <v>0</v>
      </c>
      <c r="BU27" s="165">
        <f t="shared" si="58"/>
        <v>0</v>
      </c>
      <c r="BV27" s="165">
        <f t="shared" si="59"/>
        <v>0</v>
      </c>
      <c r="BW27" s="165">
        <f t="shared" si="60"/>
        <v>0</v>
      </c>
      <c r="BX27" s="165">
        <f t="shared" si="61"/>
        <v>0</v>
      </c>
      <c r="BY27" s="165">
        <f t="shared" si="62"/>
        <v>0</v>
      </c>
      <c r="BZ27" s="165">
        <f t="shared" si="63"/>
        <v>0</v>
      </c>
      <c r="CA27" s="165">
        <f t="shared" si="63"/>
        <v>0</v>
      </c>
      <c r="CB27" s="165">
        <f t="shared" si="64"/>
        <v>0</v>
      </c>
      <c r="CC27" s="165">
        <f t="shared" si="37"/>
        <v>0</v>
      </c>
      <c r="CD27" s="165">
        <f t="shared" si="65"/>
        <v>0</v>
      </c>
      <c r="CE27" s="165">
        <f t="shared" si="66"/>
        <v>0</v>
      </c>
      <c r="CF27" s="165">
        <f t="shared" si="67"/>
        <v>0</v>
      </c>
      <c r="CG27" s="165">
        <f t="shared" si="68"/>
        <v>0</v>
      </c>
      <c r="CH27" s="166">
        <f t="shared" si="42"/>
        <v>0</v>
      </c>
    </row>
    <row r="28" spans="2:89">
      <c r="B28" s="417"/>
      <c r="C28" s="449"/>
      <c r="D28" s="376" t="str">
        <f>IF(C28="","",INDEX('Side constraints'!$C$33:$C$92,MATCH('Prop DUOS'!C28,'Side constraints'!$D$33:$D$92,0),1))</f>
        <v/>
      </c>
      <c r="E28" s="425"/>
      <c r="F28" s="426"/>
      <c r="G28" s="426"/>
      <c r="H28" s="426"/>
      <c r="I28" s="426"/>
      <c r="J28" s="426"/>
      <c r="K28" s="426"/>
      <c r="L28" s="426"/>
      <c r="M28" s="426"/>
      <c r="N28" s="426"/>
      <c r="O28" s="426"/>
      <c r="P28" s="426"/>
      <c r="Q28" s="426"/>
      <c r="R28" s="606"/>
      <c r="S28" s="427"/>
      <c r="U28" s="437"/>
      <c r="V28" s="440"/>
      <c r="W28" s="440"/>
      <c r="X28" s="440"/>
      <c r="Y28" s="440"/>
      <c r="Z28" s="440"/>
      <c r="AA28" s="440"/>
      <c r="AB28" s="440"/>
      <c r="AC28" s="440"/>
      <c r="AD28" s="440"/>
      <c r="AE28" s="440"/>
      <c r="AF28" s="440"/>
      <c r="AG28" s="440"/>
      <c r="AH28" s="612"/>
      <c r="AI28" s="441"/>
      <c r="AK28" s="749">
        <f>'t-1 DUOS'!D28</f>
        <v>0</v>
      </c>
      <c r="AL28" s="750">
        <f>'t-1 DUOS'!E28</f>
        <v>2.88</v>
      </c>
      <c r="AM28" s="750">
        <f>'t-1 DUOS'!F28</f>
        <v>0</v>
      </c>
      <c r="AN28" s="750">
        <f>'t-1 DUOS'!G28</f>
        <v>2.88</v>
      </c>
      <c r="AO28" s="750">
        <f>'t-1 DUOS'!H28</f>
        <v>0</v>
      </c>
      <c r="AP28" s="750">
        <f>'t-1 DUOS'!I28</f>
        <v>0</v>
      </c>
      <c r="AQ28" s="750">
        <f>'t-1 DUOS'!J28</f>
        <v>2.88</v>
      </c>
      <c r="AR28" s="750">
        <f>'t-1 DUOS'!K28</f>
        <v>0</v>
      </c>
      <c r="AS28" s="750">
        <f>'t-1 DUOS'!L28</f>
        <v>0</v>
      </c>
      <c r="AT28" s="750">
        <f>'t-1 DUOS'!M28</f>
        <v>0</v>
      </c>
      <c r="AU28" s="750">
        <f>'t-1 DUOS'!N28</f>
        <v>0</v>
      </c>
      <c r="AV28" s="750">
        <f>'t-1 DUOS'!O28</f>
        <v>0</v>
      </c>
      <c r="AW28" s="750">
        <f>'t-1 DUOS'!P28</f>
        <v>32.619999999999997</v>
      </c>
      <c r="AX28" s="751">
        <f>'t-1 DUOS'!Q28</f>
        <v>21.74</v>
      </c>
      <c r="AY28" s="752">
        <f>'t-1 DUOS'!R28</f>
        <v>0</v>
      </c>
      <c r="BA28" s="164">
        <f t="shared" si="47"/>
        <v>0</v>
      </c>
      <c r="BB28" s="165">
        <f t="shared" si="48"/>
        <v>0</v>
      </c>
      <c r="BC28" s="165">
        <f t="shared" si="49"/>
        <v>0</v>
      </c>
      <c r="BD28" s="165">
        <f t="shared" si="50"/>
        <v>0</v>
      </c>
      <c r="BE28" s="165">
        <f t="shared" si="51"/>
        <v>0</v>
      </c>
      <c r="BF28" s="165">
        <f t="shared" si="52"/>
        <v>0</v>
      </c>
      <c r="BG28" s="165">
        <f t="shared" si="53"/>
        <v>0</v>
      </c>
      <c r="BH28" s="165">
        <f t="shared" si="54"/>
        <v>0</v>
      </c>
      <c r="BI28" s="165">
        <f t="shared" si="54"/>
        <v>0</v>
      </c>
      <c r="BJ28" s="165">
        <f t="shared" si="55"/>
        <v>0</v>
      </c>
      <c r="BK28" s="165">
        <f t="shared" si="29"/>
        <v>0</v>
      </c>
      <c r="BL28" s="165">
        <f t="shared" si="30"/>
        <v>0</v>
      </c>
      <c r="BM28" s="165">
        <f t="shared" si="31"/>
        <v>0</v>
      </c>
      <c r="BN28" s="165">
        <f t="shared" si="32"/>
        <v>0</v>
      </c>
      <c r="BO28" s="165">
        <f t="shared" si="33"/>
        <v>0</v>
      </c>
      <c r="BP28" s="166">
        <f t="shared" si="34"/>
        <v>0</v>
      </c>
      <c r="BQ28" s="603" t="str">
        <f t="shared" si="35"/>
        <v/>
      </c>
      <c r="BS28" s="164">
        <f t="shared" si="56"/>
        <v>0</v>
      </c>
      <c r="BT28" s="165">
        <f t="shared" si="57"/>
        <v>0</v>
      </c>
      <c r="BU28" s="165">
        <f t="shared" si="58"/>
        <v>0</v>
      </c>
      <c r="BV28" s="165">
        <f t="shared" si="59"/>
        <v>0</v>
      </c>
      <c r="BW28" s="165">
        <f t="shared" si="60"/>
        <v>0</v>
      </c>
      <c r="BX28" s="165">
        <f t="shared" si="61"/>
        <v>0</v>
      </c>
      <c r="BY28" s="165">
        <f t="shared" si="62"/>
        <v>0</v>
      </c>
      <c r="BZ28" s="165">
        <f t="shared" si="63"/>
        <v>0</v>
      </c>
      <c r="CA28" s="165">
        <f t="shared" si="63"/>
        <v>0</v>
      </c>
      <c r="CB28" s="165">
        <f t="shared" si="64"/>
        <v>0</v>
      </c>
      <c r="CC28" s="165">
        <f t="shared" si="37"/>
        <v>0</v>
      </c>
      <c r="CD28" s="165">
        <f t="shared" si="65"/>
        <v>0</v>
      </c>
      <c r="CE28" s="165">
        <f t="shared" si="66"/>
        <v>0</v>
      </c>
      <c r="CF28" s="165">
        <f t="shared" si="67"/>
        <v>0</v>
      </c>
      <c r="CG28" s="165">
        <f t="shared" si="68"/>
        <v>0</v>
      </c>
      <c r="CH28" s="166">
        <f t="shared" si="42"/>
        <v>0</v>
      </c>
    </row>
    <row r="29" spans="2:89">
      <c r="B29" s="416"/>
      <c r="C29" s="449"/>
      <c r="D29" s="376" t="str">
        <f>IF(C29="","",INDEX('Side constraints'!$C$33:$C$92,MATCH('Prop DUOS'!C29,'Side constraints'!$D$33:$D$92,0),1))</f>
        <v/>
      </c>
      <c r="E29" s="425"/>
      <c r="F29" s="426"/>
      <c r="G29" s="426"/>
      <c r="H29" s="426"/>
      <c r="I29" s="426"/>
      <c r="J29" s="426"/>
      <c r="K29" s="426"/>
      <c r="L29" s="426"/>
      <c r="M29" s="426"/>
      <c r="N29" s="426"/>
      <c r="O29" s="426"/>
      <c r="P29" s="426"/>
      <c r="Q29" s="426"/>
      <c r="R29" s="606"/>
      <c r="S29" s="427"/>
      <c r="U29" s="437"/>
      <c r="V29" s="440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612"/>
      <c r="AI29" s="441"/>
      <c r="AK29" s="363">
        <f>'t-1 DUOS'!D29</f>
        <v>0</v>
      </c>
      <c r="AL29" s="364">
        <f>'t-1 DUOS'!E29</f>
        <v>0</v>
      </c>
      <c r="AM29" s="364">
        <f>'t-1 DUOS'!F29</f>
        <v>0</v>
      </c>
      <c r="AN29" s="364">
        <f>'t-1 DUOS'!G29</f>
        <v>0</v>
      </c>
      <c r="AO29" s="364">
        <f>'t-1 DUOS'!H29</f>
        <v>0</v>
      </c>
      <c r="AP29" s="364">
        <f>'t-1 DUOS'!I29</f>
        <v>0</v>
      </c>
      <c r="AQ29" s="364">
        <f>'t-1 DUOS'!J29</f>
        <v>0</v>
      </c>
      <c r="AR29" s="364">
        <f>'t-1 DUOS'!K29</f>
        <v>0</v>
      </c>
      <c r="AS29" s="364">
        <f>'t-1 DUOS'!L29</f>
        <v>0</v>
      </c>
      <c r="AT29" s="364">
        <f>'t-1 DUOS'!M29</f>
        <v>0</v>
      </c>
      <c r="AU29" s="364">
        <f>'t-1 DUOS'!N29</f>
        <v>0</v>
      </c>
      <c r="AV29" s="364">
        <f>'t-1 DUOS'!O29</f>
        <v>0</v>
      </c>
      <c r="AW29" s="364">
        <f>'t-1 DUOS'!P29</f>
        <v>0</v>
      </c>
      <c r="AX29" s="615">
        <f>'t-1 DUOS'!Q29</f>
        <v>0</v>
      </c>
      <c r="AY29" s="365">
        <f>'t-1 DUOS'!R29</f>
        <v>0</v>
      </c>
      <c r="BA29" s="164">
        <f t="shared" si="47"/>
        <v>0</v>
      </c>
      <c r="BB29" s="165">
        <f t="shared" si="48"/>
        <v>0</v>
      </c>
      <c r="BC29" s="165">
        <f t="shared" si="49"/>
        <v>0</v>
      </c>
      <c r="BD29" s="165">
        <f t="shared" si="50"/>
        <v>0</v>
      </c>
      <c r="BE29" s="165">
        <f t="shared" si="51"/>
        <v>0</v>
      </c>
      <c r="BF29" s="165">
        <f t="shared" si="52"/>
        <v>0</v>
      </c>
      <c r="BG29" s="165">
        <f t="shared" si="53"/>
        <v>0</v>
      </c>
      <c r="BH29" s="165">
        <f t="shared" si="54"/>
        <v>0</v>
      </c>
      <c r="BI29" s="165">
        <f t="shared" si="54"/>
        <v>0</v>
      </c>
      <c r="BJ29" s="165">
        <f t="shared" si="55"/>
        <v>0</v>
      </c>
      <c r="BK29" s="165">
        <f t="shared" si="29"/>
        <v>0</v>
      </c>
      <c r="BL29" s="165">
        <f t="shared" si="30"/>
        <v>0</v>
      </c>
      <c r="BM29" s="165">
        <f t="shared" si="31"/>
        <v>0</v>
      </c>
      <c r="BN29" s="165">
        <f t="shared" si="32"/>
        <v>0</v>
      </c>
      <c r="BO29" s="165">
        <f t="shared" si="33"/>
        <v>0</v>
      </c>
      <c r="BP29" s="166">
        <f t="shared" si="34"/>
        <v>0</v>
      </c>
      <c r="BQ29" s="603" t="str">
        <f t="shared" si="35"/>
        <v/>
      </c>
      <c r="BS29" s="164">
        <f t="shared" si="56"/>
        <v>0</v>
      </c>
      <c r="BT29" s="165">
        <f t="shared" si="57"/>
        <v>0</v>
      </c>
      <c r="BU29" s="165">
        <f t="shared" si="58"/>
        <v>0</v>
      </c>
      <c r="BV29" s="165">
        <f t="shared" si="59"/>
        <v>0</v>
      </c>
      <c r="BW29" s="165">
        <f t="shared" si="60"/>
        <v>0</v>
      </c>
      <c r="BX29" s="165">
        <f t="shared" si="61"/>
        <v>0</v>
      </c>
      <c r="BY29" s="165">
        <f t="shared" si="62"/>
        <v>0</v>
      </c>
      <c r="BZ29" s="165">
        <f t="shared" si="63"/>
        <v>0</v>
      </c>
      <c r="CA29" s="165">
        <f t="shared" si="63"/>
        <v>0</v>
      </c>
      <c r="CB29" s="165">
        <f t="shared" si="64"/>
        <v>0</v>
      </c>
      <c r="CC29" s="165">
        <f t="shared" si="37"/>
        <v>0</v>
      </c>
      <c r="CD29" s="165">
        <f t="shared" si="65"/>
        <v>0</v>
      </c>
      <c r="CE29" s="165">
        <f t="shared" si="66"/>
        <v>0</v>
      </c>
      <c r="CF29" s="165">
        <f t="shared" si="67"/>
        <v>0</v>
      </c>
      <c r="CG29" s="165">
        <f t="shared" si="68"/>
        <v>0</v>
      </c>
      <c r="CH29" s="166">
        <f t="shared" si="42"/>
        <v>0</v>
      </c>
    </row>
    <row r="30" spans="2:89">
      <c r="B30" s="416"/>
      <c r="C30" s="449"/>
      <c r="D30" s="376" t="str">
        <f>IF(C30="","",INDEX('Side constraints'!$C$33:$C$92,MATCH('Prop DUOS'!C30,'Side constraints'!$D$33:$D$92,0),1))</f>
        <v/>
      </c>
      <c r="E30" s="425"/>
      <c r="F30" s="426"/>
      <c r="G30" s="426"/>
      <c r="H30" s="426"/>
      <c r="I30" s="426"/>
      <c r="J30" s="426"/>
      <c r="K30" s="426"/>
      <c r="L30" s="426"/>
      <c r="M30" s="426"/>
      <c r="N30" s="426"/>
      <c r="O30" s="426"/>
      <c r="P30" s="426"/>
      <c r="Q30" s="426"/>
      <c r="R30" s="606"/>
      <c r="S30" s="427"/>
      <c r="U30" s="437"/>
      <c r="V30" s="440"/>
      <c r="W30" s="440"/>
      <c r="X30" s="440"/>
      <c r="Y30" s="440"/>
      <c r="Z30" s="440"/>
      <c r="AA30" s="440"/>
      <c r="AB30" s="440"/>
      <c r="AC30" s="440"/>
      <c r="AD30" s="440"/>
      <c r="AE30" s="440"/>
      <c r="AF30" s="440"/>
      <c r="AG30" s="440"/>
      <c r="AH30" s="612"/>
      <c r="AI30" s="441"/>
      <c r="AK30" s="363">
        <f>'t-1 DUOS'!D30</f>
        <v>0</v>
      </c>
      <c r="AL30" s="364">
        <f>'t-1 DUOS'!E30</f>
        <v>0</v>
      </c>
      <c r="AM30" s="364">
        <f>'t-1 DUOS'!F30</f>
        <v>0</v>
      </c>
      <c r="AN30" s="364">
        <f>'t-1 DUOS'!G30</f>
        <v>0</v>
      </c>
      <c r="AO30" s="364">
        <f>'t-1 DUOS'!H30</f>
        <v>0</v>
      </c>
      <c r="AP30" s="364">
        <f>'t-1 DUOS'!I30</f>
        <v>0</v>
      </c>
      <c r="AQ30" s="364">
        <f>'t-1 DUOS'!J30</f>
        <v>0</v>
      </c>
      <c r="AR30" s="364">
        <f>'t-1 DUOS'!K30</f>
        <v>0</v>
      </c>
      <c r="AS30" s="364">
        <f>'t-1 DUOS'!L30</f>
        <v>0</v>
      </c>
      <c r="AT30" s="364">
        <f>'t-1 DUOS'!M30</f>
        <v>0</v>
      </c>
      <c r="AU30" s="364">
        <f>'t-1 DUOS'!N30</f>
        <v>0</v>
      </c>
      <c r="AV30" s="364">
        <f>'t-1 DUOS'!O30</f>
        <v>0</v>
      </c>
      <c r="AW30" s="364">
        <f>'t-1 DUOS'!P30</f>
        <v>0</v>
      </c>
      <c r="AX30" s="615">
        <f>'t-1 DUOS'!Q30</f>
        <v>0</v>
      </c>
      <c r="AY30" s="365">
        <f>'t-1 DUOS'!R30</f>
        <v>0</v>
      </c>
      <c r="BA30" s="164">
        <f t="shared" si="47"/>
        <v>0</v>
      </c>
      <c r="BB30" s="165">
        <f t="shared" si="48"/>
        <v>0</v>
      </c>
      <c r="BC30" s="165">
        <f t="shared" si="49"/>
        <v>0</v>
      </c>
      <c r="BD30" s="165">
        <f t="shared" si="50"/>
        <v>0</v>
      </c>
      <c r="BE30" s="165">
        <f t="shared" si="51"/>
        <v>0</v>
      </c>
      <c r="BF30" s="165">
        <f t="shared" si="52"/>
        <v>0</v>
      </c>
      <c r="BG30" s="165">
        <f t="shared" si="53"/>
        <v>0</v>
      </c>
      <c r="BH30" s="165">
        <f t="shared" si="54"/>
        <v>0</v>
      </c>
      <c r="BI30" s="165">
        <f t="shared" si="54"/>
        <v>0</v>
      </c>
      <c r="BJ30" s="165">
        <f t="shared" si="55"/>
        <v>0</v>
      </c>
      <c r="BK30" s="165">
        <f t="shared" si="29"/>
        <v>0</v>
      </c>
      <c r="BL30" s="165">
        <f t="shared" si="30"/>
        <v>0</v>
      </c>
      <c r="BM30" s="165">
        <f t="shared" si="31"/>
        <v>0</v>
      </c>
      <c r="BN30" s="165">
        <f t="shared" si="32"/>
        <v>0</v>
      </c>
      <c r="BO30" s="165">
        <f t="shared" si="33"/>
        <v>0</v>
      </c>
      <c r="BP30" s="166">
        <f t="shared" si="34"/>
        <v>0</v>
      </c>
      <c r="BQ30" s="603" t="str">
        <f t="shared" si="35"/>
        <v/>
      </c>
      <c r="BS30" s="164">
        <f t="shared" si="56"/>
        <v>0</v>
      </c>
      <c r="BT30" s="165">
        <f t="shared" si="57"/>
        <v>0</v>
      </c>
      <c r="BU30" s="165">
        <f t="shared" si="58"/>
        <v>0</v>
      </c>
      <c r="BV30" s="165">
        <f t="shared" si="59"/>
        <v>0</v>
      </c>
      <c r="BW30" s="165">
        <f t="shared" si="60"/>
        <v>0</v>
      </c>
      <c r="BX30" s="165">
        <f t="shared" si="61"/>
        <v>0</v>
      </c>
      <c r="BY30" s="165">
        <f t="shared" si="62"/>
        <v>0</v>
      </c>
      <c r="BZ30" s="165">
        <f t="shared" si="63"/>
        <v>0</v>
      </c>
      <c r="CA30" s="165">
        <f t="shared" si="63"/>
        <v>0</v>
      </c>
      <c r="CB30" s="165">
        <f t="shared" si="64"/>
        <v>0</v>
      </c>
      <c r="CC30" s="165">
        <f t="shared" si="37"/>
        <v>0</v>
      </c>
      <c r="CD30" s="165">
        <f t="shared" si="65"/>
        <v>0</v>
      </c>
      <c r="CE30" s="165">
        <f t="shared" si="66"/>
        <v>0</v>
      </c>
      <c r="CF30" s="165">
        <f t="shared" si="67"/>
        <v>0</v>
      </c>
      <c r="CG30" s="165">
        <f t="shared" si="68"/>
        <v>0</v>
      </c>
      <c r="CH30" s="166">
        <f t="shared" si="42"/>
        <v>0</v>
      </c>
    </row>
    <row r="31" spans="2:89">
      <c r="B31" s="416"/>
      <c r="C31" s="449"/>
      <c r="D31" s="376" t="str">
        <f>IF(C31="","",INDEX('Side constraints'!$C$33:$C$92,MATCH('Prop DUOS'!C31,'Side constraints'!$D$33:$D$92,0),1))</f>
        <v/>
      </c>
      <c r="E31" s="425"/>
      <c r="F31" s="426"/>
      <c r="G31" s="426"/>
      <c r="H31" s="426"/>
      <c r="I31" s="426"/>
      <c r="J31" s="426"/>
      <c r="K31" s="426"/>
      <c r="L31" s="426"/>
      <c r="M31" s="426"/>
      <c r="N31" s="426"/>
      <c r="O31" s="426"/>
      <c r="P31" s="426"/>
      <c r="Q31" s="426"/>
      <c r="R31" s="606"/>
      <c r="S31" s="427"/>
      <c r="U31" s="437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612"/>
      <c r="AI31" s="441"/>
      <c r="AK31" s="363">
        <f>'t-1 DUOS'!D31</f>
        <v>0</v>
      </c>
      <c r="AL31" s="364">
        <f>'t-1 DUOS'!E31</f>
        <v>0</v>
      </c>
      <c r="AM31" s="364">
        <f>'t-1 DUOS'!F31</f>
        <v>0</v>
      </c>
      <c r="AN31" s="364">
        <f>'t-1 DUOS'!G31</f>
        <v>0</v>
      </c>
      <c r="AO31" s="364">
        <f>'t-1 DUOS'!H31</f>
        <v>0</v>
      </c>
      <c r="AP31" s="364">
        <f>'t-1 DUOS'!I31</f>
        <v>0</v>
      </c>
      <c r="AQ31" s="364">
        <f>'t-1 DUOS'!J31</f>
        <v>0</v>
      </c>
      <c r="AR31" s="364">
        <f>'t-1 DUOS'!K31</f>
        <v>0</v>
      </c>
      <c r="AS31" s="364">
        <f>'t-1 DUOS'!L31</f>
        <v>0</v>
      </c>
      <c r="AT31" s="364">
        <f>'t-1 DUOS'!M31</f>
        <v>0</v>
      </c>
      <c r="AU31" s="364">
        <f>'t-1 DUOS'!N31</f>
        <v>0</v>
      </c>
      <c r="AV31" s="364">
        <f>'t-1 DUOS'!O31</f>
        <v>0</v>
      </c>
      <c r="AW31" s="364">
        <f>'t-1 DUOS'!P31</f>
        <v>0</v>
      </c>
      <c r="AX31" s="615">
        <f>'t-1 DUOS'!Q31</f>
        <v>0</v>
      </c>
      <c r="AY31" s="365">
        <f>'t-1 DUOS'!R31</f>
        <v>0</v>
      </c>
      <c r="BA31" s="164">
        <f t="shared" si="47"/>
        <v>0</v>
      </c>
      <c r="BB31" s="165">
        <f t="shared" si="48"/>
        <v>0</v>
      </c>
      <c r="BC31" s="165">
        <f t="shared" si="49"/>
        <v>0</v>
      </c>
      <c r="BD31" s="165">
        <f t="shared" si="50"/>
        <v>0</v>
      </c>
      <c r="BE31" s="165">
        <f t="shared" si="51"/>
        <v>0</v>
      </c>
      <c r="BF31" s="165">
        <f t="shared" si="52"/>
        <v>0</v>
      </c>
      <c r="BG31" s="165">
        <f t="shared" si="53"/>
        <v>0</v>
      </c>
      <c r="BH31" s="165">
        <f t="shared" si="54"/>
        <v>0</v>
      </c>
      <c r="BI31" s="165">
        <f t="shared" si="54"/>
        <v>0</v>
      </c>
      <c r="BJ31" s="165">
        <f t="shared" si="55"/>
        <v>0</v>
      </c>
      <c r="BK31" s="165">
        <f t="shared" si="29"/>
        <v>0</v>
      </c>
      <c r="BL31" s="165">
        <f t="shared" si="30"/>
        <v>0</v>
      </c>
      <c r="BM31" s="165">
        <f t="shared" si="31"/>
        <v>0</v>
      </c>
      <c r="BN31" s="165">
        <f t="shared" si="32"/>
        <v>0</v>
      </c>
      <c r="BO31" s="165">
        <f t="shared" si="33"/>
        <v>0</v>
      </c>
      <c r="BP31" s="166">
        <f t="shared" si="34"/>
        <v>0</v>
      </c>
      <c r="BQ31" s="603" t="str">
        <f t="shared" si="35"/>
        <v/>
      </c>
      <c r="BS31" s="164">
        <f t="shared" si="56"/>
        <v>0</v>
      </c>
      <c r="BT31" s="165">
        <f t="shared" si="57"/>
        <v>0</v>
      </c>
      <c r="BU31" s="165">
        <f t="shared" si="58"/>
        <v>0</v>
      </c>
      <c r="BV31" s="165">
        <f t="shared" si="59"/>
        <v>0</v>
      </c>
      <c r="BW31" s="165">
        <f t="shared" si="60"/>
        <v>0</v>
      </c>
      <c r="BX31" s="165">
        <f t="shared" si="61"/>
        <v>0</v>
      </c>
      <c r="BY31" s="165">
        <f t="shared" si="62"/>
        <v>0</v>
      </c>
      <c r="BZ31" s="165">
        <f t="shared" si="63"/>
        <v>0</v>
      </c>
      <c r="CA31" s="165">
        <f t="shared" si="63"/>
        <v>0</v>
      </c>
      <c r="CB31" s="165">
        <f t="shared" si="64"/>
        <v>0</v>
      </c>
      <c r="CC31" s="165">
        <f t="shared" si="37"/>
        <v>0</v>
      </c>
      <c r="CD31" s="165">
        <f t="shared" si="65"/>
        <v>0</v>
      </c>
      <c r="CE31" s="165">
        <f t="shared" si="66"/>
        <v>0</v>
      </c>
      <c r="CF31" s="165">
        <f t="shared" si="67"/>
        <v>0</v>
      </c>
      <c r="CG31" s="165">
        <f t="shared" si="68"/>
        <v>0</v>
      </c>
      <c r="CH31" s="166">
        <f t="shared" si="42"/>
        <v>0</v>
      </c>
    </row>
    <row r="32" spans="2:89">
      <c r="B32" s="416"/>
      <c r="C32" s="449"/>
      <c r="D32" s="376" t="str">
        <f>IF(C32="","",INDEX('Side constraints'!$C$33:$C$92,MATCH('Prop DUOS'!C32,'Side constraints'!$D$33:$D$92,0),1))</f>
        <v/>
      </c>
      <c r="E32" s="425"/>
      <c r="F32" s="426"/>
      <c r="G32" s="426"/>
      <c r="H32" s="426"/>
      <c r="I32" s="426"/>
      <c r="J32" s="426"/>
      <c r="K32" s="426"/>
      <c r="L32" s="426"/>
      <c r="M32" s="426"/>
      <c r="N32" s="426"/>
      <c r="O32" s="426"/>
      <c r="P32" s="426"/>
      <c r="Q32" s="426"/>
      <c r="R32" s="606"/>
      <c r="S32" s="427"/>
      <c r="U32" s="437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  <c r="AG32" s="440"/>
      <c r="AH32" s="612"/>
      <c r="AI32" s="441"/>
      <c r="AK32" s="363">
        <f>'t-1 DUOS'!D32</f>
        <v>0</v>
      </c>
      <c r="AL32" s="364">
        <f>'t-1 DUOS'!E32</f>
        <v>0</v>
      </c>
      <c r="AM32" s="364">
        <f>'t-1 DUOS'!F32</f>
        <v>0</v>
      </c>
      <c r="AN32" s="364">
        <f>'t-1 DUOS'!G32</f>
        <v>0</v>
      </c>
      <c r="AO32" s="364">
        <f>'t-1 DUOS'!H32</f>
        <v>0</v>
      </c>
      <c r="AP32" s="364">
        <f>'t-1 DUOS'!I32</f>
        <v>0</v>
      </c>
      <c r="AQ32" s="364">
        <f>'t-1 DUOS'!J32</f>
        <v>0</v>
      </c>
      <c r="AR32" s="364">
        <f>'t-1 DUOS'!K32</f>
        <v>0</v>
      </c>
      <c r="AS32" s="364">
        <f>'t-1 DUOS'!L32</f>
        <v>0</v>
      </c>
      <c r="AT32" s="364">
        <f>'t-1 DUOS'!M32</f>
        <v>0</v>
      </c>
      <c r="AU32" s="364">
        <f>'t-1 DUOS'!N32</f>
        <v>0</v>
      </c>
      <c r="AV32" s="364">
        <f>'t-1 DUOS'!O32</f>
        <v>0</v>
      </c>
      <c r="AW32" s="364">
        <f>'t-1 DUOS'!P32</f>
        <v>0</v>
      </c>
      <c r="AX32" s="615">
        <f>'t-1 DUOS'!Q32</f>
        <v>0</v>
      </c>
      <c r="AY32" s="365">
        <f>'t-1 DUOS'!R32</f>
        <v>0</v>
      </c>
      <c r="BA32" s="164">
        <f t="shared" si="47"/>
        <v>0</v>
      </c>
      <c r="BB32" s="165">
        <f t="shared" si="48"/>
        <v>0</v>
      </c>
      <c r="BC32" s="165">
        <f t="shared" si="49"/>
        <v>0</v>
      </c>
      <c r="BD32" s="165">
        <f t="shared" si="50"/>
        <v>0</v>
      </c>
      <c r="BE32" s="165">
        <f t="shared" si="51"/>
        <v>0</v>
      </c>
      <c r="BF32" s="165">
        <f t="shared" si="52"/>
        <v>0</v>
      </c>
      <c r="BG32" s="165">
        <f t="shared" si="53"/>
        <v>0</v>
      </c>
      <c r="BH32" s="165">
        <f t="shared" si="54"/>
        <v>0</v>
      </c>
      <c r="BI32" s="165">
        <f t="shared" si="54"/>
        <v>0</v>
      </c>
      <c r="BJ32" s="165">
        <f t="shared" si="55"/>
        <v>0</v>
      </c>
      <c r="BK32" s="165">
        <f t="shared" si="29"/>
        <v>0</v>
      </c>
      <c r="BL32" s="165">
        <f t="shared" si="30"/>
        <v>0</v>
      </c>
      <c r="BM32" s="165">
        <f t="shared" si="31"/>
        <v>0</v>
      </c>
      <c r="BN32" s="165">
        <f t="shared" si="32"/>
        <v>0</v>
      </c>
      <c r="BO32" s="165">
        <f t="shared" si="33"/>
        <v>0</v>
      </c>
      <c r="BP32" s="166">
        <f t="shared" si="34"/>
        <v>0</v>
      </c>
      <c r="BQ32" s="603" t="str">
        <f t="shared" si="35"/>
        <v/>
      </c>
      <c r="BS32" s="164">
        <f t="shared" si="56"/>
        <v>0</v>
      </c>
      <c r="BT32" s="165">
        <f t="shared" si="57"/>
        <v>0</v>
      </c>
      <c r="BU32" s="165">
        <f t="shared" si="58"/>
        <v>0</v>
      </c>
      <c r="BV32" s="165">
        <f t="shared" si="59"/>
        <v>0</v>
      </c>
      <c r="BW32" s="165">
        <f t="shared" si="60"/>
        <v>0</v>
      </c>
      <c r="BX32" s="165">
        <f t="shared" si="61"/>
        <v>0</v>
      </c>
      <c r="BY32" s="165">
        <f t="shared" si="62"/>
        <v>0</v>
      </c>
      <c r="BZ32" s="165">
        <f t="shared" si="63"/>
        <v>0</v>
      </c>
      <c r="CA32" s="165">
        <f t="shared" si="63"/>
        <v>0</v>
      </c>
      <c r="CB32" s="165">
        <f t="shared" si="64"/>
        <v>0</v>
      </c>
      <c r="CC32" s="165">
        <f t="shared" si="37"/>
        <v>0</v>
      </c>
      <c r="CD32" s="165">
        <f t="shared" si="65"/>
        <v>0</v>
      </c>
      <c r="CE32" s="165">
        <f t="shared" si="66"/>
        <v>0</v>
      </c>
      <c r="CF32" s="165">
        <f t="shared" si="67"/>
        <v>0</v>
      </c>
      <c r="CG32" s="165">
        <f t="shared" si="68"/>
        <v>0</v>
      </c>
      <c r="CH32" s="166">
        <f t="shared" si="42"/>
        <v>0</v>
      </c>
    </row>
    <row r="33" spans="2:86">
      <c r="B33" s="416"/>
      <c r="C33" s="449"/>
      <c r="D33" s="376" t="str">
        <f>IF(C33="","",INDEX('Side constraints'!$C$33:$C$92,MATCH('Prop DUOS'!C33,'Side constraints'!$D$33:$D$92,0),1))</f>
        <v/>
      </c>
      <c r="E33" s="425"/>
      <c r="F33" s="426"/>
      <c r="G33" s="426"/>
      <c r="H33" s="426"/>
      <c r="I33" s="426"/>
      <c r="J33" s="426"/>
      <c r="K33" s="426"/>
      <c r="L33" s="426"/>
      <c r="M33" s="426"/>
      <c r="N33" s="426"/>
      <c r="O33" s="426"/>
      <c r="P33" s="426"/>
      <c r="Q33" s="426"/>
      <c r="R33" s="606"/>
      <c r="S33" s="427"/>
      <c r="U33" s="437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612"/>
      <c r="AI33" s="441"/>
      <c r="AK33" s="363">
        <f>'t-1 DUOS'!D33</f>
        <v>0</v>
      </c>
      <c r="AL33" s="364">
        <f>'t-1 DUOS'!E33</f>
        <v>0</v>
      </c>
      <c r="AM33" s="364">
        <f>'t-1 DUOS'!F33</f>
        <v>0</v>
      </c>
      <c r="AN33" s="364">
        <f>'t-1 DUOS'!G33</f>
        <v>0</v>
      </c>
      <c r="AO33" s="364">
        <f>'t-1 DUOS'!H33</f>
        <v>0</v>
      </c>
      <c r="AP33" s="364">
        <f>'t-1 DUOS'!I33</f>
        <v>0</v>
      </c>
      <c r="AQ33" s="364">
        <f>'t-1 DUOS'!J33</f>
        <v>0</v>
      </c>
      <c r="AR33" s="364">
        <f>'t-1 DUOS'!K33</f>
        <v>0</v>
      </c>
      <c r="AS33" s="364">
        <f>'t-1 DUOS'!L33</f>
        <v>0</v>
      </c>
      <c r="AT33" s="364">
        <f>'t-1 DUOS'!M33</f>
        <v>0</v>
      </c>
      <c r="AU33" s="364">
        <f>'t-1 DUOS'!N33</f>
        <v>0</v>
      </c>
      <c r="AV33" s="364">
        <f>'t-1 DUOS'!O33</f>
        <v>0</v>
      </c>
      <c r="AW33" s="364">
        <f>'t-1 DUOS'!P33</f>
        <v>0</v>
      </c>
      <c r="AX33" s="615">
        <f>'t-1 DUOS'!Q33</f>
        <v>0</v>
      </c>
      <c r="AY33" s="365">
        <f>'t-1 DUOS'!R33</f>
        <v>0</v>
      </c>
      <c r="BA33" s="164">
        <f t="shared" si="47"/>
        <v>0</v>
      </c>
      <c r="BB33" s="165">
        <f t="shared" si="48"/>
        <v>0</v>
      </c>
      <c r="BC33" s="165">
        <f t="shared" si="49"/>
        <v>0</v>
      </c>
      <c r="BD33" s="165">
        <f t="shared" si="50"/>
        <v>0</v>
      </c>
      <c r="BE33" s="165">
        <f t="shared" si="51"/>
        <v>0</v>
      </c>
      <c r="BF33" s="165">
        <f t="shared" si="52"/>
        <v>0</v>
      </c>
      <c r="BG33" s="165">
        <f t="shared" si="53"/>
        <v>0</v>
      </c>
      <c r="BH33" s="165">
        <f t="shared" si="54"/>
        <v>0</v>
      </c>
      <c r="BI33" s="165">
        <f t="shared" si="54"/>
        <v>0</v>
      </c>
      <c r="BJ33" s="165">
        <f t="shared" si="55"/>
        <v>0</v>
      </c>
      <c r="BK33" s="165">
        <f t="shared" si="29"/>
        <v>0</v>
      </c>
      <c r="BL33" s="165">
        <f t="shared" si="30"/>
        <v>0</v>
      </c>
      <c r="BM33" s="165">
        <f t="shared" si="31"/>
        <v>0</v>
      </c>
      <c r="BN33" s="165">
        <f t="shared" si="32"/>
        <v>0</v>
      </c>
      <c r="BO33" s="165">
        <f t="shared" si="33"/>
        <v>0</v>
      </c>
      <c r="BP33" s="166">
        <f t="shared" si="34"/>
        <v>0</v>
      </c>
      <c r="BQ33" s="603" t="str">
        <f t="shared" si="35"/>
        <v/>
      </c>
      <c r="BS33" s="164">
        <f t="shared" si="56"/>
        <v>0</v>
      </c>
      <c r="BT33" s="165">
        <f t="shared" si="57"/>
        <v>0</v>
      </c>
      <c r="BU33" s="165">
        <f t="shared" si="58"/>
        <v>0</v>
      </c>
      <c r="BV33" s="165">
        <f t="shared" si="59"/>
        <v>0</v>
      </c>
      <c r="BW33" s="165">
        <f t="shared" si="60"/>
        <v>0</v>
      </c>
      <c r="BX33" s="165">
        <f t="shared" si="61"/>
        <v>0</v>
      </c>
      <c r="BY33" s="165">
        <f t="shared" si="62"/>
        <v>0</v>
      </c>
      <c r="BZ33" s="165">
        <f t="shared" si="63"/>
        <v>0</v>
      </c>
      <c r="CA33" s="165">
        <f t="shared" si="63"/>
        <v>0</v>
      </c>
      <c r="CB33" s="165">
        <f t="shared" si="64"/>
        <v>0</v>
      </c>
      <c r="CC33" s="165">
        <f t="shared" si="37"/>
        <v>0</v>
      </c>
      <c r="CD33" s="165">
        <f t="shared" si="65"/>
        <v>0</v>
      </c>
      <c r="CE33" s="165">
        <f t="shared" si="66"/>
        <v>0</v>
      </c>
      <c r="CF33" s="165">
        <f t="shared" si="67"/>
        <v>0</v>
      </c>
      <c r="CG33" s="165">
        <f t="shared" si="68"/>
        <v>0</v>
      </c>
      <c r="CH33" s="166">
        <f t="shared" si="42"/>
        <v>0</v>
      </c>
    </row>
    <row r="34" spans="2:86">
      <c r="B34" s="416"/>
      <c r="C34" s="449"/>
      <c r="D34" s="376" t="str">
        <f>IF(C34="","",INDEX('Side constraints'!$C$33:$C$92,MATCH('Prop DUOS'!C34,'Side constraints'!$D$33:$D$92,0),1))</f>
        <v/>
      </c>
      <c r="E34" s="425"/>
      <c r="F34" s="426"/>
      <c r="G34" s="426"/>
      <c r="H34" s="426"/>
      <c r="I34" s="426"/>
      <c r="J34" s="426"/>
      <c r="K34" s="426"/>
      <c r="L34" s="426"/>
      <c r="M34" s="426"/>
      <c r="N34" s="426"/>
      <c r="O34" s="426"/>
      <c r="P34" s="426"/>
      <c r="Q34" s="426"/>
      <c r="R34" s="606"/>
      <c r="S34" s="427"/>
      <c r="U34" s="437"/>
      <c r="V34" s="440"/>
      <c r="W34" s="440"/>
      <c r="X34" s="440"/>
      <c r="Y34" s="440"/>
      <c r="Z34" s="440"/>
      <c r="AA34" s="440"/>
      <c r="AB34" s="440"/>
      <c r="AC34" s="440"/>
      <c r="AD34" s="440"/>
      <c r="AE34" s="440"/>
      <c r="AF34" s="440"/>
      <c r="AG34" s="440"/>
      <c r="AH34" s="612"/>
      <c r="AI34" s="441"/>
      <c r="AK34" s="363">
        <f>'t-1 DUOS'!D34</f>
        <v>0</v>
      </c>
      <c r="AL34" s="364">
        <f>'t-1 DUOS'!E34</f>
        <v>0</v>
      </c>
      <c r="AM34" s="364">
        <f>'t-1 DUOS'!F34</f>
        <v>0</v>
      </c>
      <c r="AN34" s="364">
        <f>'t-1 DUOS'!G34</f>
        <v>0</v>
      </c>
      <c r="AO34" s="364">
        <f>'t-1 DUOS'!H34</f>
        <v>0</v>
      </c>
      <c r="AP34" s="364">
        <f>'t-1 DUOS'!I34</f>
        <v>0</v>
      </c>
      <c r="AQ34" s="364">
        <f>'t-1 DUOS'!J34</f>
        <v>0</v>
      </c>
      <c r="AR34" s="364">
        <f>'t-1 DUOS'!K34</f>
        <v>0</v>
      </c>
      <c r="AS34" s="364">
        <f>'t-1 DUOS'!L34</f>
        <v>0</v>
      </c>
      <c r="AT34" s="364">
        <f>'t-1 DUOS'!M34</f>
        <v>0</v>
      </c>
      <c r="AU34" s="364">
        <f>'t-1 DUOS'!N34</f>
        <v>0</v>
      </c>
      <c r="AV34" s="364">
        <f>'t-1 DUOS'!O34</f>
        <v>0</v>
      </c>
      <c r="AW34" s="364">
        <f>'t-1 DUOS'!P34</f>
        <v>0</v>
      </c>
      <c r="AX34" s="615">
        <f>'t-1 DUOS'!Q34</f>
        <v>0</v>
      </c>
      <c r="AY34" s="365">
        <f>'t-1 DUOS'!R34</f>
        <v>0</v>
      </c>
      <c r="AZ34" s="158">
        <f>'t-1 DUOS'!S34</f>
        <v>0</v>
      </c>
      <c r="BA34" s="164">
        <f t="shared" si="47"/>
        <v>0</v>
      </c>
      <c r="BB34" s="165">
        <f t="shared" si="48"/>
        <v>0</v>
      </c>
      <c r="BC34" s="165">
        <f t="shared" si="49"/>
        <v>0</v>
      </c>
      <c r="BD34" s="165">
        <f t="shared" si="50"/>
        <v>0</v>
      </c>
      <c r="BE34" s="165">
        <f t="shared" si="51"/>
        <v>0</v>
      </c>
      <c r="BF34" s="165">
        <f t="shared" si="52"/>
        <v>0</v>
      </c>
      <c r="BG34" s="165">
        <f t="shared" si="53"/>
        <v>0</v>
      </c>
      <c r="BH34" s="165">
        <f t="shared" si="54"/>
        <v>0</v>
      </c>
      <c r="BI34" s="165">
        <f t="shared" si="54"/>
        <v>0</v>
      </c>
      <c r="BJ34" s="165">
        <f t="shared" si="55"/>
        <v>0</v>
      </c>
      <c r="BK34" s="165">
        <f t="shared" si="29"/>
        <v>0</v>
      </c>
      <c r="BL34" s="165">
        <f t="shared" si="30"/>
        <v>0</v>
      </c>
      <c r="BM34" s="165">
        <f t="shared" si="31"/>
        <v>0</v>
      </c>
      <c r="BN34" s="165">
        <f t="shared" si="32"/>
        <v>0</v>
      </c>
      <c r="BO34" s="165">
        <f t="shared" si="33"/>
        <v>0</v>
      </c>
      <c r="BP34" s="166">
        <f t="shared" si="34"/>
        <v>0</v>
      </c>
      <c r="BQ34" s="603" t="str">
        <f t="shared" si="35"/>
        <v/>
      </c>
      <c r="BS34" s="164">
        <f t="shared" si="56"/>
        <v>0</v>
      </c>
      <c r="BT34" s="165">
        <f t="shared" si="57"/>
        <v>0</v>
      </c>
      <c r="BU34" s="165">
        <f t="shared" si="58"/>
        <v>0</v>
      </c>
      <c r="BV34" s="165">
        <f t="shared" si="59"/>
        <v>0</v>
      </c>
      <c r="BW34" s="165">
        <f t="shared" si="60"/>
        <v>0</v>
      </c>
      <c r="BX34" s="165">
        <f t="shared" si="61"/>
        <v>0</v>
      </c>
      <c r="BY34" s="165">
        <f t="shared" si="62"/>
        <v>0</v>
      </c>
      <c r="BZ34" s="165">
        <f t="shared" si="63"/>
        <v>0</v>
      </c>
      <c r="CA34" s="165">
        <f t="shared" si="63"/>
        <v>0</v>
      </c>
      <c r="CB34" s="165">
        <f t="shared" si="64"/>
        <v>0</v>
      </c>
      <c r="CC34" s="165">
        <f t="shared" si="37"/>
        <v>0</v>
      </c>
      <c r="CD34" s="165">
        <f t="shared" si="65"/>
        <v>0</v>
      </c>
      <c r="CE34" s="165">
        <f t="shared" si="66"/>
        <v>0</v>
      </c>
      <c r="CF34" s="165">
        <f t="shared" si="67"/>
        <v>0</v>
      </c>
      <c r="CG34" s="165">
        <f t="shared" si="68"/>
        <v>0</v>
      </c>
      <c r="CH34" s="166">
        <f t="shared" si="42"/>
        <v>0</v>
      </c>
    </row>
    <row r="35" spans="2:86">
      <c r="B35" s="416"/>
      <c r="C35" s="449"/>
      <c r="D35" s="376" t="str">
        <f>IF(C35="","",INDEX('Side constraints'!$C$33:$C$92,MATCH('Prop DUOS'!C35,'Side constraints'!$D$33:$D$92,0),1))</f>
        <v/>
      </c>
      <c r="E35" s="425"/>
      <c r="F35" s="426"/>
      <c r="G35" s="426"/>
      <c r="H35" s="426"/>
      <c r="I35" s="426"/>
      <c r="J35" s="426"/>
      <c r="K35" s="426"/>
      <c r="L35" s="426"/>
      <c r="M35" s="426"/>
      <c r="N35" s="426"/>
      <c r="O35" s="426"/>
      <c r="P35" s="426"/>
      <c r="Q35" s="426"/>
      <c r="R35" s="606"/>
      <c r="S35" s="427"/>
      <c r="U35" s="437"/>
      <c r="V35" s="440"/>
      <c r="W35" s="440"/>
      <c r="X35" s="440"/>
      <c r="Y35" s="440"/>
      <c r="Z35" s="440"/>
      <c r="AA35" s="440"/>
      <c r="AB35" s="440"/>
      <c r="AC35" s="440"/>
      <c r="AD35" s="440"/>
      <c r="AE35" s="440"/>
      <c r="AF35" s="440"/>
      <c r="AG35" s="440"/>
      <c r="AH35" s="612"/>
      <c r="AI35" s="441"/>
      <c r="AK35" s="363">
        <f>'t-1 DUOS'!D35</f>
        <v>0</v>
      </c>
      <c r="AL35" s="364">
        <f>'t-1 DUOS'!E35</f>
        <v>0</v>
      </c>
      <c r="AM35" s="364">
        <f>'t-1 DUOS'!F35</f>
        <v>0</v>
      </c>
      <c r="AN35" s="364">
        <f>'t-1 DUOS'!G35</f>
        <v>0</v>
      </c>
      <c r="AO35" s="364">
        <f>'t-1 DUOS'!H35</f>
        <v>0</v>
      </c>
      <c r="AP35" s="364">
        <f>'t-1 DUOS'!I35</f>
        <v>0</v>
      </c>
      <c r="AQ35" s="364">
        <f>'t-1 DUOS'!J35</f>
        <v>0</v>
      </c>
      <c r="AR35" s="364">
        <f>'t-1 DUOS'!K35</f>
        <v>0</v>
      </c>
      <c r="AS35" s="364">
        <f>'t-1 DUOS'!L35</f>
        <v>0</v>
      </c>
      <c r="AT35" s="364">
        <f>'t-1 DUOS'!M35</f>
        <v>0</v>
      </c>
      <c r="AU35" s="364">
        <f>'t-1 DUOS'!N35</f>
        <v>0</v>
      </c>
      <c r="AV35" s="364">
        <f>'t-1 DUOS'!O35</f>
        <v>0</v>
      </c>
      <c r="AW35" s="364">
        <f>'t-1 DUOS'!P35</f>
        <v>0</v>
      </c>
      <c r="AX35" s="615">
        <f>'t-1 DUOS'!Q35</f>
        <v>0</v>
      </c>
      <c r="AY35" s="365">
        <f>'t-1 DUOS'!R35</f>
        <v>0</v>
      </c>
      <c r="AZ35" s="158">
        <f>'t-1 DUOS'!S35</f>
        <v>0</v>
      </c>
      <c r="BA35" s="164">
        <f t="shared" si="47"/>
        <v>0</v>
      </c>
      <c r="BB35" s="165">
        <f t="shared" si="48"/>
        <v>0</v>
      </c>
      <c r="BC35" s="165">
        <f t="shared" si="49"/>
        <v>0</v>
      </c>
      <c r="BD35" s="165">
        <f t="shared" si="50"/>
        <v>0</v>
      </c>
      <c r="BE35" s="165">
        <f t="shared" si="51"/>
        <v>0</v>
      </c>
      <c r="BF35" s="165">
        <f t="shared" si="52"/>
        <v>0</v>
      </c>
      <c r="BG35" s="165">
        <f t="shared" si="53"/>
        <v>0</v>
      </c>
      <c r="BH35" s="165">
        <f t="shared" si="54"/>
        <v>0</v>
      </c>
      <c r="BI35" s="165">
        <f t="shared" si="54"/>
        <v>0</v>
      </c>
      <c r="BJ35" s="165">
        <f t="shared" si="55"/>
        <v>0</v>
      </c>
      <c r="BK35" s="165">
        <f t="shared" si="29"/>
        <v>0</v>
      </c>
      <c r="BL35" s="165">
        <f t="shared" si="30"/>
        <v>0</v>
      </c>
      <c r="BM35" s="165">
        <f t="shared" si="31"/>
        <v>0</v>
      </c>
      <c r="BN35" s="165">
        <f t="shared" si="32"/>
        <v>0</v>
      </c>
      <c r="BO35" s="165">
        <f t="shared" si="33"/>
        <v>0</v>
      </c>
      <c r="BP35" s="166">
        <f t="shared" si="34"/>
        <v>0</v>
      </c>
      <c r="BQ35" s="603" t="str">
        <f t="shared" si="35"/>
        <v/>
      </c>
      <c r="BS35" s="164">
        <f t="shared" si="56"/>
        <v>0</v>
      </c>
      <c r="BT35" s="165">
        <f t="shared" si="57"/>
        <v>0</v>
      </c>
      <c r="BU35" s="165">
        <f t="shared" si="58"/>
        <v>0</v>
      </c>
      <c r="BV35" s="165">
        <f t="shared" si="59"/>
        <v>0</v>
      </c>
      <c r="BW35" s="165">
        <f t="shared" si="60"/>
        <v>0</v>
      </c>
      <c r="BX35" s="165">
        <f t="shared" si="61"/>
        <v>0</v>
      </c>
      <c r="BY35" s="165">
        <f t="shared" si="62"/>
        <v>0</v>
      </c>
      <c r="BZ35" s="165">
        <f t="shared" si="63"/>
        <v>0</v>
      </c>
      <c r="CA35" s="165">
        <f t="shared" si="63"/>
        <v>0</v>
      </c>
      <c r="CB35" s="165">
        <f t="shared" si="64"/>
        <v>0</v>
      </c>
      <c r="CC35" s="165">
        <f t="shared" si="37"/>
        <v>0</v>
      </c>
      <c r="CD35" s="165">
        <f t="shared" si="65"/>
        <v>0</v>
      </c>
      <c r="CE35" s="165">
        <f t="shared" si="66"/>
        <v>0</v>
      </c>
      <c r="CF35" s="165">
        <f t="shared" si="67"/>
        <v>0</v>
      </c>
      <c r="CG35" s="165">
        <f t="shared" si="68"/>
        <v>0</v>
      </c>
      <c r="CH35" s="166">
        <f t="shared" si="42"/>
        <v>0</v>
      </c>
    </row>
    <row r="36" spans="2:86">
      <c r="B36" s="416"/>
      <c r="C36" s="449"/>
      <c r="D36" s="376" t="str">
        <f>IF(C36="","",INDEX('Side constraints'!$C$33:$C$92,MATCH('Prop DUOS'!C36,'Side constraints'!$D$33:$D$92,0),1))</f>
        <v/>
      </c>
      <c r="E36" s="425"/>
      <c r="F36" s="426"/>
      <c r="G36" s="426"/>
      <c r="H36" s="426"/>
      <c r="I36" s="426"/>
      <c r="J36" s="426"/>
      <c r="K36" s="426"/>
      <c r="L36" s="426"/>
      <c r="M36" s="426"/>
      <c r="N36" s="426"/>
      <c r="O36" s="426"/>
      <c r="P36" s="426"/>
      <c r="Q36" s="426"/>
      <c r="R36" s="606"/>
      <c r="S36" s="427"/>
      <c r="U36" s="437"/>
      <c r="V36" s="440"/>
      <c r="W36" s="440"/>
      <c r="X36" s="440"/>
      <c r="Y36" s="440"/>
      <c r="Z36" s="440"/>
      <c r="AA36" s="440"/>
      <c r="AB36" s="440"/>
      <c r="AC36" s="440"/>
      <c r="AD36" s="440"/>
      <c r="AE36" s="440"/>
      <c r="AF36" s="440"/>
      <c r="AG36" s="440"/>
      <c r="AH36" s="612"/>
      <c r="AI36" s="441"/>
      <c r="AK36" s="363">
        <f>'t-1 DUOS'!D36</f>
        <v>0</v>
      </c>
      <c r="AL36" s="364">
        <f>'t-1 DUOS'!E36</f>
        <v>0</v>
      </c>
      <c r="AM36" s="364">
        <f>'t-1 DUOS'!F36</f>
        <v>0</v>
      </c>
      <c r="AN36" s="364">
        <f>'t-1 DUOS'!G36</f>
        <v>0</v>
      </c>
      <c r="AO36" s="364">
        <f>'t-1 DUOS'!H36</f>
        <v>0</v>
      </c>
      <c r="AP36" s="364">
        <f>'t-1 DUOS'!I36</f>
        <v>0</v>
      </c>
      <c r="AQ36" s="364">
        <f>'t-1 DUOS'!J36</f>
        <v>0</v>
      </c>
      <c r="AR36" s="364">
        <f>'t-1 DUOS'!K36</f>
        <v>0</v>
      </c>
      <c r="AS36" s="364">
        <f>'t-1 DUOS'!L36</f>
        <v>0</v>
      </c>
      <c r="AT36" s="364">
        <f>'t-1 DUOS'!M36</f>
        <v>0</v>
      </c>
      <c r="AU36" s="364">
        <f>'t-1 DUOS'!N36</f>
        <v>0</v>
      </c>
      <c r="AV36" s="364">
        <f>'t-1 DUOS'!O36</f>
        <v>0</v>
      </c>
      <c r="AW36" s="364">
        <f>'t-1 DUOS'!P36</f>
        <v>0</v>
      </c>
      <c r="AX36" s="615">
        <f>'t-1 DUOS'!Q36</f>
        <v>0</v>
      </c>
      <c r="AY36" s="365">
        <f>'t-1 DUOS'!R36</f>
        <v>0</v>
      </c>
      <c r="AZ36" s="158">
        <f>'t-1 DUOS'!S36</f>
        <v>0</v>
      </c>
      <c r="BA36" s="164">
        <f t="shared" si="47"/>
        <v>0</v>
      </c>
      <c r="BB36" s="165">
        <f t="shared" si="48"/>
        <v>0</v>
      </c>
      <c r="BC36" s="165">
        <f t="shared" si="49"/>
        <v>0</v>
      </c>
      <c r="BD36" s="165">
        <f t="shared" si="50"/>
        <v>0</v>
      </c>
      <c r="BE36" s="165">
        <f t="shared" si="51"/>
        <v>0</v>
      </c>
      <c r="BF36" s="165">
        <f t="shared" si="52"/>
        <v>0</v>
      </c>
      <c r="BG36" s="165">
        <f t="shared" si="53"/>
        <v>0</v>
      </c>
      <c r="BH36" s="165">
        <f t="shared" si="54"/>
        <v>0</v>
      </c>
      <c r="BI36" s="165">
        <f t="shared" si="54"/>
        <v>0</v>
      </c>
      <c r="BJ36" s="165">
        <f t="shared" si="55"/>
        <v>0</v>
      </c>
      <c r="BK36" s="165">
        <f t="shared" si="29"/>
        <v>0</v>
      </c>
      <c r="BL36" s="165">
        <f t="shared" si="30"/>
        <v>0</v>
      </c>
      <c r="BM36" s="165">
        <f t="shared" si="31"/>
        <v>0</v>
      </c>
      <c r="BN36" s="165">
        <f t="shared" si="32"/>
        <v>0</v>
      </c>
      <c r="BO36" s="165">
        <f t="shared" si="33"/>
        <v>0</v>
      </c>
      <c r="BP36" s="166">
        <f>SUM(BA36:BO36)</f>
        <v>0</v>
      </c>
      <c r="BQ36" s="603" t="str">
        <f t="shared" si="35"/>
        <v/>
      </c>
      <c r="BS36" s="164">
        <f t="shared" si="56"/>
        <v>0</v>
      </c>
      <c r="BT36" s="165">
        <f t="shared" si="57"/>
        <v>0</v>
      </c>
      <c r="BU36" s="165">
        <f t="shared" si="58"/>
        <v>0</v>
      </c>
      <c r="BV36" s="165">
        <f t="shared" si="59"/>
        <v>0</v>
      </c>
      <c r="BW36" s="165">
        <f t="shared" si="60"/>
        <v>0</v>
      </c>
      <c r="BX36" s="165">
        <f t="shared" si="61"/>
        <v>0</v>
      </c>
      <c r="BY36" s="165">
        <f t="shared" si="62"/>
        <v>0</v>
      </c>
      <c r="BZ36" s="165">
        <f t="shared" si="63"/>
        <v>0</v>
      </c>
      <c r="CA36" s="165">
        <f t="shared" si="63"/>
        <v>0</v>
      </c>
      <c r="CB36" s="165">
        <f t="shared" si="64"/>
        <v>0</v>
      </c>
      <c r="CC36" s="165">
        <f t="shared" si="37"/>
        <v>0</v>
      </c>
      <c r="CD36" s="165">
        <f t="shared" si="65"/>
        <v>0</v>
      </c>
      <c r="CE36" s="165">
        <f t="shared" si="66"/>
        <v>0</v>
      </c>
      <c r="CF36" s="165">
        <f t="shared" si="67"/>
        <v>0</v>
      </c>
      <c r="CG36" s="165">
        <f t="shared" si="68"/>
        <v>0</v>
      </c>
      <c r="CH36" s="166">
        <f>SUM(BS36:CG36)</f>
        <v>0</v>
      </c>
    </row>
    <row r="37" spans="2:86">
      <c r="B37" s="416"/>
      <c r="C37" s="449"/>
      <c r="D37" s="376" t="str">
        <f>IF(C37="","",INDEX('Side constraints'!$C$33:$C$92,MATCH('Prop DUOS'!C37,'Side constraints'!$D$33:$D$92,0),1))</f>
        <v/>
      </c>
      <c r="E37" s="425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606"/>
      <c r="S37" s="427"/>
      <c r="U37" s="437"/>
      <c r="V37" s="440"/>
      <c r="W37" s="440"/>
      <c r="X37" s="440"/>
      <c r="Y37" s="440"/>
      <c r="Z37" s="440"/>
      <c r="AA37" s="440"/>
      <c r="AB37" s="440"/>
      <c r="AC37" s="440"/>
      <c r="AD37" s="440"/>
      <c r="AE37" s="440"/>
      <c r="AF37" s="440"/>
      <c r="AG37" s="440"/>
      <c r="AH37" s="612"/>
      <c r="AI37" s="441"/>
      <c r="AK37" s="363">
        <f>'t-1 DUOS'!D37</f>
        <v>0</v>
      </c>
      <c r="AL37" s="364">
        <f>'t-1 DUOS'!E37</f>
        <v>0</v>
      </c>
      <c r="AM37" s="364">
        <f>'t-1 DUOS'!F37</f>
        <v>0</v>
      </c>
      <c r="AN37" s="364">
        <f>'t-1 DUOS'!G37</f>
        <v>0</v>
      </c>
      <c r="AO37" s="364">
        <f>'t-1 DUOS'!H37</f>
        <v>0</v>
      </c>
      <c r="AP37" s="364">
        <f>'t-1 DUOS'!I37</f>
        <v>0</v>
      </c>
      <c r="AQ37" s="364">
        <f>'t-1 DUOS'!J37</f>
        <v>0</v>
      </c>
      <c r="AR37" s="364">
        <f>'t-1 DUOS'!K37</f>
        <v>0</v>
      </c>
      <c r="AS37" s="364">
        <f>'t-1 DUOS'!L37</f>
        <v>0</v>
      </c>
      <c r="AT37" s="364">
        <f>'t-1 DUOS'!M37</f>
        <v>0</v>
      </c>
      <c r="AU37" s="364">
        <f>'t-1 DUOS'!N37</f>
        <v>0</v>
      </c>
      <c r="AV37" s="364">
        <f>'t-1 DUOS'!O37</f>
        <v>0</v>
      </c>
      <c r="AW37" s="364">
        <f>'t-1 DUOS'!P37</f>
        <v>0</v>
      </c>
      <c r="AX37" s="615">
        <f>'t-1 DUOS'!Q37</f>
        <v>0</v>
      </c>
      <c r="AY37" s="365">
        <f>'t-1 DUOS'!R37</f>
        <v>0</v>
      </c>
      <c r="BA37" s="164">
        <f t="shared" si="47"/>
        <v>0</v>
      </c>
      <c r="BB37" s="165">
        <f t="shared" si="48"/>
        <v>0</v>
      </c>
      <c r="BC37" s="165">
        <f t="shared" si="49"/>
        <v>0</v>
      </c>
      <c r="BD37" s="165">
        <f t="shared" si="50"/>
        <v>0</v>
      </c>
      <c r="BE37" s="165">
        <f t="shared" si="51"/>
        <v>0</v>
      </c>
      <c r="BF37" s="165">
        <f t="shared" si="52"/>
        <v>0</v>
      </c>
      <c r="BG37" s="165">
        <f t="shared" si="53"/>
        <v>0</v>
      </c>
      <c r="BH37" s="165">
        <f t="shared" si="54"/>
        <v>0</v>
      </c>
      <c r="BI37" s="165">
        <f t="shared" si="54"/>
        <v>0</v>
      </c>
      <c r="BJ37" s="165">
        <f t="shared" si="55"/>
        <v>0</v>
      </c>
      <c r="BK37" s="165">
        <f t="shared" si="29"/>
        <v>0</v>
      </c>
      <c r="BL37" s="165">
        <f t="shared" si="30"/>
        <v>0</v>
      </c>
      <c r="BM37" s="165">
        <f t="shared" si="31"/>
        <v>0</v>
      </c>
      <c r="BN37" s="165">
        <f t="shared" si="32"/>
        <v>0</v>
      </c>
      <c r="BO37" s="165">
        <f t="shared" si="33"/>
        <v>0</v>
      </c>
      <c r="BP37" s="166">
        <f t="shared" si="34"/>
        <v>0</v>
      </c>
      <c r="BQ37" s="603" t="str">
        <f t="shared" si="35"/>
        <v/>
      </c>
      <c r="BS37" s="164">
        <f t="shared" si="56"/>
        <v>0</v>
      </c>
      <c r="BT37" s="165">
        <f t="shared" si="57"/>
        <v>0</v>
      </c>
      <c r="BU37" s="165">
        <f t="shared" si="58"/>
        <v>0</v>
      </c>
      <c r="BV37" s="165">
        <f t="shared" si="59"/>
        <v>0</v>
      </c>
      <c r="BW37" s="165">
        <f t="shared" si="60"/>
        <v>0</v>
      </c>
      <c r="BX37" s="165">
        <f t="shared" si="61"/>
        <v>0</v>
      </c>
      <c r="BY37" s="165">
        <f t="shared" si="62"/>
        <v>0</v>
      </c>
      <c r="BZ37" s="165">
        <f t="shared" si="63"/>
        <v>0</v>
      </c>
      <c r="CA37" s="165">
        <f t="shared" si="63"/>
        <v>0</v>
      </c>
      <c r="CB37" s="165">
        <f t="shared" si="64"/>
        <v>0</v>
      </c>
      <c r="CC37" s="165">
        <f t="shared" si="37"/>
        <v>0</v>
      </c>
      <c r="CD37" s="165">
        <f t="shared" si="65"/>
        <v>0</v>
      </c>
      <c r="CE37" s="165">
        <f t="shared" si="66"/>
        <v>0</v>
      </c>
      <c r="CF37" s="165">
        <f t="shared" si="67"/>
        <v>0</v>
      </c>
      <c r="CG37" s="165">
        <f t="shared" si="68"/>
        <v>0</v>
      </c>
      <c r="CH37" s="166">
        <f t="shared" si="42"/>
        <v>0</v>
      </c>
    </row>
    <row r="38" spans="2:86">
      <c r="B38" s="416"/>
      <c r="C38" s="449"/>
      <c r="D38" s="376" t="str">
        <f>IF(C38="","",INDEX('Side constraints'!$C$33:$C$92,MATCH('Prop DUOS'!C38,'Side constraints'!$D$33:$D$92,0),1))</f>
        <v/>
      </c>
      <c r="E38" s="425"/>
      <c r="F38" s="426"/>
      <c r="G38" s="426"/>
      <c r="H38" s="426"/>
      <c r="I38" s="426"/>
      <c r="J38" s="426"/>
      <c r="K38" s="426"/>
      <c r="L38" s="426"/>
      <c r="M38" s="426"/>
      <c r="N38" s="426"/>
      <c r="O38" s="426"/>
      <c r="P38" s="426"/>
      <c r="Q38" s="426"/>
      <c r="R38" s="606"/>
      <c r="S38" s="427"/>
      <c r="U38" s="437"/>
      <c r="V38" s="440"/>
      <c r="W38" s="440"/>
      <c r="X38" s="440"/>
      <c r="Y38" s="440"/>
      <c r="Z38" s="440"/>
      <c r="AA38" s="440"/>
      <c r="AB38" s="440"/>
      <c r="AC38" s="440"/>
      <c r="AD38" s="440"/>
      <c r="AE38" s="440"/>
      <c r="AF38" s="440"/>
      <c r="AG38" s="440"/>
      <c r="AH38" s="612"/>
      <c r="AI38" s="441"/>
      <c r="AK38" s="363">
        <f>'t-1 DUOS'!D38</f>
        <v>0</v>
      </c>
      <c r="AL38" s="364">
        <f>'t-1 DUOS'!E38</f>
        <v>0</v>
      </c>
      <c r="AM38" s="364">
        <f>'t-1 DUOS'!F38</f>
        <v>0</v>
      </c>
      <c r="AN38" s="364">
        <f>'t-1 DUOS'!G38</f>
        <v>0</v>
      </c>
      <c r="AO38" s="364">
        <f>'t-1 DUOS'!H38</f>
        <v>0</v>
      </c>
      <c r="AP38" s="364">
        <f>'t-1 DUOS'!I38</f>
        <v>0</v>
      </c>
      <c r="AQ38" s="364">
        <f>'t-1 DUOS'!J38</f>
        <v>0</v>
      </c>
      <c r="AR38" s="364">
        <f>'t-1 DUOS'!K38</f>
        <v>0</v>
      </c>
      <c r="AS38" s="364">
        <f>'t-1 DUOS'!L38</f>
        <v>0</v>
      </c>
      <c r="AT38" s="364">
        <f>'t-1 DUOS'!M38</f>
        <v>0</v>
      </c>
      <c r="AU38" s="364">
        <f>'t-1 DUOS'!N38</f>
        <v>0</v>
      </c>
      <c r="AV38" s="364">
        <f>'t-1 DUOS'!O38</f>
        <v>0</v>
      </c>
      <c r="AW38" s="364">
        <f>'t-1 DUOS'!P38</f>
        <v>0</v>
      </c>
      <c r="AX38" s="615">
        <f>'t-1 DUOS'!Q38</f>
        <v>0</v>
      </c>
      <c r="AY38" s="365">
        <f>'t-1 DUOS'!R38</f>
        <v>0</v>
      </c>
      <c r="BA38" s="164">
        <f t="shared" si="47"/>
        <v>0</v>
      </c>
      <c r="BB38" s="165">
        <f t="shared" si="48"/>
        <v>0</v>
      </c>
      <c r="BC38" s="165">
        <f t="shared" si="49"/>
        <v>0</v>
      </c>
      <c r="BD38" s="165">
        <f t="shared" si="50"/>
        <v>0</v>
      </c>
      <c r="BE38" s="165">
        <f t="shared" si="51"/>
        <v>0</v>
      </c>
      <c r="BF38" s="165">
        <f t="shared" si="52"/>
        <v>0</v>
      </c>
      <c r="BG38" s="165">
        <f t="shared" si="53"/>
        <v>0</v>
      </c>
      <c r="BH38" s="165">
        <f t="shared" si="54"/>
        <v>0</v>
      </c>
      <c r="BI38" s="165">
        <f t="shared" si="54"/>
        <v>0</v>
      </c>
      <c r="BJ38" s="165">
        <f t="shared" si="55"/>
        <v>0</v>
      </c>
      <c r="BK38" s="165">
        <f t="shared" si="29"/>
        <v>0</v>
      </c>
      <c r="BL38" s="165">
        <f t="shared" si="30"/>
        <v>0</v>
      </c>
      <c r="BM38" s="165">
        <f t="shared" si="31"/>
        <v>0</v>
      </c>
      <c r="BN38" s="165">
        <f t="shared" si="32"/>
        <v>0</v>
      </c>
      <c r="BO38" s="165">
        <f t="shared" si="33"/>
        <v>0</v>
      </c>
      <c r="BP38" s="166">
        <f t="shared" si="34"/>
        <v>0</v>
      </c>
      <c r="BQ38" s="603" t="str">
        <f t="shared" si="35"/>
        <v/>
      </c>
      <c r="BS38" s="164">
        <f t="shared" si="56"/>
        <v>0</v>
      </c>
      <c r="BT38" s="165">
        <f t="shared" si="57"/>
        <v>0</v>
      </c>
      <c r="BU38" s="165">
        <f t="shared" si="58"/>
        <v>0</v>
      </c>
      <c r="BV38" s="165">
        <f t="shared" si="59"/>
        <v>0</v>
      </c>
      <c r="BW38" s="165">
        <f t="shared" si="60"/>
        <v>0</v>
      </c>
      <c r="BX38" s="165">
        <f t="shared" si="61"/>
        <v>0</v>
      </c>
      <c r="BY38" s="165">
        <f t="shared" si="62"/>
        <v>0</v>
      </c>
      <c r="BZ38" s="165">
        <f t="shared" si="63"/>
        <v>0</v>
      </c>
      <c r="CA38" s="165">
        <f t="shared" si="63"/>
        <v>0</v>
      </c>
      <c r="CB38" s="165">
        <f t="shared" si="64"/>
        <v>0</v>
      </c>
      <c r="CC38" s="165">
        <f t="shared" si="37"/>
        <v>0</v>
      </c>
      <c r="CD38" s="165">
        <f t="shared" si="65"/>
        <v>0</v>
      </c>
      <c r="CE38" s="165">
        <f t="shared" si="66"/>
        <v>0</v>
      </c>
      <c r="CF38" s="165">
        <f t="shared" si="67"/>
        <v>0</v>
      </c>
      <c r="CG38" s="165">
        <f t="shared" si="68"/>
        <v>0</v>
      </c>
      <c r="CH38" s="166">
        <f t="shared" si="42"/>
        <v>0</v>
      </c>
    </row>
    <row r="39" spans="2:86">
      <c r="B39" s="416"/>
      <c r="C39" s="449"/>
      <c r="D39" s="376" t="str">
        <f>IF(C39="","",INDEX('Side constraints'!$C$33:$C$92,MATCH('Prop DUOS'!C39,'Side constraints'!$D$33:$D$92,0),1))</f>
        <v/>
      </c>
      <c r="E39" s="425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606"/>
      <c r="S39" s="427"/>
      <c r="U39" s="437"/>
      <c r="V39" s="440"/>
      <c r="W39" s="440"/>
      <c r="X39" s="440"/>
      <c r="Y39" s="440"/>
      <c r="Z39" s="440"/>
      <c r="AA39" s="440"/>
      <c r="AB39" s="440"/>
      <c r="AC39" s="440"/>
      <c r="AD39" s="440"/>
      <c r="AE39" s="440"/>
      <c r="AF39" s="440"/>
      <c r="AG39" s="440"/>
      <c r="AH39" s="612"/>
      <c r="AI39" s="441"/>
      <c r="AK39" s="363">
        <f>'t-1 DUOS'!D39</f>
        <v>0</v>
      </c>
      <c r="AL39" s="364">
        <f>'t-1 DUOS'!E39</f>
        <v>0</v>
      </c>
      <c r="AM39" s="364">
        <f>'t-1 DUOS'!F39</f>
        <v>0</v>
      </c>
      <c r="AN39" s="364">
        <f>'t-1 DUOS'!G39</f>
        <v>0</v>
      </c>
      <c r="AO39" s="364">
        <f>'t-1 DUOS'!H39</f>
        <v>0</v>
      </c>
      <c r="AP39" s="364">
        <f>'t-1 DUOS'!I39</f>
        <v>0</v>
      </c>
      <c r="AQ39" s="364">
        <f>'t-1 DUOS'!J39</f>
        <v>0</v>
      </c>
      <c r="AR39" s="364">
        <f>'t-1 DUOS'!K39</f>
        <v>0</v>
      </c>
      <c r="AS39" s="364">
        <f>'t-1 DUOS'!L39</f>
        <v>0</v>
      </c>
      <c r="AT39" s="364">
        <f>'t-1 DUOS'!M39</f>
        <v>0</v>
      </c>
      <c r="AU39" s="364">
        <f>'t-1 DUOS'!N39</f>
        <v>0</v>
      </c>
      <c r="AV39" s="364">
        <f>'t-1 DUOS'!O39</f>
        <v>0</v>
      </c>
      <c r="AW39" s="364">
        <f>'t-1 DUOS'!P39</f>
        <v>0</v>
      </c>
      <c r="AX39" s="615">
        <f>'t-1 DUOS'!Q39</f>
        <v>0</v>
      </c>
      <c r="AY39" s="365">
        <f>'t-1 DUOS'!R39</f>
        <v>0</v>
      </c>
      <c r="BA39" s="164">
        <f t="shared" si="47"/>
        <v>0</v>
      </c>
      <c r="BB39" s="165">
        <f t="shared" si="48"/>
        <v>0</v>
      </c>
      <c r="BC39" s="165">
        <f t="shared" si="49"/>
        <v>0</v>
      </c>
      <c r="BD39" s="165">
        <f t="shared" si="50"/>
        <v>0</v>
      </c>
      <c r="BE39" s="165">
        <f t="shared" si="51"/>
        <v>0</v>
      </c>
      <c r="BF39" s="165">
        <f t="shared" si="52"/>
        <v>0</v>
      </c>
      <c r="BG39" s="165">
        <f t="shared" si="53"/>
        <v>0</v>
      </c>
      <c r="BH39" s="165">
        <f t="shared" si="54"/>
        <v>0</v>
      </c>
      <c r="BI39" s="165">
        <f t="shared" si="54"/>
        <v>0</v>
      </c>
      <c r="BJ39" s="165">
        <f t="shared" si="55"/>
        <v>0</v>
      </c>
      <c r="BK39" s="165">
        <f t="shared" si="29"/>
        <v>0</v>
      </c>
      <c r="BL39" s="165">
        <f t="shared" si="30"/>
        <v>0</v>
      </c>
      <c r="BM39" s="165">
        <f t="shared" si="31"/>
        <v>0</v>
      </c>
      <c r="BN39" s="165">
        <f t="shared" si="32"/>
        <v>0</v>
      </c>
      <c r="BO39" s="165">
        <f t="shared" si="33"/>
        <v>0</v>
      </c>
      <c r="BP39" s="166">
        <f t="shared" si="34"/>
        <v>0</v>
      </c>
      <c r="BQ39" s="603" t="str">
        <f t="shared" si="35"/>
        <v/>
      </c>
      <c r="BS39" s="164">
        <f t="shared" si="56"/>
        <v>0</v>
      </c>
      <c r="BT39" s="165">
        <f t="shared" si="57"/>
        <v>0</v>
      </c>
      <c r="BU39" s="165">
        <f t="shared" si="58"/>
        <v>0</v>
      </c>
      <c r="BV39" s="165">
        <f t="shared" si="59"/>
        <v>0</v>
      </c>
      <c r="BW39" s="165">
        <f t="shared" si="60"/>
        <v>0</v>
      </c>
      <c r="BX39" s="165">
        <f t="shared" si="61"/>
        <v>0</v>
      </c>
      <c r="BY39" s="165">
        <f t="shared" si="62"/>
        <v>0</v>
      </c>
      <c r="BZ39" s="165">
        <f t="shared" si="63"/>
        <v>0</v>
      </c>
      <c r="CA39" s="165">
        <f t="shared" si="63"/>
        <v>0</v>
      </c>
      <c r="CB39" s="165">
        <f t="shared" si="64"/>
        <v>0</v>
      </c>
      <c r="CC39" s="165">
        <f t="shared" si="37"/>
        <v>0</v>
      </c>
      <c r="CD39" s="165">
        <f t="shared" si="65"/>
        <v>0</v>
      </c>
      <c r="CE39" s="165">
        <f t="shared" si="66"/>
        <v>0</v>
      </c>
      <c r="CF39" s="165">
        <f t="shared" si="67"/>
        <v>0</v>
      </c>
      <c r="CG39" s="165">
        <f t="shared" si="68"/>
        <v>0</v>
      </c>
      <c r="CH39" s="166">
        <f t="shared" si="42"/>
        <v>0</v>
      </c>
    </row>
    <row r="40" spans="2:86">
      <c r="B40" s="416"/>
      <c r="C40" s="449"/>
      <c r="D40" s="376" t="str">
        <f>IF(C40="","",INDEX('Side constraints'!$C$33:$C$92,MATCH('Prop DUOS'!C40,'Side constraints'!$D$33:$D$92,0),1))</f>
        <v/>
      </c>
      <c r="E40" s="425"/>
      <c r="F40" s="426"/>
      <c r="G40" s="426"/>
      <c r="H40" s="426"/>
      <c r="I40" s="426"/>
      <c r="J40" s="426"/>
      <c r="K40" s="426"/>
      <c r="L40" s="426"/>
      <c r="M40" s="426"/>
      <c r="N40" s="426"/>
      <c r="O40" s="426"/>
      <c r="P40" s="426"/>
      <c r="Q40" s="426"/>
      <c r="R40" s="606"/>
      <c r="S40" s="427"/>
      <c r="U40" s="437"/>
      <c r="V40" s="440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612"/>
      <c r="AI40" s="441"/>
      <c r="AK40" s="363">
        <f>'t-1 DUOS'!D40</f>
        <v>0</v>
      </c>
      <c r="AL40" s="364">
        <f>'t-1 DUOS'!E40</f>
        <v>0</v>
      </c>
      <c r="AM40" s="364">
        <f>'t-1 DUOS'!F40</f>
        <v>0</v>
      </c>
      <c r="AN40" s="364">
        <f>'t-1 DUOS'!G40</f>
        <v>0</v>
      </c>
      <c r="AO40" s="364">
        <f>'t-1 DUOS'!H40</f>
        <v>0</v>
      </c>
      <c r="AP40" s="364">
        <f>'t-1 DUOS'!I40</f>
        <v>0</v>
      </c>
      <c r="AQ40" s="364">
        <f>'t-1 DUOS'!J40</f>
        <v>0</v>
      </c>
      <c r="AR40" s="364">
        <f>'t-1 DUOS'!K40</f>
        <v>0</v>
      </c>
      <c r="AS40" s="364">
        <f>'t-1 DUOS'!L40</f>
        <v>0</v>
      </c>
      <c r="AT40" s="364">
        <f>'t-1 DUOS'!M40</f>
        <v>0</v>
      </c>
      <c r="AU40" s="364">
        <f>'t-1 DUOS'!N40</f>
        <v>0</v>
      </c>
      <c r="AV40" s="364">
        <f>'t-1 DUOS'!O40</f>
        <v>0</v>
      </c>
      <c r="AW40" s="364">
        <f>'t-1 DUOS'!P40</f>
        <v>0</v>
      </c>
      <c r="AX40" s="615">
        <f>'t-1 DUOS'!Q40</f>
        <v>0</v>
      </c>
      <c r="AY40" s="365">
        <f>'t-1 DUOS'!R40</f>
        <v>0</v>
      </c>
      <c r="BA40" s="164">
        <f t="shared" si="47"/>
        <v>0</v>
      </c>
      <c r="BB40" s="165">
        <f t="shared" si="48"/>
        <v>0</v>
      </c>
      <c r="BC40" s="165">
        <f t="shared" si="49"/>
        <v>0</v>
      </c>
      <c r="BD40" s="165">
        <f t="shared" si="50"/>
        <v>0</v>
      </c>
      <c r="BE40" s="165">
        <f t="shared" si="51"/>
        <v>0</v>
      </c>
      <c r="BF40" s="165">
        <f t="shared" si="52"/>
        <v>0</v>
      </c>
      <c r="BG40" s="165">
        <f t="shared" si="53"/>
        <v>0</v>
      </c>
      <c r="BH40" s="165">
        <f t="shared" si="54"/>
        <v>0</v>
      </c>
      <c r="BI40" s="165">
        <f t="shared" si="54"/>
        <v>0</v>
      </c>
      <c r="BJ40" s="165">
        <f t="shared" si="55"/>
        <v>0</v>
      </c>
      <c r="BK40" s="165">
        <f t="shared" si="29"/>
        <v>0</v>
      </c>
      <c r="BL40" s="165">
        <f t="shared" si="30"/>
        <v>0</v>
      </c>
      <c r="BM40" s="165">
        <f t="shared" ref="BM40:BM66" si="69">IF(Q$69="cents",Q40/100,Q40)*IF(Q$71="day",AG40*$D$74,IF(Q$71="month",AG40*12,AG40))</f>
        <v>0</v>
      </c>
      <c r="BN40" s="165">
        <f t="shared" ref="BN40:BN66" si="70">IF(R$69="cents",R40/100,R40)*IF(R$71="day",AH40*$D$74,IF(R$71="month",AH40*12,AH40))</f>
        <v>0</v>
      </c>
      <c r="BO40" s="165">
        <f t="shared" ref="BO40:BO66" si="71">IF(S$69="cents",S40/100,S40)*IF(S$71="day",AI40*$D$74,IF(S$71="month",AI40*12,AI40))</f>
        <v>0</v>
      </c>
      <c r="BP40" s="166">
        <f t="shared" si="34"/>
        <v>0</v>
      </c>
      <c r="BQ40" s="603" t="str">
        <f t="shared" si="35"/>
        <v/>
      </c>
      <c r="BS40" s="164">
        <f t="shared" si="56"/>
        <v>0</v>
      </c>
      <c r="BT40" s="165">
        <f t="shared" si="57"/>
        <v>0</v>
      </c>
      <c r="BU40" s="165">
        <f t="shared" si="58"/>
        <v>0</v>
      </c>
      <c r="BV40" s="165">
        <f t="shared" si="59"/>
        <v>0</v>
      </c>
      <c r="BW40" s="165">
        <f t="shared" si="60"/>
        <v>0</v>
      </c>
      <c r="BX40" s="165">
        <f t="shared" si="61"/>
        <v>0</v>
      </c>
      <c r="BY40" s="165">
        <f t="shared" si="62"/>
        <v>0</v>
      </c>
      <c r="BZ40" s="165">
        <f t="shared" si="63"/>
        <v>0</v>
      </c>
      <c r="CA40" s="165">
        <f t="shared" si="63"/>
        <v>0</v>
      </c>
      <c r="CB40" s="165">
        <f t="shared" si="64"/>
        <v>0</v>
      </c>
      <c r="CC40" s="165">
        <f t="shared" si="37"/>
        <v>0</v>
      </c>
      <c r="CD40" s="165">
        <f t="shared" si="65"/>
        <v>0</v>
      </c>
      <c r="CE40" s="165">
        <f t="shared" si="66"/>
        <v>0</v>
      </c>
      <c r="CF40" s="165">
        <f t="shared" si="67"/>
        <v>0</v>
      </c>
      <c r="CG40" s="165">
        <f t="shared" si="68"/>
        <v>0</v>
      </c>
      <c r="CH40" s="166">
        <f t="shared" si="42"/>
        <v>0</v>
      </c>
    </row>
    <row r="41" spans="2:86">
      <c r="B41" s="416"/>
      <c r="C41" s="449"/>
      <c r="D41" s="376" t="str">
        <f>IF(C41="","",INDEX('Side constraints'!$C$33:$C$92,MATCH('Prop DUOS'!C41,'Side constraints'!$D$33:$D$92,0),1))</f>
        <v/>
      </c>
      <c r="E41" s="425"/>
      <c r="F41" s="426"/>
      <c r="G41" s="426"/>
      <c r="H41" s="426"/>
      <c r="I41" s="426"/>
      <c r="J41" s="426"/>
      <c r="K41" s="426"/>
      <c r="L41" s="426"/>
      <c r="M41" s="426"/>
      <c r="N41" s="426"/>
      <c r="O41" s="426"/>
      <c r="P41" s="426"/>
      <c r="Q41" s="426"/>
      <c r="R41" s="606"/>
      <c r="S41" s="427"/>
      <c r="U41" s="437"/>
      <c r="V41" s="440"/>
      <c r="W41" s="440"/>
      <c r="X41" s="440"/>
      <c r="Y41" s="440"/>
      <c r="Z41" s="440"/>
      <c r="AA41" s="440"/>
      <c r="AB41" s="440"/>
      <c r="AC41" s="440"/>
      <c r="AD41" s="440"/>
      <c r="AE41" s="440"/>
      <c r="AF41" s="440"/>
      <c r="AG41" s="440"/>
      <c r="AH41" s="612"/>
      <c r="AI41" s="441"/>
      <c r="AK41" s="363">
        <f>'t-1 DUOS'!D41</f>
        <v>0</v>
      </c>
      <c r="AL41" s="364">
        <f>'t-1 DUOS'!E41</f>
        <v>0</v>
      </c>
      <c r="AM41" s="364">
        <f>'t-1 DUOS'!F41</f>
        <v>0</v>
      </c>
      <c r="AN41" s="364">
        <f>'t-1 DUOS'!G41</f>
        <v>0</v>
      </c>
      <c r="AO41" s="364">
        <f>'t-1 DUOS'!H41</f>
        <v>0</v>
      </c>
      <c r="AP41" s="364">
        <f>'t-1 DUOS'!I41</f>
        <v>0</v>
      </c>
      <c r="AQ41" s="364">
        <f>'t-1 DUOS'!J41</f>
        <v>0</v>
      </c>
      <c r="AR41" s="364">
        <f>'t-1 DUOS'!K41</f>
        <v>0</v>
      </c>
      <c r="AS41" s="364">
        <f>'t-1 DUOS'!L41</f>
        <v>0</v>
      </c>
      <c r="AT41" s="364">
        <f>'t-1 DUOS'!M41</f>
        <v>0</v>
      </c>
      <c r="AU41" s="364">
        <f>'t-1 DUOS'!N41</f>
        <v>0</v>
      </c>
      <c r="AV41" s="364">
        <f>'t-1 DUOS'!O41</f>
        <v>0</v>
      </c>
      <c r="AW41" s="364">
        <f>'t-1 DUOS'!P41</f>
        <v>0</v>
      </c>
      <c r="AX41" s="615">
        <f>'t-1 DUOS'!Q41</f>
        <v>0</v>
      </c>
      <c r="AY41" s="365">
        <f>'t-1 DUOS'!R41</f>
        <v>0</v>
      </c>
      <c r="BA41" s="164">
        <f t="shared" si="47"/>
        <v>0</v>
      </c>
      <c r="BB41" s="165">
        <f t="shared" si="48"/>
        <v>0</v>
      </c>
      <c r="BC41" s="165">
        <f t="shared" si="49"/>
        <v>0</v>
      </c>
      <c r="BD41" s="165">
        <f t="shared" si="50"/>
        <v>0</v>
      </c>
      <c r="BE41" s="165">
        <f t="shared" si="51"/>
        <v>0</v>
      </c>
      <c r="BF41" s="165">
        <f t="shared" si="52"/>
        <v>0</v>
      </c>
      <c r="BG41" s="165">
        <f t="shared" si="53"/>
        <v>0</v>
      </c>
      <c r="BH41" s="165">
        <f t="shared" si="54"/>
        <v>0</v>
      </c>
      <c r="BI41" s="165">
        <f t="shared" si="54"/>
        <v>0</v>
      </c>
      <c r="BJ41" s="165">
        <f t="shared" si="55"/>
        <v>0</v>
      </c>
      <c r="BK41" s="165">
        <f t="shared" si="29"/>
        <v>0</v>
      </c>
      <c r="BL41" s="165">
        <f t="shared" si="30"/>
        <v>0</v>
      </c>
      <c r="BM41" s="165">
        <f t="shared" si="69"/>
        <v>0</v>
      </c>
      <c r="BN41" s="165">
        <f t="shared" si="70"/>
        <v>0</v>
      </c>
      <c r="BO41" s="165">
        <f t="shared" si="71"/>
        <v>0</v>
      </c>
      <c r="BP41" s="166">
        <f t="shared" si="34"/>
        <v>0</v>
      </c>
      <c r="BQ41" s="603" t="str">
        <f t="shared" si="35"/>
        <v/>
      </c>
      <c r="BS41" s="164">
        <f t="shared" si="56"/>
        <v>0</v>
      </c>
      <c r="BT41" s="165">
        <f t="shared" si="57"/>
        <v>0</v>
      </c>
      <c r="BU41" s="165">
        <f t="shared" si="58"/>
        <v>0</v>
      </c>
      <c r="BV41" s="165">
        <f t="shared" si="59"/>
        <v>0</v>
      </c>
      <c r="BW41" s="165">
        <f t="shared" si="60"/>
        <v>0</v>
      </c>
      <c r="BX41" s="165">
        <f t="shared" si="61"/>
        <v>0</v>
      </c>
      <c r="BY41" s="165">
        <f t="shared" si="62"/>
        <v>0</v>
      </c>
      <c r="BZ41" s="165">
        <f t="shared" si="63"/>
        <v>0</v>
      </c>
      <c r="CA41" s="165">
        <f t="shared" si="63"/>
        <v>0</v>
      </c>
      <c r="CB41" s="165">
        <f t="shared" si="64"/>
        <v>0</v>
      </c>
      <c r="CC41" s="165">
        <f t="shared" si="37"/>
        <v>0</v>
      </c>
      <c r="CD41" s="165">
        <f t="shared" si="65"/>
        <v>0</v>
      </c>
      <c r="CE41" s="165">
        <f t="shared" si="66"/>
        <v>0</v>
      </c>
      <c r="CF41" s="165">
        <f t="shared" si="67"/>
        <v>0</v>
      </c>
      <c r="CG41" s="165">
        <f t="shared" si="68"/>
        <v>0</v>
      </c>
      <c r="CH41" s="166">
        <f t="shared" si="42"/>
        <v>0</v>
      </c>
    </row>
    <row r="42" spans="2:86">
      <c r="B42" s="416"/>
      <c r="C42" s="449"/>
      <c r="D42" s="376" t="str">
        <f>IF(C42="","",INDEX('Side constraints'!$C$33:$C$92,MATCH('Prop DUOS'!C42,'Side constraints'!$D$33:$D$92,0),1))</f>
        <v/>
      </c>
      <c r="E42" s="425"/>
      <c r="F42" s="426"/>
      <c r="G42" s="426"/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606"/>
      <c r="S42" s="427"/>
      <c r="U42" s="437"/>
      <c r="V42" s="440"/>
      <c r="W42" s="440"/>
      <c r="X42" s="440"/>
      <c r="Y42" s="440"/>
      <c r="Z42" s="440"/>
      <c r="AA42" s="440"/>
      <c r="AB42" s="440"/>
      <c r="AC42" s="440"/>
      <c r="AD42" s="440"/>
      <c r="AE42" s="440"/>
      <c r="AF42" s="440"/>
      <c r="AG42" s="440"/>
      <c r="AH42" s="612"/>
      <c r="AI42" s="441"/>
      <c r="AK42" s="363">
        <f>'t-1 DUOS'!D42</f>
        <v>0</v>
      </c>
      <c r="AL42" s="364">
        <f>'t-1 DUOS'!E42</f>
        <v>0</v>
      </c>
      <c r="AM42" s="364">
        <f>'t-1 DUOS'!F42</f>
        <v>0</v>
      </c>
      <c r="AN42" s="364">
        <f>'t-1 DUOS'!G42</f>
        <v>0</v>
      </c>
      <c r="AO42" s="364">
        <f>'t-1 DUOS'!H42</f>
        <v>0</v>
      </c>
      <c r="AP42" s="364">
        <f>'t-1 DUOS'!I42</f>
        <v>0</v>
      </c>
      <c r="AQ42" s="364">
        <f>'t-1 DUOS'!J42</f>
        <v>0</v>
      </c>
      <c r="AR42" s="364">
        <f>'t-1 DUOS'!K42</f>
        <v>0</v>
      </c>
      <c r="AS42" s="364">
        <f>'t-1 DUOS'!L42</f>
        <v>0</v>
      </c>
      <c r="AT42" s="364">
        <f>'t-1 DUOS'!M42</f>
        <v>0</v>
      </c>
      <c r="AU42" s="364">
        <f>'t-1 DUOS'!N42</f>
        <v>0</v>
      </c>
      <c r="AV42" s="364">
        <f>'t-1 DUOS'!O42</f>
        <v>0</v>
      </c>
      <c r="AW42" s="364">
        <f>'t-1 DUOS'!P42</f>
        <v>0</v>
      </c>
      <c r="AX42" s="615">
        <f>'t-1 DUOS'!Q42</f>
        <v>0</v>
      </c>
      <c r="AY42" s="365">
        <f>'t-1 DUOS'!R42</f>
        <v>0</v>
      </c>
      <c r="BA42" s="164">
        <f t="shared" si="47"/>
        <v>0</v>
      </c>
      <c r="BB42" s="165">
        <f t="shared" si="48"/>
        <v>0</v>
      </c>
      <c r="BC42" s="165">
        <f t="shared" si="49"/>
        <v>0</v>
      </c>
      <c r="BD42" s="165">
        <f t="shared" si="50"/>
        <v>0</v>
      </c>
      <c r="BE42" s="165">
        <f t="shared" si="51"/>
        <v>0</v>
      </c>
      <c r="BF42" s="165">
        <f t="shared" si="52"/>
        <v>0</v>
      </c>
      <c r="BG42" s="165">
        <f t="shared" si="53"/>
        <v>0</v>
      </c>
      <c r="BH42" s="165">
        <f t="shared" si="54"/>
        <v>0</v>
      </c>
      <c r="BI42" s="165">
        <f t="shared" si="54"/>
        <v>0</v>
      </c>
      <c r="BJ42" s="165">
        <f t="shared" si="55"/>
        <v>0</v>
      </c>
      <c r="BK42" s="165">
        <f t="shared" si="29"/>
        <v>0</v>
      </c>
      <c r="BL42" s="165">
        <f t="shared" si="30"/>
        <v>0</v>
      </c>
      <c r="BM42" s="165">
        <f t="shared" si="69"/>
        <v>0</v>
      </c>
      <c r="BN42" s="165">
        <f t="shared" si="70"/>
        <v>0</v>
      </c>
      <c r="BO42" s="165">
        <f t="shared" si="71"/>
        <v>0</v>
      </c>
      <c r="BP42" s="166">
        <f t="shared" si="34"/>
        <v>0</v>
      </c>
      <c r="BQ42" s="603" t="str">
        <f t="shared" si="35"/>
        <v/>
      </c>
      <c r="BS42" s="164">
        <f t="shared" si="56"/>
        <v>0</v>
      </c>
      <c r="BT42" s="165">
        <f t="shared" si="57"/>
        <v>0</v>
      </c>
      <c r="BU42" s="165">
        <f t="shared" si="58"/>
        <v>0</v>
      </c>
      <c r="BV42" s="165">
        <f t="shared" si="59"/>
        <v>0</v>
      </c>
      <c r="BW42" s="165">
        <f t="shared" si="60"/>
        <v>0</v>
      </c>
      <c r="BX42" s="165">
        <f t="shared" si="61"/>
        <v>0</v>
      </c>
      <c r="BY42" s="165">
        <f t="shared" si="62"/>
        <v>0</v>
      </c>
      <c r="BZ42" s="165">
        <f t="shared" si="63"/>
        <v>0</v>
      </c>
      <c r="CA42" s="165">
        <f t="shared" si="63"/>
        <v>0</v>
      </c>
      <c r="CB42" s="165">
        <f t="shared" si="64"/>
        <v>0</v>
      </c>
      <c r="CC42" s="165">
        <f t="shared" si="37"/>
        <v>0</v>
      </c>
      <c r="CD42" s="165">
        <f t="shared" si="65"/>
        <v>0</v>
      </c>
      <c r="CE42" s="165">
        <f t="shared" si="66"/>
        <v>0</v>
      </c>
      <c r="CF42" s="165">
        <f t="shared" si="67"/>
        <v>0</v>
      </c>
      <c r="CG42" s="165">
        <f t="shared" si="68"/>
        <v>0</v>
      </c>
      <c r="CH42" s="166">
        <f t="shared" si="42"/>
        <v>0</v>
      </c>
    </row>
    <row r="43" spans="2:86">
      <c r="B43" s="416"/>
      <c r="C43" s="449"/>
      <c r="D43" s="376" t="str">
        <f>IF(C43="","",INDEX('Side constraints'!$C$33:$C$92,MATCH('Prop DUOS'!C43,'Side constraints'!$D$33:$D$92,0),1))</f>
        <v/>
      </c>
      <c r="E43" s="425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606"/>
      <c r="S43" s="427"/>
      <c r="U43" s="437"/>
      <c r="V43" s="440"/>
      <c r="W43" s="440"/>
      <c r="X43" s="440"/>
      <c r="Y43" s="440"/>
      <c r="Z43" s="440"/>
      <c r="AA43" s="440"/>
      <c r="AB43" s="440"/>
      <c r="AC43" s="440"/>
      <c r="AD43" s="440"/>
      <c r="AE43" s="440"/>
      <c r="AF43" s="440"/>
      <c r="AG43" s="440"/>
      <c r="AH43" s="612"/>
      <c r="AI43" s="441"/>
      <c r="AK43" s="363">
        <f>'t-1 DUOS'!D43</f>
        <v>0</v>
      </c>
      <c r="AL43" s="364">
        <f>'t-1 DUOS'!E43</f>
        <v>0</v>
      </c>
      <c r="AM43" s="364">
        <f>'t-1 DUOS'!F43</f>
        <v>0</v>
      </c>
      <c r="AN43" s="364">
        <f>'t-1 DUOS'!G43</f>
        <v>0</v>
      </c>
      <c r="AO43" s="364">
        <f>'t-1 DUOS'!H43</f>
        <v>0</v>
      </c>
      <c r="AP43" s="364">
        <f>'t-1 DUOS'!I43</f>
        <v>0</v>
      </c>
      <c r="AQ43" s="364">
        <f>'t-1 DUOS'!J43</f>
        <v>0</v>
      </c>
      <c r="AR43" s="364">
        <f>'t-1 DUOS'!K43</f>
        <v>0</v>
      </c>
      <c r="AS43" s="364">
        <f>'t-1 DUOS'!L43</f>
        <v>0</v>
      </c>
      <c r="AT43" s="364">
        <f>'t-1 DUOS'!M43</f>
        <v>0</v>
      </c>
      <c r="AU43" s="364">
        <f>'t-1 DUOS'!N43</f>
        <v>0</v>
      </c>
      <c r="AV43" s="364">
        <f>'t-1 DUOS'!O43</f>
        <v>0</v>
      </c>
      <c r="AW43" s="364">
        <f>'t-1 DUOS'!P43</f>
        <v>0</v>
      </c>
      <c r="AX43" s="615">
        <f>'t-1 DUOS'!Q43</f>
        <v>0</v>
      </c>
      <c r="AY43" s="365">
        <f>'t-1 DUOS'!R43</f>
        <v>0</v>
      </c>
      <c r="BA43" s="164">
        <f t="shared" si="47"/>
        <v>0</v>
      </c>
      <c r="BB43" s="165">
        <f t="shared" si="48"/>
        <v>0</v>
      </c>
      <c r="BC43" s="165">
        <f t="shared" si="49"/>
        <v>0</v>
      </c>
      <c r="BD43" s="165">
        <f t="shared" si="50"/>
        <v>0</v>
      </c>
      <c r="BE43" s="165">
        <f t="shared" si="51"/>
        <v>0</v>
      </c>
      <c r="BF43" s="165">
        <f t="shared" si="52"/>
        <v>0</v>
      </c>
      <c r="BG43" s="165">
        <f t="shared" si="53"/>
        <v>0</v>
      </c>
      <c r="BH43" s="165">
        <f t="shared" si="54"/>
        <v>0</v>
      </c>
      <c r="BI43" s="165">
        <f t="shared" si="54"/>
        <v>0</v>
      </c>
      <c r="BJ43" s="165">
        <f t="shared" si="55"/>
        <v>0</v>
      </c>
      <c r="BK43" s="165">
        <f t="shared" si="29"/>
        <v>0</v>
      </c>
      <c r="BL43" s="165">
        <f t="shared" si="30"/>
        <v>0</v>
      </c>
      <c r="BM43" s="165">
        <f t="shared" si="69"/>
        <v>0</v>
      </c>
      <c r="BN43" s="165">
        <f t="shared" si="70"/>
        <v>0</v>
      </c>
      <c r="BO43" s="165">
        <f t="shared" si="71"/>
        <v>0</v>
      </c>
      <c r="BP43" s="166">
        <f t="shared" si="34"/>
        <v>0</v>
      </c>
      <c r="BQ43" s="603" t="str">
        <f t="shared" si="35"/>
        <v/>
      </c>
      <c r="BS43" s="164">
        <f t="shared" si="56"/>
        <v>0</v>
      </c>
      <c r="BT43" s="165">
        <f t="shared" si="57"/>
        <v>0</v>
      </c>
      <c r="BU43" s="165">
        <f t="shared" si="58"/>
        <v>0</v>
      </c>
      <c r="BV43" s="165">
        <f t="shared" si="59"/>
        <v>0</v>
      </c>
      <c r="BW43" s="165">
        <f t="shared" si="60"/>
        <v>0</v>
      </c>
      <c r="BX43" s="165">
        <f t="shared" si="61"/>
        <v>0</v>
      </c>
      <c r="BY43" s="165">
        <f t="shared" si="62"/>
        <v>0</v>
      </c>
      <c r="BZ43" s="165">
        <f t="shared" si="63"/>
        <v>0</v>
      </c>
      <c r="CA43" s="165">
        <f t="shared" si="63"/>
        <v>0</v>
      </c>
      <c r="CB43" s="165">
        <f t="shared" si="64"/>
        <v>0</v>
      </c>
      <c r="CC43" s="165">
        <f t="shared" si="37"/>
        <v>0</v>
      </c>
      <c r="CD43" s="165">
        <f t="shared" si="65"/>
        <v>0</v>
      </c>
      <c r="CE43" s="165">
        <f t="shared" si="66"/>
        <v>0</v>
      </c>
      <c r="CF43" s="165">
        <f t="shared" si="67"/>
        <v>0</v>
      </c>
      <c r="CG43" s="165">
        <f t="shared" si="68"/>
        <v>0</v>
      </c>
      <c r="CH43" s="166">
        <f t="shared" si="42"/>
        <v>0</v>
      </c>
    </row>
    <row r="44" spans="2:86">
      <c r="B44" s="416"/>
      <c r="C44" s="449"/>
      <c r="D44" s="376" t="str">
        <f>IF(C44="","",INDEX('Side constraints'!$C$33:$C$92,MATCH('Prop DUOS'!C44,'Side constraints'!$D$33:$D$92,0),1))</f>
        <v/>
      </c>
      <c r="E44" s="425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606"/>
      <c r="S44" s="427"/>
      <c r="U44" s="437"/>
      <c r="V44" s="440"/>
      <c r="W44" s="440"/>
      <c r="X44" s="440"/>
      <c r="Y44" s="440"/>
      <c r="Z44" s="440"/>
      <c r="AA44" s="440"/>
      <c r="AB44" s="440"/>
      <c r="AC44" s="440"/>
      <c r="AD44" s="440"/>
      <c r="AE44" s="440"/>
      <c r="AF44" s="440"/>
      <c r="AG44" s="440"/>
      <c r="AH44" s="612"/>
      <c r="AI44" s="441"/>
      <c r="AK44" s="363">
        <f>'t-1 DUOS'!D44</f>
        <v>0</v>
      </c>
      <c r="AL44" s="364">
        <f>'t-1 DUOS'!E44</f>
        <v>0</v>
      </c>
      <c r="AM44" s="364">
        <f>'t-1 DUOS'!F44</f>
        <v>0</v>
      </c>
      <c r="AN44" s="364">
        <f>'t-1 DUOS'!G44</f>
        <v>0</v>
      </c>
      <c r="AO44" s="364">
        <f>'t-1 DUOS'!H44</f>
        <v>0</v>
      </c>
      <c r="AP44" s="364">
        <f>'t-1 DUOS'!I44</f>
        <v>0</v>
      </c>
      <c r="AQ44" s="364">
        <f>'t-1 DUOS'!J44</f>
        <v>0</v>
      </c>
      <c r="AR44" s="364">
        <f>'t-1 DUOS'!K44</f>
        <v>0</v>
      </c>
      <c r="AS44" s="364">
        <f>'t-1 DUOS'!L44</f>
        <v>0</v>
      </c>
      <c r="AT44" s="364">
        <f>'t-1 DUOS'!M44</f>
        <v>0</v>
      </c>
      <c r="AU44" s="364">
        <f>'t-1 DUOS'!N44</f>
        <v>0</v>
      </c>
      <c r="AV44" s="364">
        <f>'t-1 DUOS'!O44</f>
        <v>0</v>
      </c>
      <c r="AW44" s="364">
        <f>'t-1 DUOS'!P44</f>
        <v>0</v>
      </c>
      <c r="AX44" s="615">
        <f>'t-1 DUOS'!Q44</f>
        <v>0</v>
      </c>
      <c r="AY44" s="365">
        <f>'t-1 DUOS'!R44</f>
        <v>0</v>
      </c>
      <c r="BA44" s="164">
        <f t="shared" si="47"/>
        <v>0</v>
      </c>
      <c r="BB44" s="165">
        <f t="shared" si="48"/>
        <v>0</v>
      </c>
      <c r="BC44" s="165">
        <f t="shared" si="49"/>
        <v>0</v>
      </c>
      <c r="BD44" s="165">
        <f t="shared" si="50"/>
        <v>0</v>
      </c>
      <c r="BE44" s="165">
        <f t="shared" si="51"/>
        <v>0</v>
      </c>
      <c r="BF44" s="165">
        <f t="shared" si="52"/>
        <v>0</v>
      </c>
      <c r="BG44" s="165">
        <f t="shared" si="53"/>
        <v>0</v>
      </c>
      <c r="BH44" s="165">
        <f t="shared" si="54"/>
        <v>0</v>
      </c>
      <c r="BI44" s="165">
        <f t="shared" si="54"/>
        <v>0</v>
      </c>
      <c r="BJ44" s="165">
        <f t="shared" si="55"/>
        <v>0</v>
      </c>
      <c r="BK44" s="165">
        <f t="shared" si="29"/>
        <v>0</v>
      </c>
      <c r="BL44" s="165">
        <f t="shared" si="30"/>
        <v>0</v>
      </c>
      <c r="BM44" s="165">
        <f t="shared" si="69"/>
        <v>0</v>
      </c>
      <c r="BN44" s="165">
        <f t="shared" si="70"/>
        <v>0</v>
      </c>
      <c r="BO44" s="165">
        <f t="shared" si="71"/>
        <v>0</v>
      </c>
      <c r="BP44" s="166">
        <f t="shared" si="34"/>
        <v>0</v>
      </c>
      <c r="BQ44" s="603" t="str">
        <f t="shared" si="35"/>
        <v/>
      </c>
      <c r="BS44" s="164">
        <f t="shared" si="56"/>
        <v>0</v>
      </c>
      <c r="BT44" s="165">
        <f t="shared" si="57"/>
        <v>0</v>
      </c>
      <c r="BU44" s="165">
        <f t="shared" si="58"/>
        <v>0</v>
      </c>
      <c r="BV44" s="165">
        <f t="shared" si="59"/>
        <v>0</v>
      </c>
      <c r="BW44" s="165">
        <f t="shared" si="60"/>
        <v>0</v>
      </c>
      <c r="BX44" s="165">
        <f t="shared" si="61"/>
        <v>0</v>
      </c>
      <c r="BY44" s="165">
        <f t="shared" si="62"/>
        <v>0</v>
      </c>
      <c r="BZ44" s="165">
        <f t="shared" si="63"/>
        <v>0</v>
      </c>
      <c r="CA44" s="165">
        <f t="shared" si="63"/>
        <v>0</v>
      </c>
      <c r="CB44" s="165">
        <f t="shared" si="64"/>
        <v>0</v>
      </c>
      <c r="CC44" s="165">
        <f t="shared" si="37"/>
        <v>0</v>
      </c>
      <c r="CD44" s="165">
        <f t="shared" si="65"/>
        <v>0</v>
      </c>
      <c r="CE44" s="165">
        <f t="shared" si="66"/>
        <v>0</v>
      </c>
      <c r="CF44" s="165">
        <f t="shared" si="67"/>
        <v>0</v>
      </c>
      <c r="CG44" s="165">
        <f t="shared" si="68"/>
        <v>0</v>
      </c>
      <c r="CH44" s="166">
        <f t="shared" si="42"/>
        <v>0</v>
      </c>
    </row>
    <row r="45" spans="2:86">
      <c r="B45" s="416"/>
      <c r="C45" s="449"/>
      <c r="D45" s="376" t="str">
        <f>IF(C45="","",INDEX('Side constraints'!$C$33:$C$92,MATCH('Prop DUOS'!C45,'Side constraints'!$D$33:$D$92,0),1))</f>
        <v/>
      </c>
      <c r="E45" s="425"/>
      <c r="F45" s="426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426"/>
      <c r="R45" s="606"/>
      <c r="S45" s="427"/>
      <c r="U45" s="437"/>
      <c r="V45" s="440"/>
      <c r="W45" s="440"/>
      <c r="X45" s="440"/>
      <c r="Y45" s="440"/>
      <c r="Z45" s="440"/>
      <c r="AA45" s="440"/>
      <c r="AB45" s="440"/>
      <c r="AC45" s="440"/>
      <c r="AD45" s="440"/>
      <c r="AE45" s="440"/>
      <c r="AF45" s="440"/>
      <c r="AG45" s="440"/>
      <c r="AH45" s="612"/>
      <c r="AI45" s="441"/>
      <c r="AK45" s="363">
        <f>'t-1 DUOS'!D45</f>
        <v>0</v>
      </c>
      <c r="AL45" s="364">
        <f>'t-1 DUOS'!E45</f>
        <v>0</v>
      </c>
      <c r="AM45" s="364">
        <f>'t-1 DUOS'!F45</f>
        <v>0</v>
      </c>
      <c r="AN45" s="364">
        <f>'t-1 DUOS'!G45</f>
        <v>0</v>
      </c>
      <c r="AO45" s="364">
        <f>'t-1 DUOS'!H45</f>
        <v>0</v>
      </c>
      <c r="AP45" s="364">
        <f>'t-1 DUOS'!I45</f>
        <v>0</v>
      </c>
      <c r="AQ45" s="364">
        <f>'t-1 DUOS'!J45</f>
        <v>0</v>
      </c>
      <c r="AR45" s="364">
        <f>'t-1 DUOS'!K45</f>
        <v>0</v>
      </c>
      <c r="AS45" s="364">
        <f>'t-1 DUOS'!L45</f>
        <v>0</v>
      </c>
      <c r="AT45" s="364">
        <f>'t-1 DUOS'!M45</f>
        <v>0</v>
      </c>
      <c r="AU45" s="364">
        <f>'t-1 DUOS'!N45</f>
        <v>0</v>
      </c>
      <c r="AV45" s="364">
        <f>'t-1 DUOS'!O45</f>
        <v>0</v>
      </c>
      <c r="AW45" s="364">
        <f>'t-1 DUOS'!P45</f>
        <v>0</v>
      </c>
      <c r="AX45" s="615">
        <f>'t-1 DUOS'!Q45</f>
        <v>0</v>
      </c>
      <c r="AY45" s="365">
        <f>'t-1 DUOS'!R45</f>
        <v>0</v>
      </c>
      <c r="BA45" s="164">
        <f t="shared" si="47"/>
        <v>0</v>
      </c>
      <c r="BB45" s="165">
        <f t="shared" si="48"/>
        <v>0</v>
      </c>
      <c r="BC45" s="165">
        <f t="shared" si="49"/>
        <v>0</v>
      </c>
      <c r="BD45" s="165">
        <f t="shared" si="50"/>
        <v>0</v>
      </c>
      <c r="BE45" s="165">
        <f t="shared" si="51"/>
        <v>0</v>
      </c>
      <c r="BF45" s="165">
        <f t="shared" si="52"/>
        <v>0</v>
      </c>
      <c r="BG45" s="165">
        <f t="shared" si="53"/>
        <v>0</v>
      </c>
      <c r="BH45" s="165">
        <f t="shared" si="54"/>
        <v>0</v>
      </c>
      <c r="BI45" s="165">
        <f t="shared" si="54"/>
        <v>0</v>
      </c>
      <c r="BJ45" s="165">
        <f t="shared" si="55"/>
        <v>0</v>
      </c>
      <c r="BK45" s="165">
        <f t="shared" si="29"/>
        <v>0</v>
      </c>
      <c r="BL45" s="165">
        <f t="shared" si="30"/>
        <v>0</v>
      </c>
      <c r="BM45" s="165">
        <f t="shared" si="69"/>
        <v>0</v>
      </c>
      <c r="BN45" s="165">
        <f t="shared" si="70"/>
        <v>0</v>
      </c>
      <c r="BO45" s="165">
        <f t="shared" si="71"/>
        <v>0</v>
      </c>
      <c r="BP45" s="166">
        <f t="shared" si="34"/>
        <v>0</v>
      </c>
      <c r="BQ45" s="603" t="str">
        <f t="shared" si="35"/>
        <v/>
      </c>
      <c r="BS45" s="164">
        <f t="shared" si="56"/>
        <v>0</v>
      </c>
      <c r="BT45" s="165">
        <f t="shared" si="57"/>
        <v>0</v>
      </c>
      <c r="BU45" s="165">
        <f t="shared" si="58"/>
        <v>0</v>
      </c>
      <c r="BV45" s="165">
        <f t="shared" si="59"/>
        <v>0</v>
      </c>
      <c r="BW45" s="165">
        <f t="shared" si="60"/>
        <v>0</v>
      </c>
      <c r="BX45" s="165">
        <f t="shared" si="61"/>
        <v>0</v>
      </c>
      <c r="BY45" s="165">
        <f t="shared" si="62"/>
        <v>0</v>
      </c>
      <c r="BZ45" s="165">
        <f t="shared" si="63"/>
        <v>0</v>
      </c>
      <c r="CA45" s="165">
        <f t="shared" si="63"/>
        <v>0</v>
      </c>
      <c r="CB45" s="165">
        <f t="shared" si="64"/>
        <v>0</v>
      </c>
      <c r="CC45" s="165">
        <f t="shared" si="37"/>
        <v>0</v>
      </c>
      <c r="CD45" s="165">
        <f t="shared" si="65"/>
        <v>0</v>
      </c>
      <c r="CE45" s="165">
        <f t="shared" si="66"/>
        <v>0</v>
      </c>
      <c r="CF45" s="165">
        <f t="shared" si="67"/>
        <v>0</v>
      </c>
      <c r="CG45" s="165">
        <f t="shared" si="68"/>
        <v>0</v>
      </c>
      <c r="CH45" s="166">
        <f t="shared" si="42"/>
        <v>0</v>
      </c>
    </row>
    <row r="46" spans="2:86">
      <c r="B46" s="416"/>
      <c r="C46" s="449"/>
      <c r="D46" s="376" t="str">
        <f>IF(C46="","",INDEX('Side constraints'!$C$33:$C$92,MATCH('Prop DUOS'!C46,'Side constraints'!$D$33:$D$92,0),1))</f>
        <v/>
      </c>
      <c r="E46" s="425"/>
      <c r="F46" s="426"/>
      <c r="G46" s="426"/>
      <c r="H46" s="426"/>
      <c r="I46" s="426"/>
      <c r="J46" s="426"/>
      <c r="K46" s="426"/>
      <c r="L46" s="426"/>
      <c r="M46" s="426"/>
      <c r="N46" s="426"/>
      <c r="O46" s="426"/>
      <c r="P46" s="426"/>
      <c r="Q46" s="426"/>
      <c r="R46" s="606"/>
      <c r="S46" s="427"/>
      <c r="U46" s="437"/>
      <c r="V46" s="440"/>
      <c r="W46" s="440"/>
      <c r="X46" s="440"/>
      <c r="Y46" s="440"/>
      <c r="Z46" s="440"/>
      <c r="AA46" s="440"/>
      <c r="AB46" s="440"/>
      <c r="AC46" s="440"/>
      <c r="AD46" s="440"/>
      <c r="AE46" s="440"/>
      <c r="AF46" s="440"/>
      <c r="AG46" s="440"/>
      <c r="AH46" s="612"/>
      <c r="AI46" s="441"/>
      <c r="AK46" s="363">
        <f>'t-1 DUOS'!D46</f>
        <v>0</v>
      </c>
      <c r="AL46" s="364">
        <f>'t-1 DUOS'!E46</f>
        <v>0</v>
      </c>
      <c r="AM46" s="364">
        <f>'t-1 DUOS'!F46</f>
        <v>0</v>
      </c>
      <c r="AN46" s="364">
        <f>'t-1 DUOS'!G46</f>
        <v>0</v>
      </c>
      <c r="AO46" s="364">
        <f>'t-1 DUOS'!H46</f>
        <v>0</v>
      </c>
      <c r="AP46" s="364">
        <f>'t-1 DUOS'!I46</f>
        <v>0</v>
      </c>
      <c r="AQ46" s="364">
        <f>'t-1 DUOS'!J46</f>
        <v>0</v>
      </c>
      <c r="AR46" s="364">
        <f>'t-1 DUOS'!K46</f>
        <v>0</v>
      </c>
      <c r="AS46" s="364">
        <f>'t-1 DUOS'!L46</f>
        <v>0</v>
      </c>
      <c r="AT46" s="364">
        <f>'t-1 DUOS'!M46</f>
        <v>0</v>
      </c>
      <c r="AU46" s="364">
        <f>'t-1 DUOS'!N46</f>
        <v>0</v>
      </c>
      <c r="AV46" s="364">
        <f>'t-1 DUOS'!O46</f>
        <v>0</v>
      </c>
      <c r="AW46" s="364">
        <f>'t-1 DUOS'!P46</f>
        <v>0</v>
      </c>
      <c r="AX46" s="615">
        <f>'t-1 DUOS'!Q46</f>
        <v>0</v>
      </c>
      <c r="AY46" s="365">
        <f>'t-1 DUOS'!R46</f>
        <v>0</v>
      </c>
      <c r="BA46" s="164">
        <f t="shared" si="47"/>
        <v>0</v>
      </c>
      <c r="BB46" s="165">
        <f t="shared" si="48"/>
        <v>0</v>
      </c>
      <c r="BC46" s="165">
        <f t="shared" si="49"/>
        <v>0</v>
      </c>
      <c r="BD46" s="165">
        <f t="shared" si="50"/>
        <v>0</v>
      </c>
      <c r="BE46" s="165">
        <f t="shared" si="51"/>
        <v>0</v>
      </c>
      <c r="BF46" s="165">
        <f t="shared" si="52"/>
        <v>0</v>
      </c>
      <c r="BG46" s="165">
        <f t="shared" si="53"/>
        <v>0</v>
      </c>
      <c r="BH46" s="165">
        <f t="shared" si="54"/>
        <v>0</v>
      </c>
      <c r="BI46" s="165">
        <f t="shared" si="54"/>
        <v>0</v>
      </c>
      <c r="BJ46" s="165">
        <f t="shared" si="55"/>
        <v>0</v>
      </c>
      <c r="BK46" s="165">
        <f t="shared" si="29"/>
        <v>0</v>
      </c>
      <c r="BL46" s="165">
        <f t="shared" si="30"/>
        <v>0</v>
      </c>
      <c r="BM46" s="165">
        <f t="shared" si="69"/>
        <v>0</v>
      </c>
      <c r="BN46" s="165">
        <f t="shared" si="70"/>
        <v>0</v>
      </c>
      <c r="BO46" s="165">
        <f t="shared" si="71"/>
        <v>0</v>
      </c>
      <c r="BP46" s="166">
        <f t="shared" si="34"/>
        <v>0</v>
      </c>
      <c r="BQ46" s="603" t="str">
        <f t="shared" si="35"/>
        <v/>
      </c>
      <c r="BS46" s="164">
        <f t="shared" si="56"/>
        <v>0</v>
      </c>
      <c r="BT46" s="165">
        <f t="shared" si="57"/>
        <v>0</v>
      </c>
      <c r="BU46" s="165">
        <f t="shared" si="58"/>
        <v>0</v>
      </c>
      <c r="BV46" s="165">
        <f t="shared" si="59"/>
        <v>0</v>
      </c>
      <c r="BW46" s="165">
        <f t="shared" si="60"/>
        <v>0</v>
      </c>
      <c r="BX46" s="165">
        <f t="shared" si="61"/>
        <v>0</v>
      </c>
      <c r="BY46" s="165">
        <f t="shared" si="62"/>
        <v>0</v>
      </c>
      <c r="BZ46" s="165">
        <f t="shared" si="63"/>
        <v>0</v>
      </c>
      <c r="CA46" s="165">
        <f t="shared" si="63"/>
        <v>0</v>
      </c>
      <c r="CB46" s="165">
        <f t="shared" si="64"/>
        <v>0</v>
      </c>
      <c r="CC46" s="165">
        <f t="shared" si="37"/>
        <v>0</v>
      </c>
      <c r="CD46" s="165">
        <f t="shared" si="65"/>
        <v>0</v>
      </c>
      <c r="CE46" s="165">
        <f t="shared" si="66"/>
        <v>0</v>
      </c>
      <c r="CF46" s="165">
        <f t="shared" si="67"/>
        <v>0</v>
      </c>
      <c r="CG46" s="165">
        <f t="shared" si="68"/>
        <v>0</v>
      </c>
      <c r="CH46" s="166">
        <f t="shared" si="42"/>
        <v>0</v>
      </c>
    </row>
    <row r="47" spans="2:86">
      <c r="B47" s="416"/>
      <c r="C47" s="449"/>
      <c r="D47" s="376" t="str">
        <f>IF(C47="","",INDEX('Side constraints'!$C$33:$C$92,MATCH('Prop DUOS'!C47,'Side constraints'!$D$33:$D$92,0),1))</f>
        <v/>
      </c>
      <c r="E47" s="425"/>
      <c r="F47" s="426"/>
      <c r="G47" s="426"/>
      <c r="H47" s="426"/>
      <c r="I47" s="426"/>
      <c r="J47" s="426"/>
      <c r="K47" s="426"/>
      <c r="L47" s="426"/>
      <c r="M47" s="426"/>
      <c r="N47" s="426"/>
      <c r="O47" s="426"/>
      <c r="P47" s="426"/>
      <c r="Q47" s="426"/>
      <c r="R47" s="606"/>
      <c r="S47" s="427"/>
      <c r="U47" s="437"/>
      <c r="V47" s="440"/>
      <c r="W47" s="440"/>
      <c r="X47" s="440"/>
      <c r="Y47" s="440"/>
      <c r="Z47" s="440"/>
      <c r="AA47" s="440"/>
      <c r="AB47" s="440"/>
      <c r="AC47" s="440"/>
      <c r="AD47" s="440"/>
      <c r="AE47" s="440"/>
      <c r="AF47" s="440"/>
      <c r="AG47" s="440"/>
      <c r="AH47" s="612"/>
      <c r="AI47" s="441"/>
      <c r="AK47" s="363">
        <f>'t-1 DUOS'!D47</f>
        <v>0</v>
      </c>
      <c r="AL47" s="364">
        <f>'t-1 DUOS'!E47</f>
        <v>0</v>
      </c>
      <c r="AM47" s="364">
        <f>'t-1 DUOS'!F47</f>
        <v>0</v>
      </c>
      <c r="AN47" s="364">
        <f>'t-1 DUOS'!G47</f>
        <v>0</v>
      </c>
      <c r="AO47" s="364">
        <f>'t-1 DUOS'!H47</f>
        <v>0</v>
      </c>
      <c r="AP47" s="364">
        <f>'t-1 DUOS'!I47</f>
        <v>0</v>
      </c>
      <c r="AQ47" s="364">
        <f>'t-1 DUOS'!J47</f>
        <v>0</v>
      </c>
      <c r="AR47" s="364">
        <f>'t-1 DUOS'!K47</f>
        <v>0</v>
      </c>
      <c r="AS47" s="364">
        <f>'t-1 DUOS'!L47</f>
        <v>0</v>
      </c>
      <c r="AT47" s="364">
        <f>'t-1 DUOS'!M47</f>
        <v>0</v>
      </c>
      <c r="AU47" s="364">
        <f>'t-1 DUOS'!N47</f>
        <v>0</v>
      </c>
      <c r="AV47" s="364">
        <f>'t-1 DUOS'!O47</f>
        <v>0</v>
      </c>
      <c r="AW47" s="364">
        <f>'t-1 DUOS'!P47</f>
        <v>0</v>
      </c>
      <c r="AX47" s="615">
        <f>'t-1 DUOS'!Q47</f>
        <v>0</v>
      </c>
      <c r="AY47" s="365">
        <f>'t-1 DUOS'!R47</f>
        <v>0</v>
      </c>
      <c r="BA47" s="164">
        <f t="shared" si="47"/>
        <v>0</v>
      </c>
      <c r="BB47" s="165">
        <f t="shared" si="48"/>
        <v>0</v>
      </c>
      <c r="BC47" s="165">
        <f t="shared" si="49"/>
        <v>0</v>
      </c>
      <c r="BD47" s="165">
        <f t="shared" si="50"/>
        <v>0</v>
      </c>
      <c r="BE47" s="165">
        <f t="shared" si="51"/>
        <v>0</v>
      </c>
      <c r="BF47" s="165">
        <f t="shared" si="52"/>
        <v>0</v>
      </c>
      <c r="BG47" s="165">
        <f t="shared" si="53"/>
        <v>0</v>
      </c>
      <c r="BH47" s="165">
        <f t="shared" si="54"/>
        <v>0</v>
      </c>
      <c r="BI47" s="165">
        <f t="shared" si="54"/>
        <v>0</v>
      </c>
      <c r="BJ47" s="165">
        <f t="shared" si="55"/>
        <v>0</v>
      </c>
      <c r="BK47" s="165">
        <f t="shared" si="29"/>
        <v>0</v>
      </c>
      <c r="BL47" s="165">
        <f t="shared" si="30"/>
        <v>0</v>
      </c>
      <c r="BM47" s="165">
        <f t="shared" si="69"/>
        <v>0</v>
      </c>
      <c r="BN47" s="165">
        <f t="shared" si="70"/>
        <v>0</v>
      </c>
      <c r="BO47" s="165">
        <f t="shared" si="71"/>
        <v>0</v>
      </c>
      <c r="BP47" s="166">
        <f t="shared" si="34"/>
        <v>0</v>
      </c>
      <c r="BQ47" s="603" t="str">
        <f t="shared" si="35"/>
        <v/>
      </c>
      <c r="BS47" s="164">
        <f t="shared" si="56"/>
        <v>0</v>
      </c>
      <c r="BT47" s="165">
        <f t="shared" si="57"/>
        <v>0</v>
      </c>
      <c r="BU47" s="165">
        <f t="shared" si="58"/>
        <v>0</v>
      </c>
      <c r="BV47" s="165">
        <f t="shared" si="59"/>
        <v>0</v>
      </c>
      <c r="BW47" s="165">
        <f t="shared" si="60"/>
        <v>0</v>
      </c>
      <c r="BX47" s="165">
        <f t="shared" si="61"/>
        <v>0</v>
      </c>
      <c r="BY47" s="165">
        <f t="shared" si="62"/>
        <v>0</v>
      </c>
      <c r="BZ47" s="165">
        <f t="shared" si="63"/>
        <v>0</v>
      </c>
      <c r="CA47" s="165">
        <f t="shared" si="63"/>
        <v>0</v>
      </c>
      <c r="CB47" s="165">
        <f t="shared" si="64"/>
        <v>0</v>
      </c>
      <c r="CC47" s="165">
        <f t="shared" si="37"/>
        <v>0</v>
      </c>
      <c r="CD47" s="165">
        <f t="shared" si="65"/>
        <v>0</v>
      </c>
      <c r="CE47" s="165">
        <f t="shared" si="66"/>
        <v>0</v>
      </c>
      <c r="CF47" s="165">
        <f t="shared" si="67"/>
        <v>0</v>
      </c>
      <c r="CG47" s="165">
        <f t="shared" si="68"/>
        <v>0</v>
      </c>
      <c r="CH47" s="166">
        <f t="shared" si="42"/>
        <v>0</v>
      </c>
    </row>
    <row r="48" spans="2:86">
      <c r="B48" s="416"/>
      <c r="C48" s="449"/>
      <c r="D48" s="376" t="str">
        <f>IF(C48="","",INDEX('Side constraints'!$C$33:$C$92,MATCH('Prop DUOS'!C48,'Side constraints'!$D$33:$D$92,0),1))</f>
        <v/>
      </c>
      <c r="E48" s="425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606"/>
      <c r="S48" s="427"/>
      <c r="U48" s="437"/>
      <c r="V48" s="440"/>
      <c r="W48" s="440"/>
      <c r="X48" s="440"/>
      <c r="Y48" s="440"/>
      <c r="Z48" s="440"/>
      <c r="AA48" s="440"/>
      <c r="AB48" s="440"/>
      <c r="AC48" s="440"/>
      <c r="AD48" s="440"/>
      <c r="AE48" s="440"/>
      <c r="AF48" s="440"/>
      <c r="AG48" s="440"/>
      <c r="AH48" s="612"/>
      <c r="AI48" s="441"/>
      <c r="AK48" s="363">
        <f>'t-1 DUOS'!D48</f>
        <v>0</v>
      </c>
      <c r="AL48" s="364">
        <f>'t-1 DUOS'!E48</f>
        <v>0</v>
      </c>
      <c r="AM48" s="364">
        <f>'t-1 DUOS'!F48</f>
        <v>0</v>
      </c>
      <c r="AN48" s="364">
        <f>'t-1 DUOS'!G48</f>
        <v>0</v>
      </c>
      <c r="AO48" s="364">
        <f>'t-1 DUOS'!H48</f>
        <v>0</v>
      </c>
      <c r="AP48" s="364">
        <f>'t-1 DUOS'!I48</f>
        <v>0</v>
      </c>
      <c r="AQ48" s="364">
        <f>'t-1 DUOS'!J48</f>
        <v>0</v>
      </c>
      <c r="AR48" s="364">
        <f>'t-1 DUOS'!K48</f>
        <v>0</v>
      </c>
      <c r="AS48" s="364">
        <f>'t-1 DUOS'!L48</f>
        <v>0</v>
      </c>
      <c r="AT48" s="364">
        <f>'t-1 DUOS'!M48</f>
        <v>0</v>
      </c>
      <c r="AU48" s="364">
        <f>'t-1 DUOS'!N48</f>
        <v>0</v>
      </c>
      <c r="AV48" s="364">
        <f>'t-1 DUOS'!O48</f>
        <v>0</v>
      </c>
      <c r="AW48" s="364">
        <f>'t-1 DUOS'!P48</f>
        <v>0</v>
      </c>
      <c r="AX48" s="615">
        <f>'t-1 DUOS'!Q48</f>
        <v>0</v>
      </c>
      <c r="AY48" s="365">
        <f>'t-1 DUOS'!R48</f>
        <v>0</v>
      </c>
      <c r="BA48" s="164">
        <f t="shared" si="47"/>
        <v>0</v>
      </c>
      <c r="BB48" s="165">
        <f t="shared" si="48"/>
        <v>0</v>
      </c>
      <c r="BC48" s="165">
        <f t="shared" si="49"/>
        <v>0</v>
      </c>
      <c r="BD48" s="165">
        <f t="shared" si="50"/>
        <v>0</v>
      </c>
      <c r="BE48" s="165">
        <f t="shared" si="51"/>
        <v>0</v>
      </c>
      <c r="BF48" s="165">
        <f t="shared" si="52"/>
        <v>0</v>
      </c>
      <c r="BG48" s="165">
        <f t="shared" si="53"/>
        <v>0</v>
      </c>
      <c r="BH48" s="165">
        <f t="shared" si="54"/>
        <v>0</v>
      </c>
      <c r="BI48" s="165">
        <f t="shared" si="54"/>
        <v>0</v>
      </c>
      <c r="BJ48" s="165">
        <f t="shared" si="55"/>
        <v>0</v>
      </c>
      <c r="BK48" s="165">
        <f t="shared" si="29"/>
        <v>0</v>
      </c>
      <c r="BL48" s="165">
        <f t="shared" si="30"/>
        <v>0</v>
      </c>
      <c r="BM48" s="165">
        <f t="shared" si="69"/>
        <v>0</v>
      </c>
      <c r="BN48" s="165">
        <f t="shared" si="70"/>
        <v>0</v>
      </c>
      <c r="BO48" s="165">
        <f t="shared" si="71"/>
        <v>0</v>
      </c>
      <c r="BP48" s="166">
        <f t="shared" si="34"/>
        <v>0</v>
      </c>
      <c r="BQ48" s="603" t="str">
        <f t="shared" si="35"/>
        <v/>
      </c>
      <c r="BS48" s="164">
        <f t="shared" si="56"/>
        <v>0</v>
      </c>
      <c r="BT48" s="165">
        <f t="shared" si="57"/>
        <v>0</v>
      </c>
      <c r="BU48" s="165">
        <f t="shared" si="58"/>
        <v>0</v>
      </c>
      <c r="BV48" s="165">
        <f t="shared" si="59"/>
        <v>0</v>
      </c>
      <c r="BW48" s="165">
        <f t="shared" si="60"/>
        <v>0</v>
      </c>
      <c r="BX48" s="165">
        <f t="shared" si="61"/>
        <v>0</v>
      </c>
      <c r="BY48" s="165">
        <f t="shared" si="62"/>
        <v>0</v>
      </c>
      <c r="BZ48" s="165">
        <f t="shared" si="63"/>
        <v>0</v>
      </c>
      <c r="CA48" s="165">
        <f t="shared" si="63"/>
        <v>0</v>
      </c>
      <c r="CB48" s="165">
        <f t="shared" si="64"/>
        <v>0</v>
      </c>
      <c r="CC48" s="165">
        <f t="shared" si="37"/>
        <v>0</v>
      </c>
      <c r="CD48" s="165">
        <f t="shared" si="65"/>
        <v>0</v>
      </c>
      <c r="CE48" s="165">
        <f t="shared" si="66"/>
        <v>0</v>
      </c>
      <c r="CF48" s="165">
        <f t="shared" si="67"/>
        <v>0</v>
      </c>
      <c r="CG48" s="165">
        <f t="shared" si="68"/>
        <v>0</v>
      </c>
      <c r="CH48" s="166">
        <f t="shared" si="42"/>
        <v>0</v>
      </c>
    </row>
    <row r="49" spans="2:86">
      <c r="B49" s="416"/>
      <c r="C49" s="449"/>
      <c r="D49" s="376" t="str">
        <f>IF(C49="","",INDEX('Side constraints'!$C$33:$C$92,MATCH('Prop DUOS'!C49,'Side constraints'!$D$33:$D$92,0),1))</f>
        <v/>
      </c>
      <c r="E49" s="425"/>
      <c r="F49" s="426"/>
      <c r="G49" s="426"/>
      <c r="H49" s="426"/>
      <c r="I49" s="426"/>
      <c r="J49" s="426"/>
      <c r="K49" s="426"/>
      <c r="L49" s="426"/>
      <c r="M49" s="426"/>
      <c r="N49" s="426"/>
      <c r="O49" s="426"/>
      <c r="P49" s="426"/>
      <c r="Q49" s="426"/>
      <c r="R49" s="606"/>
      <c r="S49" s="427"/>
      <c r="U49" s="437"/>
      <c r="V49" s="440"/>
      <c r="W49" s="440"/>
      <c r="X49" s="440"/>
      <c r="Y49" s="440"/>
      <c r="Z49" s="440"/>
      <c r="AA49" s="440"/>
      <c r="AB49" s="440"/>
      <c r="AC49" s="440"/>
      <c r="AD49" s="440"/>
      <c r="AE49" s="440"/>
      <c r="AF49" s="440"/>
      <c r="AG49" s="440"/>
      <c r="AH49" s="612"/>
      <c r="AI49" s="441"/>
      <c r="AK49" s="363">
        <f>'t-1 DUOS'!D49</f>
        <v>0</v>
      </c>
      <c r="AL49" s="364">
        <f>'t-1 DUOS'!E49</f>
        <v>0</v>
      </c>
      <c r="AM49" s="364">
        <f>'t-1 DUOS'!F49</f>
        <v>0</v>
      </c>
      <c r="AN49" s="364">
        <f>'t-1 DUOS'!G49</f>
        <v>0</v>
      </c>
      <c r="AO49" s="364">
        <f>'t-1 DUOS'!H49</f>
        <v>0</v>
      </c>
      <c r="AP49" s="364">
        <f>'t-1 DUOS'!I49</f>
        <v>0</v>
      </c>
      <c r="AQ49" s="364">
        <f>'t-1 DUOS'!J49</f>
        <v>0</v>
      </c>
      <c r="AR49" s="364">
        <f>'t-1 DUOS'!K49</f>
        <v>0</v>
      </c>
      <c r="AS49" s="364">
        <f>'t-1 DUOS'!L49</f>
        <v>0</v>
      </c>
      <c r="AT49" s="364">
        <f>'t-1 DUOS'!M49</f>
        <v>0</v>
      </c>
      <c r="AU49" s="364">
        <f>'t-1 DUOS'!N49</f>
        <v>0</v>
      </c>
      <c r="AV49" s="364">
        <f>'t-1 DUOS'!O49</f>
        <v>0</v>
      </c>
      <c r="AW49" s="364">
        <f>'t-1 DUOS'!P49</f>
        <v>0</v>
      </c>
      <c r="AX49" s="615">
        <f>'t-1 DUOS'!Q49</f>
        <v>0</v>
      </c>
      <c r="AY49" s="365">
        <f>'t-1 DUOS'!R49</f>
        <v>0</v>
      </c>
      <c r="BA49" s="164">
        <f t="shared" si="47"/>
        <v>0</v>
      </c>
      <c r="BB49" s="165">
        <f t="shared" si="48"/>
        <v>0</v>
      </c>
      <c r="BC49" s="165">
        <f t="shared" si="49"/>
        <v>0</v>
      </c>
      <c r="BD49" s="165">
        <f t="shared" si="50"/>
        <v>0</v>
      </c>
      <c r="BE49" s="165">
        <f t="shared" si="51"/>
        <v>0</v>
      </c>
      <c r="BF49" s="165">
        <f t="shared" si="52"/>
        <v>0</v>
      </c>
      <c r="BG49" s="165">
        <f t="shared" si="53"/>
        <v>0</v>
      </c>
      <c r="BH49" s="165">
        <f t="shared" si="54"/>
        <v>0</v>
      </c>
      <c r="BI49" s="165">
        <f t="shared" si="54"/>
        <v>0</v>
      </c>
      <c r="BJ49" s="165">
        <f t="shared" si="55"/>
        <v>0</v>
      </c>
      <c r="BK49" s="165">
        <f t="shared" si="29"/>
        <v>0</v>
      </c>
      <c r="BL49" s="165">
        <f t="shared" si="30"/>
        <v>0</v>
      </c>
      <c r="BM49" s="165">
        <f t="shared" si="69"/>
        <v>0</v>
      </c>
      <c r="BN49" s="165">
        <f t="shared" si="70"/>
        <v>0</v>
      </c>
      <c r="BO49" s="165">
        <f t="shared" si="71"/>
        <v>0</v>
      </c>
      <c r="BP49" s="166">
        <f t="shared" si="34"/>
        <v>0</v>
      </c>
      <c r="BQ49" s="603" t="str">
        <f t="shared" si="35"/>
        <v/>
      </c>
      <c r="BS49" s="164">
        <f t="shared" si="56"/>
        <v>0</v>
      </c>
      <c r="BT49" s="165">
        <f t="shared" si="57"/>
        <v>0</v>
      </c>
      <c r="BU49" s="165">
        <f t="shared" si="58"/>
        <v>0</v>
      </c>
      <c r="BV49" s="165">
        <f t="shared" si="59"/>
        <v>0</v>
      </c>
      <c r="BW49" s="165">
        <f t="shared" si="60"/>
        <v>0</v>
      </c>
      <c r="BX49" s="165">
        <f t="shared" si="61"/>
        <v>0</v>
      </c>
      <c r="BY49" s="165">
        <f t="shared" si="62"/>
        <v>0</v>
      </c>
      <c r="BZ49" s="165">
        <f t="shared" si="63"/>
        <v>0</v>
      </c>
      <c r="CA49" s="165">
        <f t="shared" si="63"/>
        <v>0</v>
      </c>
      <c r="CB49" s="165">
        <f t="shared" si="64"/>
        <v>0</v>
      </c>
      <c r="CC49" s="165">
        <f t="shared" si="37"/>
        <v>0</v>
      </c>
      <c r="CD49" s="165">
        <f t="shared" si="65"/>
        <v>0</v>
      </c>
      <c r="CE49" s="165">
        <f t="shared" si="66"/>
        <v>0</v>
      </c>
      <c r="CF49" s="165">
        <f t="shared" si="67"/>
        <v>0</v>
      </c>
      <c r="CG49" s="165">
        <f t="shared" si="68"/>
        <v>0</v>
      </c>
      <c r="CH49" s="166">
        <f t="shared" si="42"/>
        <v>0</v>
      </c>
    </row>
    <row r="50" spans="2:86">
      <c r="B50" s="416"/>
      <c r="C50" s="449"/>
      <c r="D50" s="376" t="str">
        <f>IF(C50="","",INDEX('Side constraints'!$C$33:$C$92,MATCH('Prop DUOS'!C50,'Side constraints'!$D$33:$D$92,0),1))</f>
        <v/>
      </c>
      <c r="E50" s="425"/>
      <c r="F50" s="426"/>
      <c r="G50" s="426"/>
      <c r="H50" s="426"/>
      <c r="I50" s="426"/>
      <c r="J50" s="426"/>
      <c r="K50" s="426"/>
      <c r="L50" s="426"/>
      <c r="M50" s="426"/>
      <c r="N50" s="426"/>
      <c r="O50" s="426"/>
      <c r="P50" s="426"/>
      <c r="Q50" s="426"/>
      <c r="R50" s="606"/>
      <c r="S50" s="427"/>
      <c r="U50" s="437"/>
      <c r="V50" s="440"/>
      <c r="W50" s="440"/>
      <c r="X50" s="440"/>
      <c r="Y50" s="440"/>
      <c r="Z50" s="440"/>
      <c r="AA50" s="440"/>
      <c r="AB50" s="440"/>
      <c r="AC50" s="440"/>
      <c r="AD50" s="440"/>
      <c r="AE50" s="440"/>
      <c r="AF50" s="440"/>
      <c r="AG50" s="440"/>
      <c r="AH50" s="612"/>
      <c r="AI50" s="441"/>
      <c r="AK50" s="363">
        <f>'t-1 DUOS'!D50</f>
        <v>0</v>
      </c>
      <c r="AL50" s="364">
        <f>'t-1 DUOS'!E50</f>
        <v>0</v>
      </c>
      <c r="AM50" s="364">
        <f>'t-1 DUOS'!F50</f>
        <v>0</v>
      </c>
      <c r="AN50" s="364">
        <f>'t-1 DUOS'!G50</f>
        <v>0</v>
      </c>
      <c r="AO50" s="364">
        <f>'t-1 DUOS'!H50</f>
        <v>0</v>
      </c>
      <c r="AP50" s="364">
        <f>'t-1 DUOS'!I50</f>
        <v>0</v>
      </c>
      <c r="AQ50" s="364">
        <f>'t-1 DUOS'!J50</f>
        <v>0</v>
      </c>
      <c r="AR50" s="364">
        <f>'t-1 DUOS'!K50</f>
        <v>0</v>
      </c>
      <c r="AS50" s="364">
        <f>'t-1 DUOS'!L50</f>
        <v>0</v>
      </c>
      <c r="AT50" s="364">
        <f>'t-1 DUOS'!M50</f>
        <v>0</v>
      </c>
      <c r="AU50" s="364">
        <f>'t-1 DUOS'!N50</f>
        <v>0</v>
      </c>
      <c r="AV50" s="364">
        <f>'t-1 DUOS'!O50</f>
        <v>0</v>
      </c>
      <c r="AW50" s="364">
        <f>'t-1 DUOS'!P50</f>
        <v>0</v>
      </c>
      <c r="AX50" s="615">
        <f>'t-1 DUOS'!Q50</f>
        <v>0</v>
      </c>
      <c r="AY50" s="365">
        <f>'t-1 DUOS'!R50</f>
        <v>0</v>
      </c>
      <c r="BA50" s="164">
        <f t="shared" si="47"/>
        <v>0</v>
      </c>
      <c r="BB50" s="165">
        <f t="shared" si="48"/>
        <v>0</v>
      </c>
      <c r="BC50" s="165">
        <f t="shared" si="49"/>
        <v>0</v>
      </c>
      <c r="BD50" s="165">
        <f t="shared" si="50"/>
        <v>0</v>
      </c>
      <c r="BE50" s="165">
        <f t="shared" si="51"/>
        <v>0</v>
      </c>
      <c r="BF50" s="165">
        <f t="shared" si="52"/>
        <v>0</v>
      </c>
      <c r="BG50" s="165">
        <f t="shared" si="53"/>
        <v>0</v>
      </c>
      <c r="BH50" s="165">
        <f t="shared" si="54"/>
        <v>0</v>
      </c>
      <c r="BI50" s="165">
        <f t="shared" si="54"/>
        <v>0</v>
      </c>
      <c r="BJ50" s="165">
        <f t="shared" si="55"/>
        <v>0</v>
      </c>
      <c r="BK50" s="165">
        <f t="shared" si="29"/>
        <v>0</v>
      </c>
      <c r="BL50" s="165">
        <f t="shared" si="30"/>
        <v>0</v>
      </c>
      <c r="BM50" s="165">
        <f t="shared" si="69"/>
        <v>0</v>
      </c>
      <c r="BN50" s="165">
        <f t="shared" si="70"/>
        <v>0</v>
      </c>
      <c r="BO50" s="165">
        <f t="shared" si="71"/>
        <v>0</v>
      </c>
      <c r="BP50" s="166">
        <f t="shared" si="34"/>
        <v>0</v>
      </c>
      <c r="BQ50" s="603" t="str">
        <f t="shared" si="35"/>
        <v/>
      </c>
      <c r="BS50" s="164">
        <f t="shared" si="56"/>
        <v>0</v>
      </c>
      <c r="BT50" s="165">
        <f t="shared" si="57"/>
        <v>0</v>
      </c>
      <c r="BU50" s="165">
        <f t="shared" si="58"/>
        <v>0</v>
      </c>
      <c r="BV50" s="165">
        <f t="shared" si="59"/>
        <v>0</v>
      </c>
      <c r="BW50" s="165">
        <f t="shared" si="60"/>
        <v>0</v>
      </c>
      <c r="BX50" s="165">
        <f t="shared" si="61"/>
        <v>0</v>
      </c>
      <c r="BY50" s="165">
        <f t="shared" si="62"/>
        <v>0</v>
      </c>
      <c r="BZ50" s="165">
        <f t="shared" si="63"/>
        <v>0</v>
      </c>
      <c r="CA50" s="165">
        <f t="shared" si="63"/>
        <v>0</v>
      </c>
      <c r="CB50" s="165">
        <f t="shared" si="64"/>
        <v>0</v>
      </c>
      <c r="CC50" s="165">
        <f t="shared" si="37"/>
        <v>0</v>
      </c>
      <c r="CD50" s="165">
        <f t="shared" si="65"/>
        <v>0</v>
      </c>
      <c r="CE50" s="165">
        <f t="shared" si="66"/>
        <v>0</v>
      </c>
      <c r="CF50" s="165">
        <f t="shared" si="67"/>
        <v>0</v>
      </c>
      <c r="CG50" s="165">
        <f t="shared" si="68"/>
        <v>0</v>
      </c>
      <c r="CH50" s="166">
        <f t="shared" si="42"/>
        <v>0</v>
      </c>
    </row>
    <row r="51" spans="2:86">
      <c r="B51" s="416"/>
      <c r="C51" s="449"/>
      <c r="D51" s="376" t="str">
        <f>IF(C51="","",INDEX('Side constraints'!$C$33:$C$92,MATCH('Prop DUOS'!C51,'Side constraints'!$D$33:$D$92,0),1))</f>
        <v/>
      </c>
      <c r="E51" s="425"/>
      <c r="F51" s="426"/>
      <c r="G51" s="426"/>
      <c r="H51" s="426"/>
      <c r="I51" s="426"/>
      <c r="J51" s="426"/>
      <c r="K51" s="426"/>
      <c r="L51" s="426"/>
      <c r="M51" s="426"/>
      <c r="N51" s="426"/>
      <c r="O51" s="426"/>
      <c r="P51" s="426"/>
      <c r="Q51" s="426"/>
      <c r="R51" s="606"/>
      <c r="S51" s="427"/>
      <c r="U51" s="437"/>
      <c r="V51" s="440"/>
      <c r="W51" s="440"/>
      <c r="X51" s="440"/>
      <c r="Y51" s="440"/>
      <c r="Z51" s="440"/>
      <c r="AA51" s="440"/>
      <c r="AB51" s="440"/>
      <c r="AC51" s="440"/>
      <c r="AD51" s="440"/>
      <c r="AE51" s="440"/>
      <c r="AF51" s="440"/>
      <c r="AG51" s="440"/>
      <c r="AH51" s="612"/>
      <c r="AI51" s="441"/>
      <c r="AK51" s="363">
        <f>'t-1 DUOS'!D51</f>
        <v>0</v>
      </c>
      <c r="AL51" s="364">
        <f>'t-1 DUOS'!E51</f>
        <v>0</v>
      </c>
      <c r="AM51" s="364">
        <f>'t-1 DUOS'!F51</f>
        <v>0</v>
      </c>
      <c r="AN51" s="364">
        <f>'t-1 DUOS'!G51</f>
        <v>0</v>
      </c>
      <c r="AO51" s="364">
        <f>'t-1 DUOS'!H51</f>
        <v>0</v>
      </c>
      <c r="AP51" s="364">
        <f>'t-1 DUOS'!I51</f>
        <v>0</v>
      </c>
      <c r="AQ51" s="364">
        <f>'t-1 DUOS'!J51</f>
        <v>0</v>
      </c>
      <c r="AR51" s="364">
        <f>'t-1 DUOS'!K51</f>
        <v>0</v>
      </c>
      <c r="AS51" s="364">
        <f>'t-1 DUOS'!L51</f>
        <v>0</v>
      </c>
      <c r="AT51" s="364">
        <f>'t-1 DUOS'!M51</f>
        <v>0</v>
      </c>
      <c r="AU51" s="364">
        <f>'t-1 DUOS'!N51</f>
        <v>0</v>
      </c>
      <c r="AV51" s="364">
        <f>'t-1 DUOS'!O51</f>
        <v>0</v>
      </c>
      <c r="AW51" s="364">
        <f>'t-1 DUOS'!P51</f>
        <v>0</v>
      </c>
      <c r="AX51" s="615">
        <f>'t-1 DUOS'!Q51</f>
        <v>0</v>
      </c>
      <c r="AY51" s="365">
        <f>'t-1 DUOS'!R51</f>
        <v>0</v>
      </c>
      <c r="BA51" s="164">
        <f t="shared" si="47"/>
        <v>0</v>
      </c>
      <c r="BB51" s="165">
        <f t="shared" si="48"/>
        <v>0</v>
      </c>
      <c r="BC51" s="165">
        <f t="shared" si="49"/>
        <v>0</v>
      </c>
      <c r="BD51" s="165">
        <f t="shared" si="50"/>
        <v>0</v>
      </c>
      <c r="BE51" s="165">
        <f t="shared" si="51"/>
        <v>0</v>
      </c>
      <c r="BF51" s="165">
        <f t="shared" si="52"/>
        <v>0</v>
      </c>
      <c r="BG51" s="165">
        <f t="shared" si="53"/>
        <v>0</v>
      </c>
      <c r="BH51" s="165">
        <f t="shared" si="54"/>
        <v>0</v>
      </c>
      <c r="BI51" s="165">
        <f t="shared" si="54"/>
        <v>0</v>
      </c>
      <c r="BJ51" s="165">
        <f t="shared" si="55"/>
        <v>0</v>
      </c>
      <c r="BK51" s="165">
        <f t="shared" si="29"/>
        <v>0</v>
      </c>
      <c r="BL51" s="165">
        <f t="shared" si="30"/>
        <v>0</v>
      </c>
      <c r="BM51" s="165">
        <f t="shared" si="69"/>
        <v>0</v>
      </c>
      <c r="BN51" s="165">
        <f t="shared" si="70"/>
        <v>0</v>
      </c>
      <c r="BO51" s="165">
        <f t="shared" si="71"/>
        <v>0</v>
      </c>
      <c r="BP51" s="166">
        <f t="shared" si="34"/>
        <v>0</v>
      </c>
      <c r="BQ51" s="603" t="str">
        <f t="shared" si="35"/>
        <v/>
      </c>
      <c r="BS51" s="164">
        <f t="shared" si="56"/>
        <v>0</v>
      </c>
      <c r="BT51" s="165">
        <f t="shared" si="57"/>
        <v>0</v>
      </c>
      <c r="BU51" s="165">
        <f t="shared" si="58"/>
        <v>0</v>
      </c>
      <c r="BV51" s="165">
        <f t="shared" si="59"/>
        <v>0</v>
      </c>
      <c r="BW51" s="165">
        <f t="shared" si="60"/>
        <v>0</v>
      </c>
      <c r="BX51" s="165">
        <f t="shared" si="61"/>
        <v>0</v>
      </c>
      <c r="BY51" s="165">
        <f t="shared" si="62"/>
        <v>0</v>
      </c>
      <c r="BZ51" s="165">
        <f t="shared" si="63"/>
        <v>0</v>
      </c>
      <c r="CA51" s="165">
        <f t="shared" si="63"/>
        <v>0</v>
      </c>
      <c r="CB51" s="165">
        <f t="shared" si="64"/>
        <v>0</v>
      </c>
      <c r="CC51" s="165">
        <f t="shared" si="37"/>
        <v>0</v>
      </c>
      <c r="CD51" s="165">
        <f t="shared" si="65"/>
        <v>0</v>
      </c>
      <c r="CE51" s="165">
        <f t="shared" si="66"/>
        <v>0</v>
      </c>
      <c r="CF51" s="165">
        <f t="shared" si="67"/>
        <v>0</v>
      </c>
      <c r="CG51" s="165">
        <f t="shared" si="68"/>
        <v>0</v>
      </c>
      <c r="CH51" s="166">
        <f t="shared" si="42"/>
        <v>0</v>
      </c>
    </row>
    <row r="52" spans="2:86">
      <c r="B52" s="416"/>
      <c r="C52" s="449"/>
      <c r="D52" s="376" t="str">
        <f>IF(C52="","",INDEX('Side constraints'!$C$33:$C$92,MATCH('Prop DUOS'!C52,'Side constraints'!$D$33:$D$92,0),1))</f>
        <v/>
      </c>
      <c r="E52" s="425"/>
      <c r="F52" s="426"/>
      <c r="G52" s="426"/>
      <c r="H52" s="426"/>
      <c r="I52" s="426"/>
      <c r="J52" s="426"/>
      <c r="K52" s="426"/>
      <c r="L52" s="426"/>
      <c r="M52" s="426"/>
      <c r="N52" s="426"/>
      <c r="O52" s="426"/>
      <c r="P52" s="426"/>
      <c r="Q52" s="426"/>
      <c r="R52" s="606"/>
      <c r="S52" s="427"/>
      <c r="U52" s="437"/>
      <c r="V52" s="440"/>
      <c r="W52" s="440"/>
      <c r="X52" s="440"/>
      <c r="Y52" s="440"/>
      <c r="Z52" s="440"/>
      <c r="AA52" s="440"/>
      <c r="AB52" s="440"/>
      <c r="AC52" s="440"/>
      <c r="AD52" s="440"/>
      <c r="AE52" s="440"/>
      <c r="AF52" s="440"/>
      <c r="AG52" s="440"/>
      <c r="AH52" s="612"/>
      <c r="AI52" s="441"/>
      <c r="AK52" s="363">
        <f>'t-1 DUOS'!D52</f>
        <v>0</v>
      </c>
      <c r="AL52" s="364">
        <f>'t-1 DUOS'!E52</f>
        <v>0</v>
      </c>
      <c r="AM52" s="364">
        <f>'t-1 DUOS'!F52</f>
        <v>0</v>
      </c>
      <c r="AN52" s="364">
        <f>'t-1 DUOS'!G52</f>
        <v>0</v>
      </c>
      <c r="AO52" s="364">
        <f>'t-1 DUOS'!H52</f>
        <v>0</v>
      </c>
      <c r="AP52" s="364">
        <f>'t-1 DUOS'!I52</f>
        <v>0</v>
      </c>
      <c r="AQ52" s="364">
        <f>'t-1 DUOS'!J52</f>
        <v>0</v>
      </c>
      <c r="AR52" s="364">
        <f>'t-1 DUOS'!K52</f>
        <v>0</v>
      </c>
      <c r="AS52" s="364">
        <f>'t-1 DUOS'!L52</f>
        <v>0</v>
      </c>
      <c r="AT52" s="364">
        <f>'t-1 DUOS'!M52</f>
        <v>0</v>
      </c>
      <c r="AU52" s="364">
        <f>'t-1 DUOS'!N52</f>
        <v>0</v>
      </c>
      <c r="AV52" s="364">
        <f>'t-1 DUOS'!O52</f>
        <v>0</v>
      </c>
      <c r="AW52" s="364">
        <f>'t-1 DUOS'!P52</f>
        <v>0</v>
      </c>
      <c r="AX52" s="615">
        <f>'t-1 DUOS'!Q52</f>
        <v>0</v>
      </c>
      <c r="AY52" s="365">
        <f>'t-1 DUOS'!R52</f>
        <v>0</v>
      </c>
      <c r="BA52" s="164">
        <f t="shared" si="47"/>
        <v>0</v>
      </c>
      <c r="BB52" s="165">
        <f t="shared" si="48"/>
        <v>0</v>
      </c>
      <c r="BC52" s="165">
        <f t="shared" si="49"/>
        <v>0</v>
      </c>
      <c r="BD52" s="165">
        <f t="shared" si="50"/>
        <v>0</v>
      </c>
      <c r="BE52" s="165">
        <f t="shared" si="51"/>
        <v>0</v>
      </c>
      <c r="BF52" s="165">
        <f t="shared" si="52"/>
        <v>0</v>
      </c>
      <c r="BG52" s="165">
        <f t="shared" si="53"/>
        <v>0</v>
      </c>
      <c r="BH52" s="165">
        <f t="shared" si="54"/>
        <v>0</v>
      </c>
      <c r="BI52" s="165">
        <f t="shared" si="54"/>
        <v>0</v>
      </c>
      <c r="BJ52" s="165">
        <f t="shared" si="55"/>
        <v>0</v>
      </c>
      <c r="BK52" s="165">
        <f t="shared" si="29"/>
        <v>0</v>
      </c>
      <c r="BL52" s="165">
        <f t="shared" si="30"/>
        <v>0</v>
      </c>
      <c r="BM52" s="165">
        <f t="shared" si="69"/>
        <v>0</v>
      </c>
      <c r="BN52" s="165">
        <f t="shared" si="70"/>
        <v>0</v>
      </c>
      <c r="BO52" s="165">
        <f t="shared" si="71"/>
        <v>0</v>
      </c>
      <c r="BP52" s="166">
        <f t="shared" si="34"/>
        <v>0</v>
      </c>
      <c r="BQ52" s="603" t="str">
        <f t="shared" si="35"/>
        <v/>
      </c>
      <c r="BS52" s="164">
        <f t="shared" si="56"/>
        <v>0</v>
      </c>
      <c r="BT52" s="165">
        <f t="shared" si="57"/>
        <v>0</v>
      </c>
      <c r="BU52" s="165">
        <f t="shared" si="58"/>
        <v>0</v>
      </c>
      <c r="BV52" s="165">
        <f t="shared" si="59"/>
        <v>0</v>
      </c>
      <c r="BW52" s="165">
        <f t="shared" si="60"/>
        <v>0</v>
      </c>
      <c r="BX52" s="165">
        <f t="shared" si="61"/>
        <v>0</v>
      </c>
      <c r="BY52" s="165">
        <f t="shared" si="62"/>
        <v>0</v>
      </c>
      <c r="BZ52" s="165">
        <f t="shared" si="63"/>
        <v>0</v>
      </c>
      <c r="CA52" s="165">
        <f t="shared" si="63"/>
        <v>0</v>
      </c>
      <c r="CB52" s="165">
        <f t="shared" si="64"/>
        <v>0</v>
      </c>
      <c r="CC52" s="165">
        <f t="shared" si="37"/>
        <v>0</v>
      </c>
      <c r="CD52" s="165">
        <f t="shared" si="65"/>
        <v>0</v>
      </c>
      <c r="CE52" s="165">
        <f t="shared" si="66"/>
        <v>0</v>
      </c>
      <c r="CF52" s="165">
        <f t="shared" si="67"/>
        <v>0</v>
      </c>
      <c r="CG52" s="165">
        <f t="shared" si="68"/>
        <v>0</v>
      </c>
      <c r="CH52" s="166">
        <f t="shared" si="42"/>
        <v>0</v>
      </c>
    </row>
    <row r="53" spans="2:86">
      <c r="B53" s="416"/>
      <c r="C53" s="449"/>
      <c r="D53" s="376" t="str">
        <f>IF(C53="","",INDEX('Side constraints'!$C$33:$C$92,MATCH('Prop DUOS'!C53,'Side constraints'!$D$33:$D$92,0),1))</f>
        <v/>
      </c>
      <c r="E53" s="425"/>
      <c r="F53" s="426"/>
      <c r="G53" s="426"/>
      <c r="H53" s="426"/>
      <c r="I53" s="426"/>
      <c r="J53" s="426"/>
      <c r="K53" s="426"/>
      <c r="L53" s="426"/>
      <c r="M53" s="426"/>
      <c r="N53" s="426"/>
      <c r="O53" s="426"/>
      <c r="P53" s="426"/>
      <c r="Q53" s="426"/>
      <c r="R53" s="606"/>
      <c r="S53" s="427"/>
      <c r="U53" s="437"/>
      <c r="V53" s="440"/>
      <c r="W53" s="440"/>
      <c r="X53" s="440"/>
      <c r="Y53" s="440"/>
      <c r="Z53" s="440"/>
      <c r="AA53" s="440"/>
      <c r="AB53" s="440"/>
      <c r="AC53" s="440"/>
      <c r="AD53" s="440"/>
      <c r="AE53" s="440"/>
      <c r="AF53" s="440"/>
      <c r="AG53" s="440"/>
      <c r="AH53" s="612"/>
      <c r="AI53" s="441"/>
      <c r="AK53" s="363">
        <f>'t-1 DUOS'!D53</f>
        <v>0</v>
      </c>
      <c r="AL53" s="364">
        <f>'t-1 DUOS'!E53</f>
        <v>0</v>
      </c>
      <c r="AM53" s="364">
        <f>'t-1 DUOS'!F53</f>
        <v>0</v>
      </c>
      <c r="AN53" s="364">
        <f>'t-1 DUOS'!G53</f>
        <v>0</v>
      </c>
      <c r="AO53" s="364">
        <f>'t-1 DUOS'!H53</f>
        <v>0</v>
      </c>
      <c r="AP53" s="364">
        <f>'t-1 DUOS'!I53</f>
        <v>0</v>
      </c>
      <c r="AQ53" s="364">
        <f>'t-1 DUOS'!J53</f>
        <v>0</v>
      </c>
      <c r="AR53" s="364">
        <f>'t-1 DUOS'!K53</f>
        <v>0</v>
      </c>
      <c r="AS53" s="364">
        <f>'t-1 DUOS'!L53</f>
        <v>0</v>
      </c>
      <c r="AT53" s="364">
        <f>'t-1 DUOS'!M53</f>
        <v>0</v>
      </c>
      <c r="AU53" s="364">
        <f>'t-1 DUOS'!N53</f>
        <v>0</v>
      </c>
      <c r="AV53" s="364">
        <f>'t-1 DUOS'!O53</f>
        <v>0</v>
      </c>
      <c r="AW53" s="364">
        <f>'t-1 DUOS'!P53</f>
        <v>0</v>
      </c>
      <c r="AX53" s="615">
        <f>'t-1 DUOS'!Q53</f>
        <v>0</v>
      </c>
      <c r="AY53" s="365">
        <f>'t-1 DUOS'!R53</f>
        <v>0</v>
      </c>
      <c r="BA53" s="164">
        <f t="shared" si="47"/>
        <v>0</v>
      </c>
      <c r="BB53" s="165">
        <f t="shared" si="48"/>
        <v>0</v>
      </c>
      <c r="BC53" s="165">
        <f t="shared" si="49"/>
        <v>0</v>
      </c>
      <c r="BD53" s="165">
        <f t="shared" si="50"/>
        <v>0</v>
      </c>
      <c r="BE53" s="165">
        <f t="shared" si="51"/>
        <v>0</v>
      </c>
      <c r="BF53" s="165">
        <f t="shared" si="52"/>
        <v>0</v>
      </c>
      <c r="BG53" s="165">
        <f t="shared" si="53"/>
        <v>0</v>
      </c>
      <c r="BH53" s="165">
        <f t="shared" si="54"/>
        <v>0</v>
      </c>
      <c r="BI53" s="165">
        <f t="shared" si="54"/>
        <v>0</v>
      </c>
      <c r="BJ53" s="165">
        <f t="shared" si="55"/>
        <v>0</v>
      </c>
      <c r="BK53" s="165">
        <f t="shared" si="29"/>
        <v>0</v>
      </c>
      <c r="BL53" s="165">
        <f t="shared" si="30"/>
        <v>0</v>
      </c>
      <c r="BM53" s="165">
        <f t="shared" si="69"/>
        <v>0</v>
      </c>
      <c r="BN53" s="165">
        <f t="shared" si="70"/>
        <v>0</v>
      </c>
      <c r="BO53" s="165">
        <f t="shared" si="71"/>
        <v>0</v>
      </c>
      <c r="BP53" s="166">
        <f t="shared" si="34"/>
        <v>0</v>
      </c>
      <c r="BQ53" s="603" t="str">
        <f t="shared" si="35"/>
        <v/>
      </c>
      <c r="BS53" s="164">
        <f t="shared" si="56"/>
        <v>0</v>
      </c>
      <c r="BT53" s="165">
        <f t="shared" si="57"/>
        <v>0</v>
      </c>
      <c r="BU53" s="165">
        <f t="shared" si="58"/>
        <v>0</v>
      </c>
      <c r="BV53" s="165">
        <f t="shared" si="59"/>
        <v>0</v>
      </c>
      <c r="BW53" s="165">
        <f t="shared" si="60"/>
        <v>0</v>
      </c>
      <c r="BX53" s="165">
        <f t="shared" si="61"/>
        <v>0</v>
      </c>
      <c r="BY53" s="165">
        <f t="shared" si="62"/>
        <v>0</v>
      </c>
      <c r="BZ53" s="165">
        <f t="shared" si="63"/>
        <v>0</v>
      </c>
      <c r="CA53" s="165">
        <f t="shared" si="63"/>
        <v>0</v>
      </c>
      <c r="CB53" s="165">
        <f t="shared" si="64"/>
        <v>0</v>
      </c>
      <c r="CC53" s="165">
        <f t="shared" si="37"/>
        <v>0</v>
      </c>
      <c r="CD53" s="165">
        <f t="shared" si="65"/>
        <v>0</v>
      </c>
      <c r="CE53" s="165">
        <f t="shared" si="66"/>
        <v>0</v>
      </c>
      <c r="CF53" s="165">
        <f t="shared" si="67"/>
        <v>0</v>
      </c>
      <c r="CG53" s="165">
        <f t="shared" si="68"/>
        <v>0</v>
      </c>
      <c r="CH53" s="166">
        <f t="shared" si="42"/>
        <v>0</v>
      </c>
    </row>
    <row r="54" spans="2:86">
      <c r="B54" s="416"/>
      <c r="C54" s="449"/>
      <c r="D54" s="376" t="str">
        <f>IF(C54="","",INDEX('Side constraints'!$C$33:$C$92,MATCH('Prop DUOS'!C54,'Side constraints'!$D$33:$D$92,0),1))</f>
        <v/>
      </c>
      <c r="E54" s="425"/>
      <c r="F54" s="426"/>
      <c r="G54" s="426"/>
      <c r="H54" s="426"/>
      <c r="I54" s="426"/>
      <c r="J54" s="426"/>
      <c r="K54" s="428"/>
      <c r="L54" s="426"/>
      <c r="M54" s="426"/>
      <c r="N54" s="426"/>
      <c r="O54" s="426"/>
      <c r="P54" s="426"/>
      <c r="Q54" s="428"/>
      <c r="R54" s="607"/>
      <c r="S54" s="429"/>
      <c r="U54" s="437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612"/>
      <c r="AI54" s="441"/>
      <c r="AK54" s="363">
        <f>'t-1 DUOS'!D54</f>
        <v>0</v>
      </c>
      <c r="AL54" s="364">
        <f>'t-1 DUOS'!E54</f>
        <v>0</v>
      </c>
      <c r="AM54" s="364">
        <f>'t-1 DUOS'!F54</f>
        <v>0</v>
      </c>
      <c r="AN54" s="364">
        <f>'t-1 DUOS'!G54</f>
        <v>0</v>
      </c>
      <c r="AO54" s="364">
        <f>'t-1 DUOS'!H54</f>
        <v>0</v>
      </c>
      <c r="AP54" s="364">
        <f>'t-1 DUOS'!I54</f>
        <v>0</v>
      </c>
      <c r="AQ54" s="364">
        <f>'t-1 DUOS'!J54</f>
        <v>0</v>
      </c>
      <c r="AR54" s="364">
        <f>'t-1 DUOS'!K54</f>
        <v>0</v>
      </c>
      <c r="AS54" s="364">
        <f>'t-1 DUOS'!L54</f>
        <v>0</v>
      </c>
      <c r="AT54" s="364">
        <f>'t-1 DUOS'!M54</f>
        <v>0</v>
      </c>
      <c r="AU54" s="364">
        <f>'t-1 DUOS'!N54</f>
        <v>0</v>
      </c>
      <c r="AV54" s="364">
        <f>'t-1 DUOS'!O54</f>
        <v>0</v>
      </c>
      <c r="AW54" s="364">
        <f>'t-1 DUOS'!P54</f>
        <v>0</v>
      </c>
      <c r="AX54" s="615">
        <f>'t-1 DUOS'!Q54</f>
        <v>0</v>
      </c>
      <c r="AY54" s="365">
        <f>'t-1 DUOS'!R54</f>
        <v>0</v>
      </c>
      <c r="BA54" s="164">
        <f t="shared" si="47"/>
        <v>0</v>
      </c>
      <c r="BB54" s="165">
        <f t="shared" si="48"/>
        <v>0</v>
      </c>
      <c r="BC54" s="165">
        <f t="shared" si="49"/>
        <v>0</v>
      </c>
      <c r="BD54" s="165">
        <f t="shared" si="50"/>
        <v>0</v>
      </c>
      <c r="BE54" s="165">
        <f t="shared" si="51"/>
        <v>0</v>
      </c>
      <c r="BF54" s="165">
        <f t="shared" si="52"/>
        <v>0</v>
      </c>
      <c r="BG54" s="165">
        <f t="shared" si="53"/>
        <v>0</v>
      </c>
      <c r="BH54" s="165">
        <f t="shared" si="54"/>
        <v>0</v>
      </c>
      <c r="BI54" s="165">
        <f t="shared" si="54"/>
        <v>0</v>
      </c>
      <c r="BJ54" s="165">
        <f t="shared" si="55"/>
        <v>0</v>
      </c>
      <c r="BK54" s="165">
        <f t="shared" si="29"/>
        <v>0</v>
      </c>
      <c r="BL54" s="165">
        <f t="shared" si="30"/>
        <v>0</v>
      </c>
      <c r="BM54" s="165">
        <f t="shared" si="69"/>
        <v>0</v>
      </c>
      <c r="BN54" s="165">
        <f t="shared" si="70"/>
        <v>0</v>
      </c>
      <c r="BO54" s="165">
        <f t="shared" si="71"/>
        <v>0</v>
      </c>
      <c r="BP54" s="166">
        <f t="shared" si="34"/>
        <v>0</v>
      </c>
      <c r="BQ54" s="603" t="str">
        <f t="shared" si="35"/>
        <v/>
      </c>
      <c r="BS54" s="164">
        <f t="shared" si="56"/>
        <v>0</v>
      </c>
      <c r="BT54" s="165">
        <f t="shared" si="57"/>
        <v>0</v>
      </c>
      <c r="BU54" s="165">
        <f t="shared" si="58"/>
        <v>0</v>
      </c>
      <c r="BV54" s="165">
        <f t="shared" si="59"/>
        <v>0</v>
      </c>
      <c r="BW54" s="165">
        <f t="shared" si="60"/>
        <v>0</v>
      </c>
      <c r="BX54" s="165">
        <f t="shared" si="61"/>
        <v>0</v>
      </c>
      <c r="BY54" s="165">
        <f t="shared" si="62"/>
        <v>0</v>
      </c>
      <c r="BZ54" s="165">
        <f t="shared" si="63"/>
        <v>0</v>
      </c>
      <c r="CA54" s="165">
        <f t="shared" si="63"/>
        <v>0</v>
      </c>
      <c r="CB54" s="165">
        <f t="shared" si="64"/>
        <v>0</v>
      </c>
      <c r="CC54" s="165">
        <f t="shared" si="37"/>
        <v>0</v>
      </c>
      <c r="CD54" s="165">
        <f t="shared" si="65"/>
        <v>0</v>
      </c>
      <c r="CE54" s="165">
        <f t="shared" si="66"/>
        <v>0</v>
      </c>
      <c r="CF54" s="165">
        <f t="shared" si="67"/>
        <v>0</v>
      </c>
      <c r="CG54" s="165">
        <f t="shared" si="68"/>
        <v>0</v>
      </c>
      <c r="CH54" s="166">
        <f t="shared" si="42"/>
        <v>0</v>
      </c>
    </row>
    <row r="55" spans="2:86">
      <c r="B55" s="416"/>
      <c r="C55" s="449"/>
      <c r="D55" s="376" t="str">
        <f>IF(C55="","",INDEX('Side constraints'!$C$33:$C$92,MATCH('Prop DUOS'!C55,'Side constraints'!$D$33:$D$92,0),1))</f>
        <v/>
      </c>
      <c r="E55" s="425"/>
      <c r="F55" s="426"/>
      <c r="G55" s="426"/>
      <c r="H55" s="426"/>
      <c r="I55" s="426"/>
      <c r="J55" s="426"/>
      <c r="K55" s="428"/>
      <c r="L55" s="426"/>
      <c r="M55" s="426"/>
      <c r="N55" s="426"/>
      <c r="O55" s="426"/>
      <c r="P55" s="426"/>
      <c r="Q55" s="428"/>
      <c r="R55" s="607"/>
      <c r="S55" s="429"/>
      <c r="U55" s="437"/>
      <c r="V55" s="440"/>
      <c r="W55" s="440"/>
      <c r="X55" s="440"/>
      <c r="Y55" s="440"/>
      <c r="Z55" s="440"/>
      <c r="AA55" s="440"/>
      <c r="AB55" s="440"/>
      <c r="AC55" s="440"/>
      <c r="AD55" s="440"/>
      <c r="AE55" s="440"/>
      <c r="AF55" s="440"/>
      <c r="AG55" s="440"/>
      <c r="AH55" s="612"/>
      <c r="AI55" s="441"/>
      <c r="AK55" s="363">
        <f>'t-1 DUOS'!D55</f>
        <v>0</v>
      </c>
      <c r="AL55" s="364">
        <f>'t-1 DUOS'!E55</f>
        <v>0</v>
      </c>
      <c r="AM55" s="364">
        <f>'t-1 DUOS'!F55</f>
        <v>0</v>
      </c>
      <c r="AN55" s="364">
        <f>'t-1 DUOS'!G55</f>
        <v>0</v>
      </c>
      <c r="AO55" s="364">
        <f>'t-1 DUOS'!H55</f>
        <v>0</v>
      </c>
      <c r="AP55" s="364">
        <f>'t-1 DUOS'!I55</f>
        <v>0</v>
      </c>
      <c r="AQ55" s="364">
        <f>'t-1 DUOS'!J55</f>
        <v>0</v>
      </c>
      <c r="AR55" s="364">
        <f>'t-1 DUOS'!K55</f>
        <v>0</v>
      </c>
      <c r="AS55" s="364">
        <f>'t-1 DUOS'!L55</f>
        <v>0</v>
      </c>
      <c r="AT55" s="364">
        <f>'t-1 DUOS'!M55</f>
        <v>0</v>
      </c>
      <c r="AU55" s="364">
        <f>'t-1 DUOS'!N55</f>
        <v>0</v>
      </c>
      <c r="AV55" s="364">
        <f>'t-1 DUOS'!O55</f>
        <v>0</v>
      </c>
      <c r="AW55" s="364">
        <f>'t-1 DUOS'!P55</f>
        <v>0</v>
      </c>
      <c r="AX55" s="615">
        <f>'t-1 DUOS'!Q55</f>
        <v>0</v>
      </c>
      <c r="AY55" s="365">
        <f>'t-1 DUOS'!R55</f>
        <v>0</v>
      </c>
      <c r="BA55" s="164">
        <f t="shared" si="47"/>
        <v>0</v>
      </c>
      <c r="BB55" s="165">
        <f t="shared" si="48"/>
        <v>0</v>
      </c>
      <c r="BC55" s="165">
        <f t="shared" si="49"/>
        <v>0</v>
      </c>
      <c r="BD55" s="165">
        <f t="shared" si="50"/>
        <v>0</v>
      </c>
      <c r="BE55" s="165">
        <f t="shared" si="51"/>
        <v>0</v>
      </c>
      <c r="BF55" s="165">
        <f t="shared" si="52"/>
        <v>0</v>
      </c>
      <c r="BG55" s="165">
        <f t="shared" si="53"/>
        <v>0</v>
      </c>
      <c r="BH55" s="165">
        <f t="shared" si="54"/>
        <v>0</v>
      </c>
      <c r="BI55" s="165">
        <f t="shared" si="54"/>
        <v>0</v>
      </c>
      <c r="BJ55" s="165">
        <f t="shared" si="55"/>
        <v>0</v>
      </c>
      <c r="BK55" s="165">
        <f t="shared" si="29"/>
        <v>0</v>
      </c>
      <c r="BL55" s="165">
        <f t="shared" si="30"/>
        <v>0</v>
      </c>
      <c r="BM55" s="165">
        <f t="shared" si="69"/>
        <v>0</v>
      </c>
      <c r="BN55" s="165">
        <f t="shared" si="70"/>
        <v>0</v>
      </c>
      <c r="BO55" s="165">
        <f t="shared" si="71"/>
        <v>0</v>
      </c>
      <c r="BP55" s="166">
        <f t="shared" si="34"/>
        <v>0</v>
      </c>
      <c r="BQ55" s="603" t="str">
        <f t="shared" si="35"/>
        <v/>
      </c>
      <c r="BS55" s="164">
        <f t="shared" si="56"/>
        <v>0</v>
      </c>
      <c r="BT55" s="165">
        <f t="shared" si="57"/>
        <v>0</v>
      </c>
      <c r="BU55" s="165">
        <f t="shared" si="58"/>
        <v>0</v>
      </c>
      <c r="BV55" s="165">
        <f t="shared" si="59"/>
        <v>0</v>
      </c>
      <c r="BW55" s="165">
        <f t="shared" si="60"/>
        <v>0</v>
      </c>
      <c r="BX55" s="165">
        <f t="shared" si="61"/>
        <v>0</v>
      </c>
      <c r="BY55" s="165">
        <f t="shared" si="62"/>
        <v>0</v>
      </c>
      <c r="BZ55" s="165">
        <f t="shared" si="63"/>
        <v>0</v>
      </c>
      <c r="CA55" s="165">
        <f t="shared" si="63"/>
        <v>0</v>
      </c>
      <c r="CB55" s="165">
        <f t="shared" si="64"/>
        <v>0</v>
      </c>
      <c r="CC55" s="165">
        <f t="shared" si="37"/>
        <v>0</v>
      </c>
      <c r="CD55" s="165">
        <f t="shared" si="65"/>
        <v>0</v>
      </c>
      <c r="CE55" s="165">
        <f t="shared" si="66"/>
        <v>0</v>
      </c>
      <c r="CF55" s="165">
        <f t="shared" si="67"/>
        <v>0</v>
      </c>
      <c r="CG55" s="165">
        <f t="shared" si="68"/>
        <v>0</v>
      </c>
      <c r="CH55" s="166">
        <f t="shared" si="42"/>
        <v>0</v>
      </c>
    </row>
    <row r="56" spans="2:86">
      <c r="B56" s="416"/>
      <c r="C56" s="449"/>
      <c r="D56" s="376" t="str">
        <f>IF(C56="","",INDEX('Side constraints'!$C$33:$C$92,MATCH('Prop DUOS'!C56,'Side constraints'!$D$33:$D$92,0),1))</f>
        <v/>
      </c>
      <c r="E56" s="430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P56" s="428"/>
      <c r="Q56" s="428"/>
      <c r="R56" s="607"/>
      <c r="S56" s="429"/>
      <c r="U56" s="437"/>
      <c r="V56" s="440"/>
      <c r="W56" s="440"/>
      <c r="X56" s="440"/>
      <c r="Y56" s="440"/>
      <c r="Z56" s="440"/>
      <c r="AA56" s="440"/>
      <c r="AB56" s="440"/>
      <c r="AC56" s="440"/>
      <c r="AD56" s="440"/>
      <c r="AE56" s="440"/>
      <c r="AF56" s="440"/>
      <c r="AG56" s="440"/>
      <c r="AH56" s="612"/>
      <c r="AI56" s="441"/>
      <c r="AK56" s="366"/>
      <c r="AL56" s="367"/>
      <c r="AM56" s="367"/>
      <c r="AN56" s="367"/>
      <c r="AO56" s="367"/>
      <c r="AP56" s="367"/>
      <c r="AQ56" s="367"/>
      <c r="AR56" s="367"/>
      <c r="AS56" s="367"/>
      <c r="AT56" s="367"/>
      <c r="AU56" s="367"/>
      <c r="AV56" s="367"/>
      <c r="AW56" s="367"/>
      <c r="AX56" s="616"/>
      <c r="AY56" s="365"/>
      <c r="BA56" s="164">
        <f t="shared" si="47"/>
        <v>0</v>
      </c>
      <c r="BB56" s="165">
        <f t="shared" si="48"/>
        <v>0</v>
      </c>
      <c r="BC56" s="165">
        <f t="shared" si="49"/>
        <v>0</v>
      </c>
      <c r="BD56" s="165">
        <f t="shared" si="50"/>
        <v>0</v>
      </c>
      <c r="BE56" s="165">
        <f t="shared" si="51"/>
        <v>0</v>
      </c>
      <c r="BF56" s="165">
        <f t="shared" si="52"/>
        <v>0</v>
      </c>
      <c r="BG56" s="165">
        <f t="shared" si="53"/>
        <v>0</v>
      </c>
      <c r="BH56" s="165">
        <f t="shared" si="54"/>
        <v>0</v>
      </c>
      <c r="BI56" s="165">
        <f t="shared" si="54"/>
        <v>0</v>
      </c>
      <c r="BJ56" s="165">
        <f t="shared" si="55"/>
        <v>0</v>
      </c>
      <c r="BK56" s="165">
        <f t="shared" si="29"/>
        <v>0</v>
      </c>
      <c r="BL56" s="165">
        <f t="shared" si="30"/>
        <v>0</v>
      </c>
      <c r="BM56" s="165">
        <f t="shared" si="69"/>
        <v>0</v>
      </c>
      <c r="BN56" s="165">
        <f t="shared" si="70"/>
        <v>0</v>
      </c>
      <c r="BO56" s="165">
        <f t="shared" si="71"/>
        <v>0</v>
      </c>
      <c r="BP56" s="166">
        <f t="shared" si="34"/>
        <v>0</v>
      </c>
      <c r="BQ56" s="603" t="str">
        <f t="shared" si="35"/>
        <v/>
      </c>
      <c r="BS56" s="164">
        <f t="shared" si="56"/>
        <v>0</v>
      </c>
      <c r="BT56" s="165">
        <f t="shared" si="57"/>
        <v>0</v>
      </c>
      <c r="BU56" s="165">
        <f t="shared" si="58"/>
        <v>0</v>
      </c>
      <c r="BV56" s="165">
        <f t="shared" si="59"/>
        <v>0</v>
      </c>
      <c r="BW56" s="165">
        <f t="shared" si="60"/>
        <v>0</v>
      </c>
      <c r="BX56" s="165">
        <f t="shared" si="61"/>
        <v>0</v>
      </c>
      <c r="BY56" s="165">
        <f t="shared" si="62"/>
        <v>0</v>
      </c>
      <c r="BZ56" s="165">
        <f t="shared" si="63"/>
        <v>0</v>
      </c>
      <c r="CA56" s="165">
        <f t="shared" si="63"/>
        <v>0</v>
      </c>
      <c r="CB56" s="165">
        <f t="shared" si="64"/>
        <v>0</v>
      </c>
      <c r="CC56" s="165">
        <f t="shared" si="37"/>
        <v>0</v>
      </c>
      <c r="CD56" s="165">
        <f t="shared" si="65"/>
        <v>0</v>
      </c>
      <c r="CE56" s="165">
        <f t="shared" si="66"/>
        <v>0</v>
      </c>
      <c r="CF56" s="165">
        <f t="shared" si="67"/>
        <v>0</v>
      </c>
      <c r="CG56" s="165">
        <f t="shared" si="68"/>
        <v>0</v>
      </c>
      <c r="CH56" s="166">
        <f t="shared" si="42"/>
        <v>0</v>
      </c>
    </row>
    <row r="57" spans="2:86">
      <c r="B57" s="416"/>
      <c r="C57" s="449"/>
      <c r="D57" s="376" t="str">
        <f>IF(C57="","",INDEX('Side constraints'!$C$33:$C$92,MATCH('Prop DUOS'!C57,'Side constraints'!$D$33:$D$92,0),1))</f>
        <v/>
      </c>
      <c r="E57" s="430"/>
      <c r="F57" s="428"/>
      <c r="G57" s="428"/>
      <c r="H57" s="428"/>
      <c r="I57" s="428"/>
      <c r="J57" s="428"/>
      <c r="K57" s="428"/>
      <c r="L57" s="428"/>
      <c r="M57" s="428"/>
      <c r="N57" s="428"/>
      <c r="O57" s="428"/>
      <c r="P57" s="428"/>
      <c r="Q57" s="428"/>
      <c r="R57" s="607"/>
      <c r="S57" s="429"/>
      <c r="U57" s="437"/>
      <c r="V57" s="440"/>
      <c r="W57" s="440"/>
      <c r="X57" s="440"/>
      <c r="Y57" s="440"/>
      <c r="Z57" s="440"/>
      <c r="AA57" s="440"/>
      <c r="AB57" s="440"/>
      <c r="AC57" s="440"/>
      <c r="AD57" s="440"/>
      <c r="AE57" s="440"/>
      <c r="AF57" s="440"/>
      <c r="AG57" s="440"/>
      <c r="AH57" s="612"/>
      <c r="AI57" s="441"/>
      <c r="AK57" s="366"/>
      <c r="AL57" s="367"/>
      <c r="AM57" s="367"/>
      <c r="AN57" s="367"/>
      <c r="AO57" s="367"/>
      <c r="AP57" s="367"/>
      <c r="AQ57" s="367"/>
      <c r="AR57" s="367"/>
      <c r="AS57" s="367"/>
      <c r="AT57" s="367"/>
      <c r="AU57" s="367"/>
      <c r="AV57" s="367"/>
      <c r="AW57" s="367"/>
      <c r="AX57" s="616"/>
      <c r="AY57" s="365"/>
      <c r="BA57" s="164">
        <f t="shared" si="47"/>
        <v>0</v>
      </c>
      <c r="BB57" s="165">
        <f t="shared" si="48"/>
        <v>0</v>
      </c>
      <c r="BC57" s="165">
        <f t="shared" si="49"/>
        <v>0</v>
      </c>
      <c r="BD57" s="165">
        <f t="shared" si="50"/>
        <v>0</v>
      </c>
      <c r="BE57" s="165">
        <f t="shared" si="51"/>
        <v>0</v>
      </c>
      <c r="BF57" s="165">
        <f t="shared" si="52"/>
        <v>0</v>
      </c>
      <c r="BG57" s="165">
        <f t="shared" si="53"/>
        <v>0</v>
      </c>
      <c r="BH57" s="165">
        <f t="shared" si="54"/>
        <v>0</v>
      </c>
      <c r="BI57" s="165">
        <f t="shared" si="54"/>
        <v>0</v>
      </c>
      <c r="BJ57" s="165">
        <f t="shared" si="55"/>
        <v>0</v>
      </c>
      <c r="BK57" s="165">
        <f t="shared" si="29"/>
        <v>0</v>
      </c>
      <c r="BL57" s="165">
        <f t="shared" si="30"/>
        <v>0</v>
      </c>
      <c r="BM57" s="165">
        <f t="shared" si="69"/>
        <v>0</v>
      </c>
      <c r="BN57" s="165">
        <f t="shared" si="70"/>
        <v>0</v>
      </c>
      <c r="BO57" s="165">
        <f t="shared" si="71"/>
        <v>0</v>
      </c>
      <c r="BP57" s="166">
        <f t="shared" si="34"/>
        <v>0</v>
      </c>
      <c r="BQ57" s="603" t="str">
        <f t="shared" si="35"/>
        <v/>
      </c>
      <c r="BS57" s="164">
        <f t="shared" si="56"/>
        <v>0</v>
      </c>
      <c r="BT57" s="165">
        <f t="shared" si="57"/>
        <v>0</v>
      </c>
      <c r="BU57" s="165">
        <f t="shared" si="58"/>
        <v>0</v>
      </c>
      <c r="BV57" s="165">
        <f t="shared" si="59"/>
        <v>0</v>
      </c>
      <c r="BW57" s="165">
        <f t="shared" si="60"/>
        <v>0</v>
      </c>
      <c r="BX57" s="165">
        <f t="shared" si="61"/>
        <v>0</v>
      </c>
      <c r="BY57" s="165">
        <f t="shared" si="62"/>
        <v>0</v>
      </c>
      <c r="BZ57" s="165">
        <f t="shared" si="63"/>
        <v>0</v>
      </c>
      <c r="CA57" s="165">
        <f t="shared" si="63"/>
        <v>0</v>
      </c>
      <c r="CB57" s="165">
        <f t="shared" si="64"/>
        <v>0</v>
      </c>
      <c r="CC57" s="165">
        <f t="shared" si="37"/>
        <v>0</v>
      </c>
      <c r="CD57" s="165">
        <f t="shared" si="65"/>
        <v>0</v>
      </c>
      <c r="CE57" s="165">
        <f t="shared" si="66"/>
        <v>0</v>
      </c>
      <c r="CF57" s="165">
        <f t="shared" si="67"/>
        <v>0</v>
      </c>
      <c r="CG57" s="165">
        <f t="shared" si="68"/>
        <v>0</v>
      </c>
      <c r="CH57" s="166">
        <f t="shared" si="42"/>
        <v>0</v>
      </c>
    </row>
    <row r="58" spans="2:86">
      <c r="B58" s="416"/>
      <c r="C58" s="449"/>
      <c r="D58" s="376" t="str">
        <f>IF(C58="","",INDEX('Side constraints'!$C$33:$C$92,MATCH('Prop DUOS'!C58,'Side constraints'!$D$33:$D$92,0),1))</f>
        <v/>
      </c>
      <c r="E58" s="430"/>
      <c r="F58" s="428"/>
      <c r="G58" s="428"/>
      <c r="H58" s="428"/>
      <c r="I58" s="428"/>
      <c r="J58" s="428"/>
      <c r="K58" s="428"/>
      <c r="L58" s="428"/>
      <c r="M58" s="428"/>
      <c r="N58" s="428"/>
      <c r="O58" s="428"/>
      <c r="P58" s="428"/>
      <c r="Q58" s="428"/>
      <c r="R58" s="607"/>
      <c r="S58" s="429"/>
      <c r="U58" s="442"/>
      <c r="V58" s="443"/>
      <c r="W58" s="443"/>
      <c r="X58" s="443"/>
      <c r="Y58" s="443"/>
      <c r="Z58" s="443"/>
      <c r="AA58" s="443"/>
      <c r="AB58" s="443"/>
      <c r="AC58" s="443"/>
      <c r="AD58" s="443"/>
      <c r="AE58" s="443"/>
      <c r="AF58" s="443"/>
      <c r="AG58" s="443"/>
      <c r="AH58" s="613"/>
      <c r="AI58" s="444"/>
      <c r="AK58" s="366"/>
      <c r="AL58" s="367"/>
      <c r="AM58" s="367"/>
      <c r="AN58" s="367"/>
      <c r="AO58" s="367"/>
      <c r="AP58" s="367"/>
      <c r="AQ58" s="367"/>
      <c r="AR58" s="367"/>
      <c r="AS58" s="367"/>
      <c r="AT58" s="367"/>
      <c r="AU58" s="367"/>
      <c r="AV58" s="367"/>
      <c r="AW58" s="367"/>
      <c r="AX58" s="616"/>
      <c r="AY58" s="365"/>
      <c r="BA58" s="164">
        <f t="shared" si="47"/>
        <v>0</v>
      </c>
      <c r="BB58" s="165">
        <f t="shared" si="48"/>
        <v>0</v>
      </c>
      <c r="BC58" s="165">
        <f t="shared" si="49"/>
        <v>0</v>
      </c>
      <c r="BD58" s="165">
        <f t="shared" si="50"/>
        <v>0</v>
      </c>
      <c r="BE58" s="165">
        <f t="shared" si="51"/>
        <v>0</v>
      </c>
      <c r="BF58" s="165">
        <f t="shared" si="52"/>
        <v>0</v>
      </c>
      <c r="BG58" s="165">
        <f t="shared" si="53"/>
        <v>0</v>
      </c>
      <c r="BH58" s="165">
        <f t="shared" si="54"/>
        <v>0</v>
      </c>
      <c r="BI58" s="165">
        <f t="shared" si="54"/>
        <v>0</v>
      </c>
      <c r="BJ58" s="165">
        <f t="shared" si="55"/>
        <v>0</v>
      </c>
      <c r="BK58" s="165">
        <f t="shared" si="29"/>
        <v>0</v>
      </c>
      <c r="BL58" s="165">
        <f t="shared" si="30"/>
        <v>0</v>
      </c>
      <c r="BM58" s="165">
        <f t="shared" si="69"/>
        <v>0</v>
      </c>
      <c r="BN58" s="165">
        <f t="shared" si="70"/>
        <v>0</v>
      </c>
      <c r="BO58" s="165">
        <f t="shared" si="71"/>
        <v>0</v>
      </c>
      <c r="BP58" s="166">
        <f t="shared" si="34"/>
        <v>0</v>
      </c>
      <c r="BQ58" s="603" t="str">
        <f t="shared" si="35"/>
        <v/>
      </c>
      <c r="BS58" s="164">
        <f t="shared" si="56"/>
        <v>0</v>
      </c>
      <c r="BT58" s="165">
        <f t="shared" si="57"/>
        <v>0</v>
      </c>
      <c r="BU58" s="165">
        <f t="shared" si="58"/>
        <v>0</v>
      </c>
      <c r="BV58" s="165">
        <f t="shared" si="59"/>
        <v>0</v>
      </c>
      <c r="BW58" s="165">
        <f t="shared" si="60"/>
        <v>0</v>
      </c>
      <c r="BX58" s="165">
        <f t="shared" si="61"/>
        <v>0</v>
      </c>
      <c r="BY58" s="165">
        <f t="shared" si="62"/>
        <v>0</v>
      </c>
      <c r="BZ58" s="165">
        <f t="shared" si="63"/>
        <v>0</v>
      </c>
      <c r="CA58" s="165">
        <f t="shared" si="63"/>
        <v>0</v>
      </c>
      <c r="CB58" s="165">
        <f t="shared" si="64"/>
        <v>0</v>
      </c>
      <c r="CC58" s="165">
        <f t="shared" si="37"/>
        <v>0</v>
      </c>
      <c r="CD58" s="165">
        <f t="shared" si="65"/>
        <v>0</v>
      </c>
      <c r="CE58" s="165">
        <f t="shared" si="66"/>
        <v>0</v>
      </c>
      <c r="CF58" s="165">
        <f t="shared" si="67"/>
        <v>0</v>
      </c>
      <c r="CG58" s="165">
        <f t="shared" si="68"/>
        <v>0</v>
      </c>
      <c r="CH58" s="166">
        <f t="shared" si="42"/>
        <v>0</v>
      </c>
    </row>
    <row r="59" spans="2:86">
      <c r="B59" s="416"/>
      <c r="C59" s="449"/>
      <c r="D59" s="376" t="str">
        <f>IF(C59="","",INDEX('Side constraints'!$C$33:$C$92,MATCH('Prop DUOS'!C59,'Side constraints'!$D$33:$D$92,0),1))</f>
        <v/>
      </c>
      <c r="E59" s="430"/>
      <c r="F59" s="428"/>
      <c r="G59" s="428"/>
      <c r="H59" s="428"/>
      <c r="I59" s="428"/>
      <c r="J59" s="428"/>
      <c r="K59" s="428"/>
      <c r="L59" s="428"/>
      <c r="M59" s="428"/>
      <c r="N59" s="428"/>
      <c r="O59" s="428"/>
      <c r="P59" s="428"/>
      <c r="Q59" s="428"/>
      <c r="R59" s="607"/>
      <c r="S59" s="429"/>
      <c r="U59" s="442"/>
      <c r="V59" s="443"/>
      <c r="W59" s="443"/>
      <c r="X59" s="443"/>
      <c r="Y59" s="443"/>
      <c r="Z59" s="443"/>
      <c r="AA59" s="443"/>
      <c r="AB59" s="443"/>
      <c r="AC59" s="443"/>
      <c r="AD59" s="443"/>
      <c r="AE59" s="443"/>
      <c r="AF59" s="443"/>
      <c r="AG59" s="443"/>
      <c r="AH59" s="613"/>
      <c r="AI59" s="444"/>
      <c r="AK59" s="366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616"/>
      <c r="AY59" s="365"/>
      <c r="BA59" s="164">
        <f t="shared" si="47"/>
        <v>0</v>
      </c>
      <c r="BB59" s="165">
        <f t="shared" si="48"/>
        <v>0</v>
      </c>
      <c r="BC59" s="165">
        <f t="shared" si="49"/>
        <v>0</v>
      </c>
      <c r="BD59" s="165">
        <f t="shared" si="50"/>
        <v>0</v>
      </c>
      <c r="BE59" s="165">
        <f t="shared" si="51"/>
        <v>0</v>
      </c>
      <c r="BF59" s="165">
        <f t="shared" si="52"/>
        <v>0</v>
      </c>
      <c r="BG59" s="165">
        <f t="shared" si="53"/>
        <v>0</v>
      </c>
      <c r="BH59" s="165">
        <f t="shared" si="54"/>
        <v>0</v>
      </c>
      <c r="BI59" s="165">
        <f t="shared" si="54"/>
        <v>0</v>
      </c>
      <c r="BJ59" s="165">
        <f t="shared" si="55"/>
        <v>0</v>
      </c>
      <c r="BK59" s="165">
        <f t="shared" si="29"/>
        <v>0</v>
      </c>
      <c r="BL59" s="165">
        <f t="shared" si="30"/>
        <v>0</v>
      </c>
      <c r="BM59" s="165">
        <f t="shared" si="69"/>
        <v>0</v>
      </c>
      <c r="BN59" s="165">
        <f t="shared" si="70"/>
        <v>0</v>
      </c>
      <c r="BO59" s="165">
        <f t="shared" si="71"/>
        <v>0</v>
      </c>
      <c r="BP59" s="166">
        <f t="shared" si="34"/>
        <v>0</v>
      </c>
      <c r="BQ59" s="603" t="str">
        <f t="shared" si="35"/>
        <v/>
      </c>
      <c r="BS59" s="164">
        <f t="shared" si="56"/>
        <v>0</v>
      </c>
      <c r="BT59" s="165">
        <f t="shared" si="57"/>
        <v>0</v>
      </c>
      <c r="BU59" s="165">
        <f t="shared" si="58"/>
        <v>0</v>
      </c>
      <c r="BV59" s="165">
        <f t="shared" si="59"/>
        <v>0</v>
      </c>
      <c r="BW59" s="165">
        <f t="shared" si="60"/>
        <v>0</v>
      </c>
      <c r="BX59" s="165">
        <f t="shared" si="61"/>
        <v>0</v>
      </c>
      <c r="BY59" s="165">
        <f t="shared" si="62"/>
        <v>0</v>
      </c>
      <c r="BZ59" s="165">
        <f t="shared" si="63"/>
        <v>0</v>
      </c>
      <c r="CA59" s="165">
        <f t="shared" si="63"/>
        <v>0</v>
      </c>
      <c r="CB59" s="165">
        <f t="shared" si="64"/>
        <v>0</v>
      </c>
      <c r="CC59" s="165">
        <f t="shared" si="37"/>
        <v>0</v>
      </c>
      <c r="CD59" s="165">
        <f t="shared" si="65"/>
        <v>0</v>
      </c>
      <c r="CE59" s="165">
        <f t="shared" si="66"/>
        <v>0</v>
      </c>
      <c r="CF59" s="165">
        <f t="shared" si="67"/>
        <v>0</v>
      </c>
      <c r="CG59" s="165">
        <f t="shared" si="68"/>
        <v>0</v>
      </c>
      <c r="CH59" s="166">
        <f t="shared" si="42"/>
        <v>0</v>
      </c>
    </row>
    <row r="60" spans="2:86">
      <c r="B60" s="416"/>
      <c r="C60" s="450"/>
      <c r="D60" s="376" t="str">
        <f>IF(C60="","",INDEX('Side constraints'!$C$33:$C$92,MATCH('Prop DUOS'!C60,'Side constraints'!$D$33:$D$92,0),1))</f>
        <v/>
      </c>
      <c r="E60" s="431"/>
      <c r="F60" s="432"/>
      <c r="G60" s="432"/>
      <c r="H60" s="432"/>
      <c r="I60" s="432"/>
      <c r="J60" s="432"/>
      <c r="K60" s="432"/>
      <c r="L60" s="432"/>
      <c r="M60" s="432"/>
      <c r="N60" s="432"/>
      <c r="O60" s="432"/>
      <c r="P60" s="432"/>
      <c r="Q60" s="432"/>
      <c r="R60" s="608"/>
      <c r="S60" s="433"/>
      <c r="U60" s="445"/>
      <c r="V60" s="443"/>
      <c r="W60" s="443"/>
      <c r="X60" s="443"/>
      <c r="Y60" s="443"/>
      <c r="Z60" s="443"/>
      <c r="AA60" s="443"/>
      <c r="AB60" s="443"/>
      <c r="AC60" s="443"/>
      <c r="AD60" s="443"/>
      <c r="AE60" s="443"/>
      <c r="AF60" s="443"/>
      <c r="AG60" s="443"/>
      <c r="AH60" s="613"/>
      <c r="AI60" s="444"/>
      <c r="AK60" s="368"/>
      <c r="AL60" s="369"/>
      <c r="AM60" s="369"/>
      <c r="AN60" s="369"/>
      <c r="AO60" s="369"/>
      <c r="AP60" s="369"/>
      <c r="AQ60" s="369"/>
      <c r="AR60" s="369"/>
      <c r="AS60" s="369"/>
      <c r="AT60" s="369"/>
      <c r="AU60" s="370"/>
      <c r="AV60" s="370"/>
      <c r="AW60" s="370"/>
      <c r="AX60" s="617"/>
      <c r="AY60" s="371"/>
      <c r="BA60" s="164">
        <f t="shared" si="47"/>
        <v>0</v>
      </c>
      <c r="BB60" s="165">
        <f t="shared" si="48"/>
        <v>0</v>
      </c>
      <c r="BC60" s="165">
        <f t="shared" si="49"/>
        <v>0</v>
      </c>
      <c r="BD60" s="165">
        <f t="shared" si="50"/>
        <v>0</v>
      </c>
      <c r="BE60" s="165">
        <f t="shared" si="51"/>
        <v>0</v>
      </c>
      <c r="BF60" s="165">
        <f t="shared" si="52"/>
        <v>0</v>
      </c>
      <c r="BG60" s="165">
        <f t="shared" si="53"/>
        <v>0</v>
      </c>
      <c r="BH60" s="165">
        <f t="shared" si="54"/>
        <v>0</v>
      </c>
      <c r="BI60" s="165">
        <f t="shared" si="54"/>
        <v>0</v>
      </c>
      <c r="BJ60" s="165">
        <f t="shared" si="55"/>
        <v>0</v>
      </c>
      <c r="BK60" s="165">
        <f t="shared" si="29"/>
        <v>0</v>
      </c>
      <c r="BL60" s="165">
        <f t="shared" si="30"/>
        <v>0</v>
      </c>
      <c r="BM60" s="165">
        <f t="shared" si="69"/>
        <v>0</v>
      </c>
      <c r="BN60" s="165">
        <f t="shared" si="70"/>
        <v>0</v>
      </c>
      <c r="BO60" s="165">
        <f t="shared" si="71"/>
        <v>0</v>
      </c>
      <c r="BP60" s="166">
        <f t="shared" si="34"/>
        <v>0</v>
      </c>
      <c r="BQ60" s="603" t="str">
        <f t="shared" si="35"/>
        <v/>
      </c>
      <c r="BS60" s="164">
        <f t="shared" si="56"/>
        <v>0</v>
      </c>
      <c r="BT60" s="165">
        <f t="shared" si="57"/>
        <v>0</v>
      </c>
      <c r="BU60" s="165">
        <f t="shared" si="58"/>
        <v>0</v>
      </c>
      <c r="BV60" s="165">
        <f t="shared" si="59"/>
        <v>0</v>
      </c>
      <c r="BW60" s="165">
        <f t="shared" si="60"/>
        <v>0</v>
      </c>
      <c r="BX60" s="165">
        <f t="shared" si="61"/>
        <v>0</v>
      </c>
      <c r="BY60" s="165">
        <f t="shared" si="62"/>
        <v>0</v>
      </c>
      <c r="BZ60" s="165">
        <f t="shared" si="63"/>
        <v>0</v>
      </c>
      <c r="CA60" s="165">
        <f t="shared" si="63"/>
        <v>0</v>
      </c>
      <c r="CB60" s="165">
        <f t="shared" si="64"/>
        <v>0</v>
      </c>
      <c r="CC60" s="165">
        <f t="shared" si="37"/>
        <v>0</v>
      </c>
      <c r="CD60" s="165">
        <f t="shared" si="65"/>
        <v>0</v>
      </c>
      <c r="CE60" s="165">
        <f t="shared" si="66"/>
        <v>0</v>
      </c>
      <c r="CF60" s="165">
        <f t="shared" si="67"/>
        <v>0</v>
      </c>
      <c r="CG60" s="165">
        <f t="shared" si="68"/>
        <v>0</v>
      </c>
      <c r="CH60" s="166">
        <f t="shared" si="42"/>
        <v>0</v>
      </c>
    </row>
    <row r="61" spans="2:86">
      <c r="B61" s="416"/>
      <c r="C61" s="450"/>
      <c r="D61" s="376" t="str">
        <f>IF(C61="","",INDEX('Side constraints'!$C$33:$C$92,MATCH('Prop DUOS'!C61,'Side constraints'!$D$33:$D$92,0),1))</f>
        <v/>
      </c>
      <c r="E61" s="431"/>
      <c r="F61" s="432"/>
      <c r="G61" s="432"/>
      <c r="H61" s="432"/>
      <c r="I61" s="432"/>
      <c r="J61" s="432"/>
      <c r="K61" s="432"/>
      <c r="L61" s="432"/>
      <c r="M61" s="432"/>
      <c r="N61" s="432"/>
      <c r="O61" s="432"/>
      <c r="P61" s="432"/>
      <c r="Q61" s="432"/>
      <c r="R61" s="608"/>
      <c r="S61" s="433"/>
      <c r="U61" s="445"/>
      <c r="V61" s="443"/>
      <c r="W61" s="443"/>
      <c r="X61" s="443"/>
      <c r="Y61" s="443"/>
      <c r="Z61" s="443"/>
      <c r="AA61" s="443"/>
      <c r="AB61" s="443"/>
      <c r="AC61" s="443"/>
      <c r="AD61" s="443"/>
      <c r="AE61" s="443"/>
      <c r="AF61" s="443"/>
      <c r="AG61" s="443"/>
      <c r="AH61" s="613"/>
      <c r="AI61" s="444"/>
      <c r="AK61" s="368"/>
      <c r="AL61" s="369"/>
      <c r="AM61" s="369"/>
      <c r="AN61" s="369"/>
      <c r="AO61" s="369"/>
      <c r="AP61" s="369"/>
      <c r="AQ61" s="369"/>
      <c r="AR61" s="369"/>
      <c r="AS61" s="369"/>
      <c r="AT61" s="369"/>
      <c r="AU61" s="370"/>
      <c r="AV61" s="370"/>
      <c r="AW61" s="370"/>
      <c r="AX61" s="617"/>
      <c r="AY61" s="371"/>
      <c r="BA61" s="164">
        <f t="shared" si="47"/>
        <v>0</v>
      </c>
      <c r="BB61" s="165">
        <f t="shared" si="48"/>
        <v>0</v>
      </c>
      <c r="BC61" s="165">
        <f t="shared" si="49"/>
        <v>0</v>
      </c>
      <c r="BD61" s="165">
        <f t="shared" si="50"/>
        <v>0</v>
      </c>
      <c r="BE61" s="165">
        <f t="shared" si="51"/>
        <v>0</v>
      </c>
      <c r="BF61" s="165">
        <f t="shared" si="52"/>
        <v>0</v>
      </c>
      <c r="BG61" s="165">
        <f t="shared" si="53"/>
        <v>0</v>
      </c>
      <c r="BH61" s="165">
        <f t="shared" si="54"/>
        <v>0</v>
      </c>
      <c r="BI61" s="165">
        <f t="shared" si="54"/>
        <v>0</v>
      </c>
      <c r="BJ61" s="165">
        <f t="shared" si="55"/>
        <v>0</v>
      </c>
      <c r="BK61" s="165">
        <f t="shared" si="29"/>
        <v>0</v>
      </c>
      <c r="BL61" s="165">
        <f t="shared" si="30"/>
        <v>0</v>
      </c>
      <c r="BM61" s="165">
        <f t="shared" si="69"/>
        <v>0</v>
      </c>
      <c r="BN61" s="165">
        <f t="shared" si="70"/>
        <v>0</v>
      </c>
      <c r="BO61" s="165">
        <f t="shared" si="71"/>
        <v>0</v>
      </c>
      <c r="BP61" s="166">
        <f t="shared" si="34"/>
        <v>0</v>
      </c>
      <c r="BQ61" s="603" t="str">
        <f t="shared" si="35"/>
        <v/>
      </c>
      <c r="BS61" s="164">
        <f t="shared" si="56"/>
        <v>0</v>
      </c>
      <c r="BT61" s="165">
        <f t="shared" si="57"/>
        <v>0</v>
      </c>
      <c r="BU61" s="165">
        <f t="shared" si="58"/>
        <v>0</v>
      </c>
      <c r="BV61" s="165">
        <f t="shared" si="59"/>
        <v>0</v>
      </c>
      <c r="BW61" s="165">
        <f t="shared" si="60"/>
        <v>0</v>
      </c>
      <c r="BX61" s="165">
        <f t="shared" si="61"/>
        <v>0</v>
      </c>
      <c r="BY61" s="165">
        <f t="shared" si="62"/>
        <v>0</v>
      </c>
      <c r="BZ61" s="165">
        <f t="shared" si="63"/>
        <v>0</v>
      </c>
      <c r="CA61" s="165">
        <f t="shared" si="63"/>
        <v>0</v>
      </c>
      <c r="CB61" s="165">
        <f t="shared" si="64"/>
        <v>0</v>
      </c>
      <c r="CC61" s="165">
        <f t="shared" si="37"/>
        <v>0</v>
      </c>
      <c r="CD61" s="165">
        <f t="shared" si="65"/>
        <v>0</v>
      </c>
      <c r="CE61" s="165">
        <f t="shared" si="66"/>
        <v>0</v>
      </c>
      <c r="CF61" s="165">
        <f t="shared" si="67"/>
        <v>0</v>
      </c>
      <c r="CG61" s="165">
        <f t="shared" si="68"/>
        <v>0</v>
      </c>
      <c r="CH61" s="166">
        <f t="shared" si="42"/>
        <v>0</v>
      </c>
    </row>
    <row r="62" spans="2:86">
      <c r="B62" s="416"/>
      <c r="C62" s="450"/>
      <c r="D62" s="376" t="str">
        <f>IF(C62="","",INDEX('Side constraints'!$C$33:$C$92,MATCH('Prop DUOS'!C62,'Side constraints'!$D$33:$D$92,0),1))</f>
        <v/>
      </c>
      <c r="E62" s="431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432"/>
      <c r="Q62" s="432"/>
      <c r="R62" s="608"/>
      <c r="S62" s="433"/>
      <c r="U62" s="445"/>
      <c r="V62" s="443"/>
      <c r="W62" s="443"/>
      <c r="X62" s="443"/>
      <c r="Y62" s="443"/>
      <c r="Z62" s="443"/>
      <c r="AA62" s="443"/>
      <c r="AB62" s="443"/>
      <c r="AC62" s="443"/>
      <c r="AD62" s="443"/>
      <c r="AE62" s="443"/>
      <c r="AF62" s="443"/>
      <c r="AG62" s="443"/>
      <c r="AH62" s="613"/>
      <c r="AI62" s="444"/>
      <c r="AK62" s="368"/>
      <c r="AL62" s="369"/>
      <c r="AM62" s="369"/>
      <c r="AN62" s="369"/>
      <c r="AO62" s="369"/>
      <c r="AP62" s="369"/>
      <c r="AQ62" s="369"/>
      <c r="AR62" s="369"/>
      <c r="AS62" s="369"/>
      <c r="AT62" s="369"/>
      <c r="AU62" s="370"/>
      <c r="AV62" s="370"/>
      <c r="AW62" s="370"/>
      <c r="AX62" s="617"/>
      <c r="AY62" s="371"/>
      <c r="BA62" s="164">
        <f t="shared" si="47"/>
        <v>0</v>
      </c>
      <c r="BB62" s="165">
        <f t="shared" si="48"/>
        <v>0</v>
      </c>
      <c r="BC62" s="165">
        <f t="shared" si="49"/>
        <v>0</v>
      </c>
      <c r="BD62" s="165">
        <f t="shared" si="50"/>
        <v>0</v>
      </c>
      <c r="BE62" s="165">
        <f t="shared" si="51"/>
        <v>0</v>
      </c>
      <c r="BF62" s="165">
        <f t="shared" si="52"/>
        <v>0</v>
      </c>
      <c r="BG62" s="165">
        <f t="shared" si="53"/>
        <v>0</v>
      </c>
      <c r="BH62" s="165">
        <f t="shared" si="54"/>
        <v>0</v>
      </c>
      <c r="BI62" s="165">
        <f t="shared" si="54"/>
        <v>0</v>
      </c>
      <c r="BJ62" s="165">
        <f t="shared" si="55"/>
        <v>0</v>
      </c>
      <c r="BK62" s="165">
        <f t="shared" si="29"/>
        <v>0</v>
      </c>
      <c r="BL62" s="165">
        <f t="shared" si="30"/>
        <v>0</v>
      </c>
      <c r="BM62" s="165">
        <f t="shared" si="69"/>
        <v>0</v>
      </c>
      <c r="BN62" s="165">
        <f t="shared" si="70"/>
        <v>0</v>
      </c>
      <c r="BO62" s="165">
        <f t="shared" si="71"/>
        <v>0</v>
      </c>
      <c r="BP62" s="166">
        <f t="shared" si="34"/>
        <v>0</v>
      </c>
      <c r="BQ62" s="603" t="str">
        <f t="shared" si="35"/>
        <v/>
      </c>
      <c r="BS62" s="164">
        <f t="shared" si="56"/>
        <v>0</v>
      </c>
      <c r="BT62" s="165">
        <f t="shared" si="57"/>
        <v>0</v>
      </c>
      <c r="BU62" s="165">
        <f t="shared" si="58"/>
        <v>0</v>
      </c>
      <c r="BV62" s="165">
        <f t="shared" si="59"/>
        <v>0</v>
      </c>
      <c r="BW62" s="165">
        <f t="shared" si="60"/>
        <v>0</v>
      </c>
      <c r="BX62" s="165">
        <f t="shared" si="61"/>
        <v>0</v>
      </c>
      <c r="BY62" s="165">
        <f t="shared" si="62"/>
        <v>0</v>
      </c>
      <c r="BZ62" s="165">
        <f t="shared" si="63"/>
        <v>0</v>
      </c>
      <c r="CA62" s="165">
        <f t="shared" si="63"/>
        <v>0</v>
      </c>
      <c r="CB62" s="165">
        <f t="shared" si="64"/>
        <v>0</v>
      </c>
      <c r="CC62" s="165">
        <f t="shared" si="37"/>
        <v>0</v>
      </c>
      <c r="CD62" s="165">
        <f t="shared" si="65"/>
        <v>0</v>
      </c>
      <c r="CE62" s="165">
        <f t="shared" si="66"/>
        <v>0</v>
      </c>
      <c r="CF62" s="165">
        <f t="shared" si="67"/>
        <v>0</v>
      </c>
      <c r="CG62" s="165">
        <f t="shared" si="68"/>
        <v>0</v>
      </c>
      <c r="CH62" s="166">
        <f t="shared" si="42"/>
        <v>0</v>
      </c>
    </row>
    <row r="63" spans="2:86">
      <c r="B63" s="416"/>
      <c r="C63" s="450"/>
      <c r="D63" s="376" t="str">
        <f>IF(C63="","",INDEX('Side constraints'!$C$33:$C$92,MATCH('Prop DUOS'!C63,'Side constraints'!$D$33:$D$92,0),1))</f>
        <v/>
      </c>
      <c r="E63" s="431"/>
      <c r="F63" s="432"/>
      <c r="G63" s="432"/>
      <c r="H63" s="432"/>
      <c r="I63" s="432"/>
      <c r="J63" s="432"/>
      <c r="K63" s="432"/>
      <c r="L63" s="432"/>
      <c r="M63" s="432"/>
      <c r="N63" s="432"/>
      <c r="O63" s="432"/>
      <c r="P63" s="432"/>
      <c r="Q63" s="432"/>
      <c r="R63" s="608"/>
      <c r="S63" s="433"/>
      <c r="U63" s="445"/>
      <c r="V63" s="443"/>
      <c r="W63" s="443"/>
      <c r="X63" s="443"/>
      <c r="Y63" s="443"/>
      <c r="Z63" s="443"/>
      <c r="AA63" s="443"/>
      <c r="AB63" s="443"/>
      <c r="AC63" s="443"/>
      <c r="AD63" s="443"/>
      <c r="AE63" s="443"/>
      <c r="AF63" s="443"/>
      <c r="AG63" s="443"/>
      <c r="AH63" s="613"/>
      <c r="AI63" s="444"/>
      <c r="AK63" s="368"/>
      <c r="AL63" s="369"/>
      <c r="AM63" s="369"/>
      <c r="AN63" s="369"/>
      <c r="AO63" s="369"/>
      <c r="AP63" s="369"/>
      <c r="AQ63" s="369"/>
      <c r="AR63" s="369"/>
      <c r="AS63" s="369"/>
      <c r="AT63" s="369"/>
      <c r="AU63" s="370"/>
      <c r="AV63" s="370"/>
      <c r="AW63" s="370"/>
      <c r="AX63" s="617"/>
      <c r="AY63" s="371"/>
      <c r="BA63" s="164">
        <f t="shared" si="47"/>
        <v>0</v>
      </c>
      <c r="BB63" s="165">
        <f t="shared" si="48"/>
        <v>0</v>
      </c>
      <c r="BC63" s="165">
        <f t="shared" si="49"/>
        <v>0</v>
      </c>
      <c r="BD63" s="165">
        <f t="shared" si="50"/>
        <v>0</v>
      </c>
      <c r="BE63" s="165">
        <f t="shared" si="51"/>
        <v>0</v>
      </c>
      <c r="BF63" s="165">
        <f t="shared" si="52"/>
        <v>0</v>
      </c>
      <c r="BG63" s="165">
        <f t="shared" si="53"/>
        <v>0</v>
      </c>
      <c r="BH63" s="165">
        <f t="shared" si="54"/>
        <v>0</v>
      </c>
      <c r="BI63" s="165">
        <f t="shared" si="54"/>
        <v>0</v>
      </c>
      <c r="BJ63" s="165">
        <f t="shared" si="55"/>
        <v>0</v>
      </c>
      <c r="BK63" s="165">
        <f t="shared" si="29"/>
        <v>0</v>
      </c>
      <c r="BL63" s="165">
        <f t="shared" si="30"/>
        <v>0</v>
      </c>
      <c r="BM63" s="165">
        <f t="shared" si="69"/>
        <v>0</v>
      </c>
      <c r="BN63" s="165">
        <f t="shared" si="70"/>
        <v>0</v>
      </c>
      <c r="BO63" s="165">
        <f t="shared" si="71"/>
        <v>0</v>
      </c>
      <c r="BP63" s="166">
        <f t="shared" si="34"/>
        <v>0</v>
      </c>
      <c r="BQ63" s="603" t="str">
        <f t="shared" si="35"/>
        <v/>
      </c>
      <c r="BS63" s="164">
        <f t="shared" si="56"/>
        <v>0</v>
      </c>
      <c r="BT63" s="165">
        <f t="shared" si="57"/>
        <v>0</v>
      </c>
      <c r="BU63" s="165">
        <f t="shared" si="58"/>
        <v>0</v>
      </c>
      <c r="BV63" s="165">
        <f t="shared" si="59"/>
        <v>0</v>
      </c>
      <c r="BW63" s="165">
        <f t="shared" si="60"/>
        <v>0</v>
      </c>
      <c r="BX63" s="165">
        <f t="shared" si="61"/>
        <v>0</v>
      </c>
      <c r="BY63" s="165">
        <f t="shared" si="62"/>
        <v>0</v>
      </c>
      <c r="BZ63" s="165">
        <f t="shared" si="63"/>
        <v>0</v>
      </c>
      <c r="CA63" s="165">
        <f t="shared" si="63"/>
        <v>0</v>
      </c>
      <c r="CB63" s="165">
        <f t="shared" si="64"/>
        <v>0</v>
      </c>
      <c r="CC63" s="165">
        <f t="shared" si="37"/>
        <v>0</v>
      </c>
      <c r="CD63" s="165">
        <f t="shared" si="65"/>
        <v>0</v>
      </c>
      <c r="CE63" s="165">
        <f t="shared" si="66"/>
        <v>0</v>
      </c>
      <c r="CF63" s="165">
        <f t="shared" si="67"/>
        <v>0</v>
      </c>
      <c r="CG63" s="165">
        <f t="shared" si="68"/>
        <v>0</v>
      </c>
      <c r="CH63" s="166">
        <f t="shared" si="42"/>
        <v>0</v>
      </c>
    </row>
    <row r="64" spans="2:86">
      <c r="B64" s="416"/>
      <c r="C64" s="450"/>
      <c r="D64" s="376" t="str">
        <f>IF(C64="","",INDEX('Side constraints'!$C$33:$C$92,MATCH('Prop DUOS'!C64,'Side constraints'!$D$33:$D$92,0),1))</f>
        <v/>
      </c>
      <c r="E64" s="431"/>
      <c r="F64" s="432"/>
      <c r="G64" s="432"/>
      <c r="H64" s="432"/>
      <c r="I64" s="432"/>
      <c r="J64" s="432"/>
      <c r="K64" s="432"/>
      <c r="L64" s="432"/>
      <c r="M64" s="432"/>
      <c r="N64" s="432"/>
      <c r="O64" s="432"/>
      <c r="P64" s="432"/>
      <c r="Q64" s="432"/>
      <c r="R64" s="608"/>
      <c r="S64" s="433"/>
      <c r="U64" s="445"/>
      <c r="V64" s="443"/>
      <c r="W64" s="443"/>
      <c r="X64" s="443"/>
      <c r="Y64" s="443"/>
      <c r="Z64" s="443"/>
      <c r="AA64" s="443"/>
      <c r="AB64" s="443"/>
      <c r="AC64" s="443"/>
      <c r="AD64" s="443"/>
      <c r="AE64" s="443"/>
      <c r="AF64" s="443"/>
      <c r="AG64" s="443"/>
      <c r="AH64" s="613"/>
      <c r="AI64" s="444"/>
      <c r="AK64" s="368"/>
      <c r="AL64" s="369"/>
      <c r="AM64" s="369"/>
      <c r="AN64" s="369"/>
      <c r="AO64" s="369"/>
      <c r="AP64" s="369"/>
      <c r="AQ64" s="369"/>
      <c r="AR64" s="369"/>
      <c r="AS64" s="369"/>
      <c r="AT64" s="369"/>
      <c r="AU64" s="370"/>
      <c r="AV64" s="370"/>
      <c r="AW64" s="370"/>
      <c r="AX64" s="617"/>
      <c r="AY64" s="371"/>
      <c r="BA64" s="164">
        <f t="shared" si="47"/>
        <v>0</v>
      </c>
      <c r="BB64" s="165">
        <f t="shared" si="48"/>
        <v>0</v>
      </c>
      <c r="BC64" s="165">
        <f t="shared" si="49"/>
        <v>0</v>
      </c>
      <c r="BD64" s="165">
        <f t="shared" si="50"/>
        <v>0</v>
      </c>
      <c r="BE64" s="165">
        <f t="shared" si="51"/>
        <v>0</v>
      </c>
      <c r="BF64" s="165">
        <f t="shared" si="52"/>
        <v>0</v>
      </c>
      <c r="BG64" s="165">
        <f t="shared" si="53"/>
        <v>0</v>
      </c>
      <c r="BH64" s="165">
        <f t="shared" si="54"/>
        <v>0</v>
      </c>
      <c r="BI64" s="165">
        <f t="shared" si="54"/>
        <v>0</v>
      </c>
      <c r="BJ64" s="165">
        <f t="shared" si="55"/>
        <v>0</v>
      </c>
      <c r="BK64" s="165">
        <f t="shared" si="29"/>
        <v>0</v>
      </c>
      <c r="BL64" s="165">
        <f t="shared" si="30"/>
        <v>0</v>
      </c>
      <c r="BM64" s="165">
        <f t="shared" si="69"/>
        <v>0</v>
      </c>
      <c r="BN64" s="165">
        <f t="shared" si="70"/>
        <v>0</v>
      </c>
      <c r="BO64" s="165">
        <f t="shared" si="71"/>
        <v>0</v>
      </c>
      <c r="BP64" s="166">
        <f t="shared" si="34"/>
        <v>0</v>
      </c>
      <c r="BQ64" s="603" t="str">
        <f t="shared" si="35"/>
        <v/>
      </c>
      <c r="BS64" s="164">
        <f t="shared" si="56"/>
        <v>0</v>
      </c>
      <c r="BT64" s="165">
        <f t="shared" si="57"/>
        <v>0</v>
      </c>
      <c r="BU64" s="165">
        <f t="shared" si="58"/>
        <v>0</v>
      </c>
      <c r="BV64" s="165">
        <f t="shared" si="59"/>
        <v>0</v>
      </c>
      <c r="BW64" s="165">
        <f t="shared" si="60"/>
        <v>0</v>
      </c>
      <c r="BX64" s="165">
        <f t="shared" si="61"/>
        <v>0</v>
      </c>
      <c r="BY64" s="165">
        <f t="shared" si="62"/>
        <v>0</v>
      </c>
      <c r="BZ64" s="165">
        <f t="shared" si="63"/>
        <v>0</v>
      </c>
      <c r="CA64" s="165">
        <f t="shared" si="63"/>
        <v>0</v>
      </c>
      <c r="CB64" s="165">
        <f t="shared" si="64"/>
        <v>0</v>
      </c>
      <c r="CC64" s="165">
        <f t="shared" si="37"/>
        <v>0</v>
      </c>
      <c r="CD64" s="165">
        <f t="shared" si="65"/>
        <v>0</v>
      </c>
      <c r="CE64" s="165">
        <f t="shared" si="66"/>
        <v>0</v>
      </c>
      <c r="CF64" s="165">
        <f t="shared" si="67"/>
        <v>0</v>
      </c>
      <c r="CG64" s="165">
        <f t="shared" si="68"/>
        <v>0</v>
      </c>
      <c r="CH64" s="166">
        <f t="shared" si="42"/>
        <v>0</v>
      </c>
    </row>
    <row r="65" spans="2:86">
      <c r="B65" s="416"/>
      <c r="C65" s="450"/>
      <c r="D65" s="376" t="str">
        <f>IF(C65="","",INDEX('Side constraints'!$C$33:$C$92,MATCH('Prop DUOS'!C65,'Side constraints'!$D$33:$D$92,0),1))</f>
        <v/>
      </c>
      <c r="E65" s="431"/>
      <c r="F65" s="432"/>
      <c r="G65" s="432"/>
      <c r="H65" s="432"/>
      <c r="I65" s="432"/>
      <c r="J65" s="432"/>
      <c r="K65" s="432"/>
      <c r="L65" s="432"/>
      <c r="M65" s="432"/>
      <c r="N65" s="432"/>
      <c r="O65" s="432"/>
      <c r="P65" s="432"/>
      <c r="Q65" s="432"/>
      <c r="R65" s="608"/>
      <c r="S65" s="433"/>
      <c r="U65" s="445"/>
      <c r="V65" s="443"/>
      <c r="W65" s="443"/>
      <c r="X65" s="443"/>
      <c r="Y65" s="443"/>
      <c r="Z65" s="443"/>
      <c r="AA65" s="443"/>
      <c r="AB65" s="443"/>
      <c r="AC65" s="443"/>
      <c r="AD65" s="443"/>
      <c r="AE65" s="443"/>
      <c r="AF65" s="443"/>
      <c r="AG65" s="443"/>
      <c r="AH65" s="613"/>
      <c r="AI65" s="444"/>
      <c r="AK65" s="368"/>
      <c r="AL65" s="369"/>
      <c r="AM65" s="369"/>
      <c r="AN65" s="369"/>
      <c r="AO65" s="369"/>
      <c r="AP65" s="369"/>
      <c r="AQ65" s="369"/>
      <c r="AR65" s="369"/>
      <c r="AS65" s="369"/>
      <c r="AT65" s="369"/>
      <c r="AU65" s="370"/>
      <c r="AV65" s="370"/>
      <c r="AW65" s="370"/>
      <c r="AX65" s="617"/>
      <c r="AY65" s="371"/>
      <c r="BA65" s="164">
        <f t="shared" si="47"/>
        <v>0</v>
      </c>
      <c r="BB65" s="165">
        <f t="shared" si="48"/>
        <v>0</v>
      </c>
      <c r="BC65" s="165">
        <f t="shared" si="49"/>
        <v>0</v>
      </c>
      <c r="BD65" s="165">
        <f t="shared" si="50"/>
        <v>0</v>
      </c>
      <c r="BE65" s="165">
        <f t="shared" si="51"/>
        <v>0</v>
      </c>
      <c r="BF65" s="165">
        <f t="shared" si="52"/>
        <v>0</v>
      </c>
      <c r="BG65" s="165">
        <f t="shared" si="53"/>
        <v>0</v>
      </c>
      <c r="BH65" s="165">
        <f t="shared" si="54"/>
        <v>0</v>
      </c>
      <c r="BI65" s="165">
        <f t="shared" si="54"/>
        <v>0</v>
      </c>
      <c r="BJ65" s="165">
        <f t="shared" si="55"/>
        <v>0</v>
      </c>
      <c r="BK65" s="165">
        <f t="shared" si="29"/>
        <v>0</v>
      </c>
      <c r="BL65" s="165">
        <f t="shared" si="30"/>
        <v>0</v>
      </c>
      <c r="BM65" s="165">
        <f t="shared" si="69"/>
        <v>0</v>
      </c>
      <c r="BN65" s="165">
        <f t="shared" si="70"/>
        <v>0</v>
      </c>
      <c r="BO65" s="165">
        <f t="shared" si="71"/>
        <v>0</v>
      </c>
      <c r="BP65" s="166">
        <f t="shared" si="34"/>
        <v>0</v>
      </c>
      <c r="BQ65" s="603" t="str">
        <f t="shared" si="35"/>
        <v/>
      </c>
      <c r="BS65" s="164">
        <f t="shared" si="56"/>
        <v>0</v>
      </c>
      <c r="BT65" s="165">
        <f t="shared" si="57"/>
        <v>0</v>
      </c>
      <c r="BU65" s="165">
        <f t="shared" si="58"/>
        <v>0</v>
      </c>
      <c r="BV65" s="165">
        <f t="shared" si="59"/>
        <v>0</v>
      </c>
      <c r="BW65" s="165">
        <f t="shared" si="60"/>
        <v>0</v>
      </c>
      <c r="BX65" s="165">
        <f t="shared" si="61"/>
        <v>0</v>
      </c>
      <c r="BY65" s="165">
        <f t="shared" si="62"/>
        <v>0</v>
      </c>
      <c r="BZ65" s="165">
        <f t="shared" si="63"/>
        <v>0</v>
      </c>
      <c r="CA65" s="165">
        <f t="shared" si="63"/>
        <v>0</v>
      </c>
      <c r="CB65" s="165">
        <f t="shared" si="64"/>
        <v>0</v>
      </c>
      <c r="CC65" s="165">
        <f t="shared" si="37"/>
        <v>0</v>
      </c>
      <c r="CD65" s="165">
        <f t="shared" si="65"/>
        <v>0</v>
      </c>
      <c r="CE65" s="165">
        <f t="shared" si="66"/>
        <v>0</v>
      </c>
      <c r="CF65" s="165">
        <f t="shared" si="67"/>
        <v>0</v>
      </c>
      <c r="CG65" s="165">
        <f t="shared" si="68"/>
        <v>0</v>
      </c>
      <c r="CH65" s="166">
        <f t="shared" si="42"/>
        <v>0</v>
      </c>
    </row>
    <row r="66" spans="2:86" ht="13.5" thickBot="1">
      <c r="B66" s="418"/>
      <c r="C66" s="451"/>
      <c r="D66" s="377" t="str">
        <f>IF(C66="","",INDEX('Side constraints'!$C$33:$C$92,MATCH('Prop DUOS'!C66,'Side constraints'!$D$33:$D$92,0),1))</f>
        <v/>
      </c>
      <c r="E66" s="434"/>
      <c r="F66" s="435"/>
      <c r="G66" s="435"/>
      <c r="H66" s="435"/>
      <c r="I66" s="435"/>
      <c r="J66" s="435"/>
      <c r="K66" s="435"/>
      <c r="L66" s="435"/>
      <c r="M66" s="435"/>
      <c r="N66" s="435"/>
      <c r="O66" s="435"/>
      <c r="P66" s="435"/>
      <c r="Q66" s="435"/>
      <c r="R66" s="609"/>
      <c r="S66" s="436"/>
      <c r="U66" s="446"/>
      <c r="V66" s="447"/>
      <c r="W66" s="447"/>
      <c r="X66" s="447"/>
      <c r="Y66" s="447"/>
      <c r="Z66" s="447"/>
      <c r="AA66" s="447"/>
      <c r="AB66" s="447"/>
      <c r="AC66" s="447"/>
      <c r="AD66" s="447"/>
      <c r="AE66" s="447"/>
      <c r="AF66" s="447"/>
      <c r="AG66" s="447"/>
      <c r="AH66" s="614"/>
      <c r="AI66" s="448"/>
      <c r="AK66" s="372"/>
      <c r="AL66" s="373"/>
      <c r="AM66" s="373"/>
      <c r="AN66" s="373"/>
      <c r="AO66" s="373"/>
      <c r="AP66" s="373"/>
      <c r="AQ66" s="373"/>
      <c r="AR66" s="373"/>
      <c r="AS66" s="373"/>
      <c r="AT66" s="373"/>
      <c r="AU66" s="374"/>
      <c r="AV66" s="374"/>
      <c r="AW66" s="374"/>
      <c r="AX66" s="618"/>
      <c r="AY66" s="375"/>
      <c r="BA66" s="167">
        <f t="shared" si="47"/>
        <v>0</v>
      </c>
      <c r="BB66" s="168">
        <f t="shared" si="48"/>
        <v>0</v>
      </c>
      <c r="BC66" s="168">
        <f t="shared" si="49"/>
        <v>0</v>
      </c>
      <c r="BD66" s="168">
        <f t="shared" si="50"/>
        <v>0</v>
      </c>
      <c r="BE66" s="168">
        <f t="shared" si="51"/>
        <v>0</v>
      </c>
      <c r="BF66" s="168">
        <f t="shared" si="52"/>
        <v>0</v>
      </c>
      <c r="BG66" s="168">
        <f t="shared" si="53"/>
        <v>0</v>
      </c>
      <c r="BH66" s="168">
        <f t="shared" si="54"/>
        <v>0</v>
      </c>
      <c r="BI66" s="168">
        <f t="shared" si="54"/>
        <v>0</v>
      </c>
      <c r="BJ66" s="168">
        <f t="shared" si="55"/>
        <v>0</v>
      </c>
      <c r="BK66" s="168">
        <f t="shared" si="29"/>
        <v>0</v>
      </c>
      <c r="BL66" s="168">
        <f t="shared" si="30"/>
        <v>0</v>
      </c>
      <c r="BM66" s="168">
        <f t="shared" si="69"/>
        <v>0</v>
      </c>
      <c r="BN66" s="168">
        <f t="shared" si="70"/>
        <v>0</v>
      </c>
      <c r="BO66" s="168">
        <f t="shared" si="71"/>
        <v>0</v>
      </c>
      <c r="BP66" s="169">
        <f t="shared" si="34"/>
        <v>0</v>
      </c>
      <c r="BQ66" s="603" t="str">
        <f t="shared" si="35"/>
        <v/>
      </c>
      <c r="BS66" s="167">
        <f t="shared" si="56"/>
        <v>0</v>
      </c>
      <c r="BT66" s="168">
        <f t="shared" si="57"/>
        <v>0</v>
      </c>
      <c r="BU66" s="168">
        <f t="shared" si="58"/>
        <v>0</v>
      </c>
      <c r="BV66" s="168">
        <f t="shared" si="59"/>
        <v>0</v>
      </c>
      <c r="BW66" s="168">
        <f t="shared" si="60"/>
        <v>0</v>
      </c>
      <c r="BX66" s="168">
        <f t="shared" si="61"/>
        <v>0</v>
      </c>
      <c r="BY66" s="168">
        <f t="shared" si="62"/>
        <v>0</v>
      </c>
      <c r="BZ66" s="168">
        <f t="shared" si="63"/>
        <v>0</v>
      </c>
      <c r="CA66" s="168">
        <f t="shared" si="63"/>
        <v>0</v>
      </c>
      <c r="CB66" s="168">
        <f t="shared" si="64"/>
        <v>0</v>
      </c>
      <c r="CC66" s="168">
        <f t="shared" si="37"/>
        <v>0</v>
      </c>
      <c r="CD66" s="168">
        <f t="shared" si="65"/>
        <v>0</v>
      </c>
      <c r="CE66" s="168">
        <f t="shared" si="66"/>
        <v>0</v>
      </c>
      <c r="CF66" s="168">
        <f t="shared" si="67"/>
        <v>0</v>
      </c>
      <c r="CG66" s="168">
        <f t="shared" si="68"/>
        <v>0</v>
      </c>
      <c r="CH66" s="169">
        <f t="shared" si="42"/>
        <v>0</v>
      </c>
    </row>
    <row r="67" spans="2:86" s="170" customFormat="1" ht="13.5" thickBot="1">
      <c r="U67" s="171">
        <f t="shared" ref="U67:AI67" si="72">SUM(U7:U66)</f>
        <v>763236.03561643825</v>
      </c>
      <c r="V67" s="171">
        <f t="shared" si="72"/>
        <v>3557847669.4482479</v>
      </c>
      <c r="W67" s="171">
        <f t="shared" si="72"/>
        <v>1636760928.6109133</v>
      </c>
      <c r="X67" s="172">
        <f t="shared" si="72"/>
        <v>2233285032.6550646</v>
      </c>
      <c r="Y67" s="172">
        <f t="shared" si="72"/>
        <v>0</v>
      </c>
      <c r="Z67" s="171">
        <f t="shared" si="72"/>
        <v>0</v>
      </c>
      <c r="AA67" s="171">
        <f t="shared" si="72"/>
        <v>0</v>
      </c>
      <c r="AB67" s="171">
        <f t="shared" si="72"/>
        <v>0</v>
      </c>
      <c r="AC67" s="171">
        <f t="shared" ref="AC67" si="73">SUM(AC7:AC66)</f>
        <v>0</v>
      </c>
      <c r="AD67" s="171">
        <f t="shared" si="72"/>
        <v>0</v>
      </c>
      <c r="AE67" s="171">
        <f t="shared" si="72"/>
        <v>1108399.8200000005</v>
      </c>
      <c r="AF67" s="171">
        <f t="shared" si="72"/>
        <v>257763.90520547942</v>
      </c>
      <c r="AG67" s="171">
        <f t="shared" si="72"/>
        <v>76354.047000018239</v>
      </c>
      <c r="AH67" s="171">
        <f t="shared" ref="AH67" si="74">SUM(AH7:AH66)</f>
        <v>127765.9635423755</v>
      </c>
      <c r="AI67" s="171">
        <f t="shared" si="72"/>
        <v>0</v>
      </c>
      <c r="BA67" s="173">
        <f t="shared" ref="BA67:BP67" si="75">SUM(BA7:BA66)</f>
        <v>45583603.201600008</v>
      </c>
      <c r="BB67" s="173">
        <f t="shared" si="75"/>
        <v>204578781.35434774</v>
      </c>
      <c r="BC67" s="173">
        <f t="shared" si="75"/>
        <v>44591271.642484397</v>
      </c>
      <c r="BD67" s="173">
        <f t="shared" si="75"/>
        <v>21989908.525411531</v>
      </c>
      <c r="BE67" s="173">
        <f t="shared" si="75"/>
        <v>0</v>
      </c>
      <c r="BF67" s="173">
        <f t="shared" si="75"/>
        <v>0</v>
      </c>
      <c r="BG67" s="173">
        <f t="shared" si="75"/>
        <v>0</v>
      </c>
      <c r="BH67" s="173">
        <f t="shared" si="75"/>
        <v>0</v>
      </c>
      <c r="BI67" s="173">
        <f t="shared" ref="BI67" si="76">SUM(BI7:BI66)</f>
        <v>0</v>
      </c>
      <c r="BJ67" s="173">
        <f t="shared" si="75"/>
        <v>0</v>
      </c>
      <c r="BK67" s="173">
        <f t="shared" si="75"/>
        <v>77243094.789680049</v>
      </c>
      <c r="BL67" s="173">
        <f t="shared" si="75"/>
        <v>0</v>
      </c>
      <c r="BM67" s="173">
        <f t="shared" si="75"/>
        <v>9046857.1755404323</v>
      </c>
      <c r="BN67" s="173">
        <f t="shared" ref="BN67" si="77">SUM(BN7:BN66)</f>
        <v>7337162.374633858</v>
      </c>
      <c r="BO67" s="173">
        <f t="shared" si="75"/>
        <v>0</v>
      </c>
      <c r="BP67" s="173">
        <f t="shared" si="75"/>
        <v>410370679.06369799</v>
      </c>
      <c r="BQ67" s="602"/>
      <c r="BS67" s="173">
        <f t="shared" ref="BS67:CH67" si="78">SUM(BS7:BS66)</f>
        <v>30002598.8774</v>
      </c>
      <c r="BT67" s="173">
        <f t="shared" si="78"/>
        <v>167312223.80044192</v>
      </c>
      <c r="BU67" s="173">
        <f t="shared" si="78"/>
        <v>0</v>
      </c>
      <c r="BV67" s="173">
        <f t="shared" si="78"/>
        <v>70650343.046261355</v>
      </c>
      <c r="BW67" s="173">
        <f t="shared" si="78"/>
        <v>0</v>
      </c>
      <c r="BX67" s="173">
        <f t="shared" si="78"/>
        <v>0</v>
      </c>
      <c r="BY67" s="173">
        <f t="shared" si="78"/>
        <v>0</v>
      </c>
      <c r="BZ67" s="173">
        <f t="shared" si="78"/>
        <v>0</v>
      </c>
      <c r="CA67" s="173">
        <f t="shared" ref="CA67" si="79">SUM(CA7:CA66)</f>
        <v>0</v>
      </c>
      <c r="CB67" s="173">
        <f t="shared" si="78"/>
        <v>0</v>
      </c>
      <c r="CC67" s="173">
        <f t="shared" si="78"/>
        <v>0</v>
      </c>
      <c r="CD67" s="173">
        <f t="shared" si="78"/>
        <v>354063.97391400003</v>
      </c>
      <c r="CE67" s="173">
        <f t="shared" si="78"/>
        <v>0</v>
      </c>
      <c r="CF67" s="173">
        <f t="shared" ref="CF67" si="80">SUM(CF7:CF66)</f>
        <v>0</v>
      </c>
      <c r="CG67" s="173">
        <f t="shared" si="78"/>
        <v>0</v>
      </c>
      <c r="CH67" s="173">
        <f t="shared" si="78"/>
        <v>268319229.6980173</v>
      </c>
    </row>
    <row r="68" spans="2:86" s="170" customFormat="1" ht="14.25" thickTop="1" thickBot="1">
      <c r="AA68" s="804" t="s">
        <v>139</v>
      </c>
      <c r="AB68" s="804"/>
      <c r="AC68" s="714"/>
      <c r="AD68" s="378">
        <f>SUM(V67:AD67)/1000000</f>
        <v>7427.8936307142258</v>
      </c>
    </row>
    <row r="69" spans="2:86" s="170" customFormat="1">
      <c r="D69" s="521" t="s">
        <v>247</v>
      </c>
      <c r="E69" s="584" t="s">
        <v>248</v>
      </c>
      <c r="F69" s="584" t="s">
        <v>248</v>
      </c>
      <c r="G69" s="584" t="s">
        <v>248</v>
      </c>
      <c r="H69" s="584" t="s">
        <v>248</v>
      </c>
      <c r="I69" s="584" t="s">
        <v>248</v>
      </c>
      <c r="J69" s="584" t="s">
        <v>248</v>
      </c>
      <c r="K69" s="584" t="s">
        <v>248</v>
      </c>
      <c r="L69" s="584" t="s">
        <v>248</v>
      </c>
      <c r="M69" s="584" t="s">
        <v>248</v>
      </c>
      <c r="N69" s="584" t="s">
        <v>248</v>
      </c>
      <c r="O69" s="584" t="s">
        <v>248</v>
      </c>
      <c r="P69" s="584" t="s">
        <v>248</v>
      </c>
      <c r="Q69" s="584" t="s">
        <v>248</v>
      </c>
      <c r="R69" s="584" t="s">
        <v>248</v>
      </c>
      <c r="S69" s="585" t="s">
        <v>248</v>
      </c>
      <c r="BA69" s="251"/>
      <c r="BB69" s="251"/>
      <c r="BC69" s="251"/>
      <c r="BD69" s="251"/>
      <c r="BK69" s="251"/>
      <c r="BL69" s="251"/>
      <c r="BM69" s="251"/>
      <c r="BN69" s="251"/>
      <c r="BO69" s="251"/>
      <c r="BP69" s="251"/>
      <c r="BQ69" s="251"/>
      <c r="CH69" s="251"/>
    </row>
    <row r="70" spans="2:86" s="170" customFormat="1">
      <c r="D70" s="376"/>
      <c r="E70" s="588"/>
      <c r="F70" s="588" t="s">
        <v>254</v>
      </c>
      <c r="G70" s="588" t="s">
        <v>254</v>
      </c>
      <c r="H70" s="588" t="s">
        <v>254</v>
      </c>
      <c r="I70" s="588" t="s">
        <v>254</v>
      </c>
      <c r="J70" s="588" t="s">
        <v>254</v>
      </c>
      <c r="K70" s="588" t="s">
        <v>254</v>
      </c>
      <c r="L70" s="588" t="s">
        <v>254</v>
      </c>
      <c r="M70" s="588" t="s">
        <v>254</v>
      </c>
      <c r="N70" s="588" t="s">
        <v>254</v>
      </c>
      <c r="O70" s="588" t="s">
        <v>257</v>
      </c>
      <c r="P70" s="588" t="s">
        <v>257</v>
      </c>
      <c r="Q70" s="588" t="s">
        <v>256</v>
      </c>
      <c r="R70" s="588" t="s">
        <v>256</v>
      </c>
      <c r="S70" s="589" t="s">
        <v>256</v>
      </c>
      <c r="CH70" s="251"/>
    </row>
    <row r="71" spans="2:86" s="170" customFormat="1" ht="13.5" thickBot="1">
      <c r="D71" s="377"/>
      <c r="E71" s="586" t="s">
        <v>249</v>
      </c>
      <c r="F71" s="586"/>
      <c r="G71" s="586"/>
      <c r="H71" s="586"/>
      <c r="I71" s="586"/>
      <c r="J71" s="586"/>
      <c r="K71" s="586"/>
      <c r="L71" s="586"/>
      <c r="M71" s="586"/>
      <c r="N71" s="586"/>
      <c r="O71" s="586" t="s">
        <v>249</v>
      </c>
      <c r="P71" s="586" t="s">
        <v>249</v>
      </c>
      <c r="Q71" s="586" t="s">
        <v>249</v>
      </c>
      <c r="R71" s="586" t="s">
        <v>249</v>
      </c>
      <c r="S71" s="587" t="s">
        <v>249</v>
      </c>
      <c r="CH71" s="251"/>
    </row>
    <row r="72" spans="2:86" s="170" customFormat="1" ht="13.5" thickBot="1">
      <c r="CH72" s="251"/>
    </row>
    <row r="73" spans="2:86" s="170" customFormat="1">
      <c r="D73" s="592" t="s">
        <v>252</v>
      </c>
      <c r="E73" s="590" t="s">
        <v>248</v>
      </c>
      <c r="F73" s="590" t="s">
        <v>248</v>
      </c>
      <c r="G73" s="590" t="s">
        <v>248</v>
      </c>
      <c r="H73" s="590" t="s">
        <v>248</v>
      </c>
      <c r="I73" s="590" t="s">
        <v>248</v>
      </c>
      <c r="J73" s="590" t="s">
        <v>248</v>
      </c>
      <c r="K73" s="590" t="s">
        <v>248</v>
      </c>
      <c r="L73" s="590" t="s">
        <v>248</v>
      </c>
      <c r="M73" s="590"/>
      <c r="N73" s="590" t="s">
        <v>248</v>
      </c>
      <c r="O73" s="590" t="s">
        <v>248</v>
      </c>
      <c r="P73" s="590" t="s">
        <v>248</v>
      </c>
      <c r="Q73" s="590" t="s">
        <v>248</v>
      </c>
      <c r="R73" s="590"/>
      <c r="S73" s="590" t="s">
        <v>248</v>
      </c>
    </row>
    <row r="74" spans="2:86" s="170" customFormat="1" ht="13.5" thickBot="1">
      <c r="D74" s="591">
        <f>IF(Input!E5=2024,366,365)</f>
        <v>365</v>
      </c>
      <c r="E74" s="590" t="s">
        <v>251</v>
      </c>
      <c r="F74" s="590" t="s">
        <v>251</v>
      </c>
      <c r="G74" s="590" t="s">
        <v>251</v>
      </c>
      <c r="H74" s="590" t="s">
        <v>251</v>
      </c>
      <c r="I74" s="590" t="s">
        <v>251</v>
      </c>
      <c r="J74" s="590" t="s">
        <v>251</v>
      </c>
      <c r="K74" s="590" t="s">
        <v>251</v>
      </c>
      <c r="L74" s="590" t="s">
        <v>251</v>
      </c>
      <c r="M74" s="590"/>
      <c r="N74" s="590" t="s">
        <v>251</v>
      </c>
      <c r="O74" s="590" t="s">
        <v>251</v>
      </c>
      <c r="P74" s="590" t="s">
        <v>251</v>
      </c>
      <c r="Q74" s="590" t="s">
        <v>251</v>
      </c>
      <c r="R74" s="590"/>
      <c r="S74" s="590" t="s">
        <v>251</v>
      </c>
    </row>
    <row r="75" spans="2:86" s="170" customFormat="1" ht="13.5" thickBot="1">
      <c r="E75" s="590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  <c r="Q75" s="590"/>
      <c r="R75" s="590"/>
      <c r="S75" s="590"/>
    </row>
    <row r="76" spans="2:86" s="170" customFormat="1">
      <c r="D76" s="718" t="s">
        <v>355</v>
      </c>
      <c r="E76" s="590" t="s">
        <v>249</v>
      </c>
      <c r="F76" s="590"/>
      <c r="G76" s="590"/>
      <c r="H76" s="590"/>
      <c r="I76" s="590"/>
      <c r="J76" s="590"/>
      <c r="K76" s="590"/>
      <c r="L76" s="590"/>
      <c r="M76" s="590"/>
      <c r="N76" s="590"/>
      <c r="O76" s="590" t="s">
        <v>249</v>
      </c>
      <c r="P76" s="590" t="s">
        <v>249</v>
      </c>
      <c r="Q76" s="590" t="s">
        <v>249</v>
      </c>
      <c r="R76" s="590"/>
      <c r="S76" s="590" t="s">
        <v>249</v>
      </c>
    </row>
    <row r="77" spans="2:86" s="170" customFormat="1" ht="13.5" thickBot="1">
      <c r="D77" s="719">
        <v>181</v>
      </c>
      <c r="E77" s="590" t="s">
        <v>250</v>
      </c>
      <c r="F77" s="590"/>
      <c r="G77" s="590"/>
      <c r="H77" s="590"/>
      <c r="I77" s="590"/>
      <c r="J77" s="590"/>
      <c r="K77" s="590"/>
      <c r="L77" s="590"/>
      <c r="M77" s="590"/>
      <c r="N77" s="590"/>
      <c r="O77" s="590" t="s">
        <v>255</v>
      </c>
      <c r="P77" s="590" t="s">
        <v>255</v>
      </c>
      <c r="Q77" s="590" t="s">
        <v>255</v>
      </c>
      <c r="R77" s="590"/>
      <c r="S77" s="590" t="s">
        <v>255</v>
      </c>
    </row>
    <row r="78" spans="2:86" s="170" customFormat="1">
      <c r="E78" s="590"/>
      <c r="F78" s="590"/>
      <c r="G78" s="590"/>
      <c r="H78" s="590"/>
      <c r="I78" s="590"/>
      <c r="J78" s="590"/>
      <c r="K78" s="590"/>
      <c r="L78" s="590"/>
      <c r="M78" s="590"/>
      <c r="N78" s="590"/>
      <c r="O78" s="590" t="s">
        <v>250</v>
      </c>
      <c r="P78" s="590" t="s">
        <v>250</v>
      </c>
      <c r="Q78" s="590" t="s">
        <v>250</v>
      </c>
      <c r="R78" s="590"/>
      <c r="S78" s="590" t="s">
        <v>250</v>
      </c>
    </row>
    <row r="79" spans="2:86" s="170" customFormat="1"/>
    <row r="80" spans="2:86" s="170" customFormat="1"/>
    <row r="81" s="170" customFormat="1"/>
    <row r="82" s="170" customFormat="1" ht="13.5" customHeigh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</sheetData>
  <mergeCells count="3">
    <mergeCell ref="O5:S5"/>
    <mergeCell ref="F5:N5"/>
    <mergeCell ref="AA68:AB68"/>
  </mergeCells>
  <conditionalFormatting sqref="BQ7:BQ66">
    <cfRule type="expression" dxfId="30" priority="1">
      <formula>#REF!="Relevant"</formula>
    </cfRule>
    <cfRule type="expression" dxfId="29" priority="2">
      <formula>#REF!="Trial"</formula>
    </cfRule>
  </conditionalFormatting>
  <dataValidations disablePrompts="1" count="22">
    <dataValidation type="list" allowBlank="1" showInputMessage="1" showErrorMessage="1" sqref="E69">
      <formula1>$E$73:$E$74</formula1>
    </dataValidation>
    <dataValidation type="list" allowBlank="1" showInputMessage="1" showErrorMessage="1" sqref="F69">
      <formula1>$F$73:$F$74</formula1>
    </dataValidation>
    <dataValidation type="list" allowBlank="1" showInputMessage="1" showErrorMessage="1" sqref="G69">
      <formula1>$G$73:$G$74</formula1>
    </dataValidation>
    <dataValidation type="list" allowBlank="1" showInputMessage="1" showErrorMessage="1" sqref="H69">
      <formula1>$H$73:$H$74</formula1>
    </dataValidation>
    <dataValidation type="list" allowBlank="1" showInputMessage="1" showErrorMessage="1" sqref="I69">
      <formula1>$I$73:$I$74</formula1>
    </dataValidation>
    <dataValidation type="list" allowBlank="1" showInputMessage="1" showErrorMessage="1" sqref="J69">
      <formula1>$J$73:$J$74</formula1>
    </dataValidation>
    <dataValidation type="list" allowBlank="1" showInputMessage="1" showErrorMessage="1" sqref="K69">
      <formula1>$K$73:$K$74</formula1>
    </dataValidation>
    <dataValidation type="list" allowBlank="1" showInputMessage="1" showErrorMessage="1" sqref="L69:M69">
      <formula1>$L$73:$L$74</formula1>
    </dataValidation>
    <dataValidation type="list" allowBlank="1" showInputMessage="1" showErrorMessage="1" sqref="N69">
      <formula1>$N$73:$N$74</formula1>
    </dataValidation>
    <dataValidation type="list" allowBlank="1" showInputMessage="1" showErrorMessage="1" sqref="O69">
      <formula1>$O$73:$O$74</formula1>
    </dataValidation>
    <dataValidation type="list" allowBlank="1" showInputMessage="1" showErrorMessage="1" sqref="P69">
      <formula1>$P$73:$P$74</formula1>
    </dataValidation>
    <dataValidation type="list" allowBlank="1" showInputMessage="1" showErrorMessage="1" sqref="Q69:R69">
      <formula1>$Q$73:$Q$74</formula1>
    </dataValidation>
    <dataValidation type="list" allowBlank="1" showInputMessage="1" showErrorMessage="1" sqref="S69">
      <formula1>$S$73:$S$74</formula1>
    </dataValidation>
    <dataValidation type="list" allowBlank="1" showInputMessage="1" showErrorMessage="1" sqref="E71">
      <formula1>$E$76:$E$77</formula1>
    </dataValidation>
    <dataValidation type="list" allowBlank="1" showInputMessage="1" showErrorMessage="1" sqref="O70">
      <formula1>$O$80:$O$81</formula1>
    </dataValidation>
    <dataValidation type="list" allowBlank="1" showInputMessage="1" showErrorMessage="1" sqref="P70">
      <formula1>$P$80:$P$81</formula1>
    </dataValidation>
    <dataValidation type="list" allowBlank="1" showInputMessage="1" showErrorMessage="1" sqref="Q70:R70">
      <formula1>$Q$80:$Q$81</formula1>
    </dataValidation>
    <dataValidation type="list" allowBlank="1" showInputMessage="1" showErrorMessage="1" sqref="S70">
      <formula1>$S$80:$S$81</formula1>
    </dataValidation>
    <dataValidation type="list" allowBlank="1" showInputMessage="1" showErrorMessage="1" sqref="O71">
      <formula1>$O$76:$O$78</formula1>
    </dataValidation>
    <dataValidation type="list" allowBlank="1" showInputMessage="1" showErrorMessage="1" sqref="P71">
      <formula1>$P$76:$P$78</formula1>
    </dataValidation>
    <dataValidation type="list" allowBlank="1" showInputMessage="1" showErrorMessage="1" sqref="Q71:R71">
      <formula1>$Q$76:$Q$78</formula1>
    </dataValidation>
    <dataValidation type="list" allowBlank="1" showInputMessage="1" showErrorMessage="1" sqref="S71">
      <formula1>$S$76:$S$78</formula1>
    </dataValidation>
  </dataValidations>
  <printOptions horizontalCentered="1"/>
  <pageMargins left="0.15748031496062992" right="0.15748031496062992" top="0.39370078740157483" bottom="0.39370078740157483" header="0.11811023622047245" footer="0.11811023622047245"/>
  <pageSetup paperSize="9" scale="33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4" manualBreakCount="4">
    <brk id="45" max="65" man="1"/>
    <brk id="54" max="1048575" man="1"/>
    <brk id="80" max="1048575" man="1"/>
    <brk id="10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 tint="0.39997558519241921"/>
    <pageSetUpPr autoPageBreaks="0"/>
  </sheetPr>
  <dimension ref="B1:BB103"/>
  <sheetViews>
    <sheetView zoomScale="80" zoomScaleNormal="80" workbookViewId="0">
      <pane xSplit="3" ySplit="6" topLeftCell="D7" activePane="bottomRight" state="frozen"/>
      <selection pane="topRight"/>
      <selection pane="bottomLeft"/>
      <selection pane="bottomRight" activeCell="AP92" sqref="AP92"/>
    </sheetView>
  </sheetViews>
  <sheetFormatPr defaultRowHeight="12.75"/>
  <cols>
    <col min="1" max="1" width="1.85546875" style="87" customWidth="1"/>
    <col min="2" max="2" width="45" style="87" customWidth="1"/>
    <col min="3" max="3" width="2.85546875" style="87" customWidth="1"/>
    <col min="4" max="4" width="15.28515625" style="87" customWidth="1"/>
    <col min="5" max="6" width="11.5703125" style="87" customWidth="1"/>
    <col min="7" max="7" width="15" style="87" customWidth="1"/>
    <col min="8" max="8" width="14.140625" style="87" customWidth="1"/>
    <col min="9" max="9" width="11.5703125" style="87" customWidth="1"/>
    <col min="10" max="10" width="13.85546875" style="87" customWidth="1"/>
    <col min="11" max="18" width="12.28515625" style="87" customWidth="1"/>
    <col min="19" max="19" width="4.28515625" style="87" customWidth="1"/>
    <col min="20" max="20" width="12.28515625" style="87" customWidth="1"/>
    <col min="21" max="21" width="19.140625" style="87" customWidth="1"/>
    <col min="22" max="22" width="14.28515625" style="87" customWidth="1"/>
    <col min="23" max="24" width="16.28515625" style="87" bestFit="1" customWidth="1"/>
    <col min="25" max="25" width="17.140625" style="87" customWidth="1"/>
    <col min="26" max="26" width="16.28515625" style="87" bestFit="1" customWidth="1"/>
    <col min="27" max="28" width="14.42578125" style="87" customWidth="1"/>
    <col min="29" max="29" width="17.5703125" style="87" customWidth="1"/>
    <col min="30" max="30" width="18.85546875" style="87" bestFit="1" customWidth="1"/>
    <col min="31" max="31" width="18" style="87" customWidth="1"/>
    <col min="32" max="32" width="16.85546875" style="87" bestFit="1" customWidth="1"/>
    <col min="33" max="33" width="16.7109375" style="87" customWidth="1"/>
    <col min="34" max="34" width="16.85546875" style="87" bestFit="1" customWidth="1"/>
    <col min="35" max="35" width="7.7109375" style="87" customWidth="1"/>
    <col min="36" max="37" width="16.7109375" style="87" bestFit="1" customWidth="1"/>
    <col min="38" max="38" width="12" style="87" customWidth="1"/>
    <col min="39" max="40" width="14.85546875" style="87" bestFit="1" customWidth="1"/>
    <col min="41" max="41" width="12.7109375" style="87" customWidth="1"/>
    <col min="42" max="42" width="13.140625" style="87" bestFit="1" customWidth="1"/>
    <col min="43" max="43" width="14.85546875" style="87" bestFit="1" customWidth="1"/>
    <col min="44" max="44" width="14.85546875" style="87" customWidth="1"/>
    <col min="45" max="46" width="14.85546875" style="87" bestFit="1" customWidth="1"/>
    <col min="47" max="47" width="14.5703125" style="87" bestFit="1" customWidth="1"/>
    <col min="48" max="49" width="15.85546875" style="87" customWidth="1"/>
    <col min="50" max="51" width="14.85546875" style="87" customWidth="1"/>
    <col min="52" max="53" width="9.140625" style="87"/>
    <col min="54" max="54" width="15.140625" style="87" bestFit="1" customWidth="1"/>
    <col min="55" max="16384" width="9.140625" style="87"/>
  </cols>
  <sheetData>
    <row r="1" spans="2:54" ht="15">
      <c r="B1" s="69" t="str">
        <f>"Tariff Approval - "&amp;Input!E3</f>
        <v>Tariff Approval - United Energy</v>
      </c>
      <c r="C1" s="69"/>
      <c r="D1" s="276" t="s">
        <v>141</v>
      </c>
    </row>
    <row r="2" spans="2:54">
      <c r="G2" s="177"/>
    </row>
    <row r="3" spans="2:54">
      <c r="B3" s="99" t="str">
        <f>"ESTIMATED "&amp;Input!$E$8&amp;" Distribution Revenue"</f>
        <v>ESTIMATED HY21 Distribution Revenue</v>
      </c>
      <c r="C3" s="99"/>
      <c r="T3" s="720" t="s">
        <v>356</v>
      </c>
      <c r="AJ3" s="720" t="s">
        <v>357</v>
      </c>
    </row>
    <row r="4" spans="2:54">
      <c r="B4" s="99"/>
      <c r="C4" s="99"/>
    </row>
    <row r="5" spans="2:54" ht="13.5" thickBot="1">
      <c r="D5" s="391" t="str">
        <f>"Current Distribution Tariffs (Pt-1) for "&amp;Input!$E$8</f>
        <v>Current Distribution Tariffs (Pt-1) for HY21</v>
      </c>
      <c r="E5" s="392"/>
      <c r="F5" s="392"/>
      <c r="G5" s="392"/>
      <c r="H5" s="84"/>
      <c r="I5" s="84"/>
      <c r="J5" s="84"/>
      <c r="T5" s="391" t="str">
        <f>" Estimated Distribution Quantities for "&amp;Input!$E$8&amp;" (Qt-1)"</f>
        <v xml:space="preserve"> Estimated Distribution Quantities for HY21 (Qt-1)</v>
      </c>
      <c r="U5" s="392"/>
      <c r="V5" s="392"/>
      <c r="W5" s="392"/>
      <c r="X5" s="84"/>
      <c r="AJ5" s="391" t="str">
        <f>"Estimated Revenue (Pt-1 "&amp;Input!$E$8&amp;")*(Qt-1 " &amp;Input!$E$8&amp;")"</f>
        <v>Estimated Revenue (Pt-1 HY21)*(Qt-1 HY21)</v>
      </c>
      <c r="AK5" s="392"/>
      <c r="AL5" s="392"/>
      <c r="AM5" s="392"/>
    </row>
    <row r="6" spans="2:54" s="158" customFormat="1">
      <c r="B6" s="100" t="str">
        <f>"Tariffs "&amp;Input!E8</f>
        <v>Tariffs HY21</v>
      </c>
      <c r="C6" s="217"/>
      <c r="D6" s="161" t="str">
        <f>'Prop DUOS'!E6</f>
        <v>Fixed</v>
      </c>
      <c r="E6" s="162" t="str">
        <f>'Prop DUOS'!F6</f>
        <v>PkBlk1</v>
      </c>
      <c r="F6" s="162" t="str">
        <f>'Prop DUOS'!G6</f>
        <v>PkBlk2</v>
      </c>
      <c r="G6" s="162" t="str">
        <f>'Prop DUOS'!H6</f>
        <v>PkBlk3</v>
      </c>
      <c r="H6" s="162" t="str">
        <f>'Prop DUOS'!I6</f>
        <v>PkBlk4</v>
      </c>
      <c r="I6" s="162" t="str">
        <f>'Prop DUOS'!J6</f>
        <v>OPkBlk1</v>
      </c>
      <c r="J6" s="162" t="str">
        <f>'Prop DUOS'!K6</f>
        <v>OPkBlk2</v>
      </c>
      <c r="K6" s="162" t="str">
        <f>'Prop DUOS'!L6</f>
        <v>OPkBlk3</v>
      </c>
      <c r="L6" s="162" t="str">
        <f>'Prop DUOS'!M6</f>
        <v>OPkBlk4</v>
      </c>
      <c r="M6" s="162" t="str">
        <f>'Prop DUOS'!N6</f>
        <v>OPkBlk5</v>
      </c>
      <c r="N6" s="162" t="str">
        <f>'Prop DUOS'!O6</f>
        <v>DemBlk1</v>
      </c>
      <c r="O6" s="162" t="str">
        <f>'Prop DUOS'!P6</f>
        <v>DemBlk2</v>
      </c>
      <c r="P6" s="162" t="str">
        <f>'Prop DUOS'!Q6</f>
        <v>DemBlk3</v>
      </c>
      <c r="Q6" s="610" t="str">
        <f>'Prop DUOS'!R6</f>
        <v>DemBlk4</v>
      </c>
      <c r="R6" s="163" t="str">
        <f>'Prop DUOS'!S6</f>
        <v>DemBlk5</v>
      </c>
      <c r="S6" s="87"/>
      <c r="T6" s="161" t="str">
        <f>'Prop DUOS'!E6</f>
        <v>Fixed</v>
      </c>
      <c r="U6" s="162" t="str">
        <f>'Prop DUOS'!F6</f>
        <v>PkBlk1</v>
      </c>
      <c r="V6" s="162" t="str">
        <f>'Prop DUOS'!G6</f>
        <v>PkBlk2</v>
      </c>
      <c r="W6" s="162" t="str">
        <f>'Prop DUOS'!H6</f>
        <v>PkBlk3</v>
      </c>
      <c r="X6" s="162" t="str">
        <f>'Prop DUOS'!I6</f>
        <v>PkBlk4</v>
      </c>
      <c r="Y6" s="162" t="str">
        <f>'Prop DUOS'!J6</f>
        <v>OPkBlk1</v>
      </c>
      <c r="Z6" s="162" t="str">
        <f>'Prop DUOS'!K6</f>
        <v>OPkBlk2</v>
      </c>
      <c r="AA6" s="162" t="str">
        <f>'Prop DUOS'!L6</f>
        <v>OPkBlk3</v>
      </c>
      <c r="AB6" s="162" t="str">
        <f>'Prop DUOS'!M6</f>
        <v>OPkBlk4</v>
      </c>
      <c r="AC6" s="162" t="str">
        <f>'Prop DUOS'!N6</f>
        <v>OPkBlk5</v>
      </c>
      <c r="AD6" s="162" t="str">
        <f>'Prop DUOS'!O6</f>
        <v>DemBlk1</v>
      </c>
      <c r="AE6" s="162" t="str">
        <f>'Prop DUOS'!P6</f>
        <v>DemBlk2</v>
      </c>
      <c r="AF6" s="162" t="str">
        <f>'Prop DUOS'!Q6</f>
        <v>DemBlk3</v>
      </c>
      <c r="AG6" s="610" t="str">
        <f>'Prop DUOS'!R6</f>
        <v>DemBlk4</v>
      </c>
      <c r="AH6" s="163" t="str">
        <f>'Prop DUOS'!S6</f>
        <v>DemBlk5</v>
      </c>
      <c r="AJ6" s="161" t="str">
        <f>'Prop DUOS'!E6</f>
        <v>Fixed</v>
      </c>
      <c r="AK6" s="162" t="str">
        <f>'Prop DUOS'!F6</f>
        <v>PkBlk1</v>
      </c>
      <c r="AL6" s="162" t="str">
        <f>'Prop DUOS'!G6</f>
        <v>PkBlk2</v>
      </c>
      <c r="AM6" s="162" t="str">
        <f>'Prop DUOS'!H6</f>
        <v>PkBlk3</v>
      </c>
      <c r="AN6" s="162" t="str">
        <f>'Prop DUOS'!I6</f>
        <v>PkBlk4</v>
      </c>
      <c r="AO6" s="162" t="str">
        <f>'Prop DUOS'!J6</f>
        <v>OPkBlk1</v>
      </c>
      <c r="AP6" s="162" t="str">
        <f>'Prop DUOS'!K6</f>
        <v>OPkBlk2</v>
      </c>
      <c r="AQ6" s="162" t="str">
        <f>'Prop DUOS'!L6</f>
        <v>OPkBlk3</v>
      </c>
      <c r="AR6" s="162" t="str">
        <f>'Prop DUOS'!M6</f>
        <v>OPkBlk4</v>
      </c>
      <c r="AS6" s="162" t="str">
        <f>'Prop DUOS'!N6</f>
        <v>OPkBlk5</v>
      </c>
      <c r="AT6" s="162" t="str">
        <f>'Prop DUOS'!O6</f>
        <v>DemBlk1</v>
      </c>
      <c r="AU6" s="162" t="str">
        <f>'Prop DUOS'!P6</f>
        <v>DemBlk2</v>
      </c>
      <c r="AV6" s="162" t="str">
        <f>'Prop DUOS'!Q6</f>
        <v>DemBlk3</v>
      </c>
      <c r="AW6" s="162" t="str">
        <f>'Prop DUOS'!R6</f>
        <v>DemBlk4</v>
      </c>
      <c r="AX6" s="162" t="str">
        <f>'Prop DUOS'!S6</f>
        <v>DemBlk5</v>
      </c>
      <c r="AY6" s="163" t="s">
        <v>28</v>
      </c>
    </row>
    <row r="7" spans="2:54" s="158" customFormat="1">
      <c r="B7" s="449" t="s">
        <v>319</v>
      </c>
      <c r="C7" s="218"/>
      <c r="D7" s="541">
        <v>10.95</v>
      </c>
      <c r="E7" s="542">
        <v>5.54</v>
      </c>
      <c r="F7" s="542">
        <v>0</v>
      </c>
      <c r="G7" s="542">
        <v>0</v>
      </c>
      <c r="H7" s="542">
        <v>5.54</v>
      </c>
      <c r="I7" s="542">
        <v>0</v>
      </c>
      <c r="J7" s="542">
        <v>0</v>
      </c>
      <c r="K7" s="542">
        <v>0</v>
      </c>
      <c r="L7" s="715">
        <v>0</v>
      </c>
      <c r="M7" s="542">
        <v>0</v>
      </c>
      <c r="N7" s="542">
        <v>0</v>
      </c>
      <c r="O7" s="542">
        <v>0</v>
      </c>
      <c r="P7" s="542">
        <v>0</v>
      </c>
      <c r="Q7" s="619">
        <v>0</v>
      </c>
      <c r="R7" s="543">
        <v>0</v>
      </c>
      <c r="T7" s="437">
        <v>583066.93423498294</v>
      </c>
      <c r="U7" s="438">
        <v>572145373.2901603</v>
      </c>
      <c r="V7" s="438">
        <v>0</v>
      </c>
      <c r="W7" s="438">
        <v>0</v>
      </c>
      <c r="X7" s="438">
        <v>640153901.86116874</v>
      </c>
      <c r="Y7" s="438">
        <v>0</v>
      </c>
      <c r="Z7" s="438">
        <v>0</v>
      </c>
      <c r="AA7" s="438">
        <v>0</v>
      </c>
      <c r="AB7" s="438">
        <v>0</v>
      </c>
      <c r="AC7" s="438">
        <v>0</v>
      </c>
      <c r="AD7" s="438">
        <v>0</v>
      </c>
      <c r="AE7" s="438">
        <v>0</v>
      </c>
      <c r="AF7" s="438">
        <v>0</v>
      </c>
      <c r="AG7" s="611">
        <v>0</v>
      </c>
      <c r="AH7" s="439">
        <v>0</v>
      </c>
      <c r="AJ7" s="741">
        <f>IF('Prop DUOS'!$E$69="cents",D7/100,D7)*IF('Prop DUOS'!$E$71="day",T7*'Prop DUOS'!$D$77,T7)</f>
        <v>11556095.103070242</v>
      </c>
      <c r="AK7" s="742">
        <f>IF('Prop DUOS'!F$69="cents",E7/100,E7)*U7</f>
        <v>31696853.680274878</v>
      </c>
      <c r="AL7" s="742">
        <f>IF('Prop DUOS'!G$69="cents",F7/100,F7)*V7</f>
        <v>0</v>
      </c>
      <c r="AM7" s="742">
        <f>IF('Prop DUOS'!H$69="cents",G7/100,G7)*W7</f>
        <v>0</v>
      </c>
      <c r="AN7" s="742">
        <f>IF('Prop DUOS'!I$69="cents",H7/100,H7)*X7</f>
        <v>35464526.163108744</v>
      </c>
      <c r="AO7" s="742">
        <f>IF('Prop DUOS'!J$69="cents",I7/100,I7)*Y7</f>
        <v>0</v>
      </c>
      <c r="AP7" s="742">
        <f>IF('Prop DUOS'!K$69="cents",J7/100,J7)*Z7</f>
        <v>0</v>
      </c>
      <c r="AQ7" s="742">
        <f>IF('Prop DUOS'!L$69="cents",K7/100,K7)*AA7</f>
        <v>0</v>
      </c>
      <c r="AR7" s="742">
        <f>IF('Prop DUOS'!M$69="cents",L7/100,L7)*AB7</f>
        <v>0</v>
      </c>
      <c r="AS7" s="742">
        <f>IF('Prop DUOS'!N$69="cents",M7/100,M7)*AC7</f>
        <v>0</v>
      </c>
      <c r="AT7" s="742">
        <f>IF('Prop DUOS'!O$69="cents",N7/100,N7)*IF('Prop DUOS'!O$71="day",AD7*'Prop DUOS'!$D$77,IF('Prop DUOS'!O$71="month",AD7*12,AD7))</f>
        <v>0</v>
      </c>
      <c r="AU7" s="742">
        <f>IF('Prop DUOS'!P$69="cents",O7/100,O7)*IF('Prop DUOS'!P$71="day",AE7*'Prop DUOS'!$D$77,IF('Prop DUOS'!P$71="month",AE7*12,AE7))</f>
        <v>0</v>
      </c>
      <c r="AV7" s="742">
        <f>IF('Prop DUOS'!Q$69="cents",P7/100,P7)*IF('Prop DUOS'!Q$71="day",AF7*'Prop DUOS'!$D$77,IF('Prop DUOS'!Q$71="month",AF7*12,AF7))</f>
        <v>0</v>
      </c>
      <c r="AW7" s="742">
        <f>IF('Prop DUOS'!R$69="cents",Q7/100,Q7)*IF('Prop DUOS'!R$71="day",AG7*'Prop DUOS'!$D$77,IF('Prop DUOS'!R$71="month",AG7*12,AG7))</f>
        <v>0</v>
      </c>
      <c r="AX7" s="742">
        <f>IF('Prop DUOS'!S$69="cents",R7/100,R7)*IF('Prop DUOS'!S$71="day",AH7*'Prop DUOS'!$D$77,IF('Prop DUOS'!S$71="month",AH7*12,AH7))</f>
        <v>0</v>
      </c>
      <c r="AY7" s="753">
        <f>SUM(AJ7:AX7)</f>
        <v>78717474.946453869</v>
      </c>
      <c r="BB7" s="724"/>
    </row>
    <row r="8" spans="2:54" s="158" customFormat="1">
      <c r="B8" s="449" t="s">
        <v>320</v>
      </c>
      <c r="C8" s="220"/>
      <c r="D8" s="544">
        <v>10.95</v>
      </c>
      <c r="E8" s="545">
        <v>5.57</v>
      </c>
      <c r="F8" s="545">
        <v>0</v>
      </c>
      <c r="G8" s="545">
        <v>0</v>
      </c>
      <c r="H8" s="545">
        <v>5.57</v>
      </c>
      <c r="I8" s="545">
        <v>1.86</v>
      </c>
      <c r="J8" s="545">
        <v>0</v>
      </c>
      <c r="K8" s="545">
        <v>0</v>
      </c>
      <c r="L8" s="545">
        <v>0</v>
      </c>
      <c r="M8" s="545">
        <v>0</v>
      </c>
      <c r="N8" s="545">
        <v>0</v>
      </c>
      <c r="O8" s="545">
        <v>0</v>
      </c>
      <c r="P8" s="545">
        <v>0</v>
      </c>
      <c r="Q8" s="620">
        <v>0</v>
      </c>
      <c r="R8" s="546">
        <v>0</v>
      </c>
      <c r="T8" s="437">
        <v>112.17139942958501</v>
      </c>
      <c r="U8" s="440">
        <v>180346.30856219973</v>
      </c>
      <c r="V8" s="440">
        <v>0</v>
      </c>
      <c r="W8" s="440">
        <v>0</v>
      </c>
      <c r="X8" s="440">
        <v>214428.06058738832</v>
      </c>
      <c r="Y8" s="440">
        <v>0</v>
      </c>
      <c r="Z8" s="440">
        <v>0</v>
      </c>
      <c r="AA8" s="440">
        <v>0</v>
      </c>
      <c r="AB8" s="440">
        <v>0</v>
      </c>
      <c r="AC8" s="440">
        <v>0</v>
      </c>
      <c r="AD8" s="440">
        <v>0</v>
      </c>
      <c r="AE8" s="440">
        <v>0</v>
      </c>
      <c r="AF8" s="440">
        <v>0</v>
      </c>
      <c r="AG8" s="612">
        <v>0</v>
      </c>
      <c r="AH8" s="441">
        <v>0</v>
      </c>
      <c r="AJ8" s="754">
        <f>IF('Prop DUOS'!$E$69="cents",D8/100,D8)*IF('Prop DUOS'!$E$71="day",T8*'Prop DUOS'!$D$77,T8)</f>
        <v>2223.1810509946599</v>
      </c>
      <c r="AK8" s="755">
        <f>IF('Prop DUOS'!F$69="cents",E8/100,E8)*U8</f>
        <v>10045.289386914525</v>
      </c>
      <c r="AL8" s="755">
        <f>IF('Prop DUOS'!G$69="cents",F8/100,F8)*V8</f>
        <v>0</v>
      </c>
      <c r="AM8" s="755">
        <f>IF('Prop DUOS'!H$69="cents",G8/100,G8)*W8</f>
        <v>0</v>
      </c>
      <c r="AN8" s="755">
        <f>IF('Prop DUOS'!I$69="cents",H8/100,H8)*X8</f>
        <v>11943.64297471753</v>
      </c>
      <c r="AO8" s="755">
        <f>IF('Prop DUOS'!J$69="cents",I8/100,I8)*Y8</f>
        <v>0</v>
      </c>
      <c r="AP8" s="755">
        <f>IF('Prop DUOS'!K$69="cents",J8/100,J8)*Z8</f>
        <v>0</v>
      </c>
      <c r="AQ8" s="755">
        <f>IF('Prop DUOS'!L$69="cents",K8/100,K8)*AA8</f>
        <v>0</v>
      </c>
      <c r="AR8" s="755">
        <f>IF('Prop DUOS'!M$69="cents",L8/100,L8)*AB8</f>
        <v>0</v>
      </c>
      <c r="AS8" s="755">
        <f>IF('Prop DUOS'!N$69="cents",M8/100,M8)*AC8</f>
        <v>0</v>
      </c>
      <c r="AT8" s="755">
        <f>IF('Prop DUOS'!O$69="cents",N8/100,N8)*IF('Prop DUOS'!O$71="day",AD8*'Prop DUOS'!$D$77,IF('Prop DUOS'!O$71="month",AD8*12,AD8))</f>
        <v>0</v>
      </c>
      <c r="AU8" s="755">
        <f>IF('Prop DUOS'!P$69="cents",O8/100,O8)*IF('Prop DUOS'!P$71="day",AE8*'Prop DUOS'!$D$77,IF('Prop DUOS'!P$71="month",AE8*12,AE8))</f>
        <v>0</v>
      </c>
      <c r="AV8" s="755">
        <f>IF('Prop DUOS'!Q$69="cents",P8/100,P8)*IF('Prop DUOS'!Q$71="day",AF8*'Prop DUOS'!$D$77,IF('Prop DUOS'!Q$71="month",AF8*12,AF8))</f>
        <v>0</v>
      </c>
      <c r="AW8" s="755">
        <f>IF('Prop DUOS'!R$69="cents",Q8/100,Q8)*IF('Prop DUOS'!R$71="day",AG8*'Prop DUOS'!$D$77,IF('Prop DUOS'!R$71="month",AG8*12,AG8))</f>
        <v>0</v>
      </c>
      <c r="AX8" s="755">
        <f>IF('Prop DUOS'!S$69="cents",R8/100,R8)*IF('Prop DUOS'!S$71="day",AH8*'Prop DUOS'!$D$77,IF('Prop DUOS'!S$71="month",AH8*12,AH8))</f>
        <v>0</v>
      </c>
      <c r="AY8" s="743">
        <f t="shared" ref="AY8:AY66" si="0">SUM(AJ8:AX8)</f>
        <v>24212.113412626713</v>
      </c>
      <c r="BB8" s="724"/>
    </row>
    <row r="9" spans="2:54" s="158" customFormat="1">
      <c r="B9" s="449" t="s">
        <v>321</v>
      </c>
      <c r="C9" s="220"/>
      <c r="D9" s="544">
        <v>15.92</v>
      </c>
      <c r="E9" s="545">
        <v>0</v>
      </c>
      <c r="F9" s="545">
        <v>0</v>
      </c>
      <c r="G9" s="545">
        <v>8.85</v>
      </c>
      <c r="H9" s="545">
        <v>0</v>
      </c>
      <c r="I9" s="545">
        <v>0</v>
      </c>
      <c r="J9" s="545">
        <v>8.85</v>
      </c>
      <c r="K9" s="545">
        <v>1.8</v>
      </c>
      <c r="L9" s="545">
        <v>0</v>
      </c>
      <c r="M9" s="545">
        <v>0</v>
      </c>
      <c r="N9" s="545">
        <v>0</v>
      </c>
      <c r="O9" s="545">
        <v>0</v>
      </c>
      <c r="P9" s="545">
        <v>0</v>
      </c>
      <c r="Q9" s="620">
        <v>0</v>
      </c>
      <c r="R9" s="546">
        <v>0</v>
      </c>
      <c r="T9" s="437">
        <v>4100.8246746419454</v>
      </c>
      <c r="U9" s="440">
        <v>0</v>
      </c>
      <c r="V9" s="440">
        <v>0</v>
      </c>
      <c r="W9" s="440">
        <v>2486340.8267023819</v>
      </c>
      <c r="X9" s="440">
        <v>0</v>
      </c>
      <c r="Y9" s="440">
        <v>0</v>
      </c>
      <c r="Z9" s="440">
        <v>2813021.5307253245</v>
      </c>
      <c r="AA9" s="440">
        <v>6962515.389820559</v>
      </c>
      <c r="AB9" s="440">
        <v>0</v>
      </c>
      <c r="AC9" s="440">
        <v>0</v>
      </c>
      <c r="AD9" s="440">
        <v>0</v>
      </c>
      <c r="AE9" s="440">
        <v>0</v>
      </c>
      <c r="AF9" s="440">
        <v>0</v>
      </c>
      <c r="AG9" s="612">
        <v>0</v>
      </c>
      <c r="AH9" s="441">
        <v>0</v>
      </c>
      <c r="AJ9" s="754">
        <f>IF('Prop DUOS'!$E$69="cents",D9/100,D9)*IF('Prop DUOS'!$E$71="day",T9*'Prop DUOS'!$D$77,T9)</f>
        <v>118166.08316474259</v>
      </c>
      <c r="AK9" s="755">
        <f>IF('Prop DUOS'!F$69="cents",E9/100,E9)*U9</f>
        <v>0</v>
      </c>
      <c r="AL9" s="755">
        <f>IF('Prop DUOS'!G$69="cents",F9/100,F9)*V9</f>
        <v>0</v>
      </c>
      <c r="AM9" s="755">
        <f>IF('Prop DUOS'!H$69="cents",G9/100,G9)*W9</f>
        <v>220041.16316316079</v>
      </c>
      <c r="AN9" s="755">
        <f>IF('Prop DUOS'!I$69="cents",H9/100,H9)*X9</f>
        <v>0</v>
      </c>
      <c r="AO9" s="755">
        <f>IF('Prop DUOS'!J$69="cents",I9/100,I9)*Y9</f>
        <v>0</v>
      </c>
      <c r="AP9" s="755">
        <f>IF('Prop DUOS'!K$69="cents",J9/100,J9)*Z9</f>
        <v>248952.4054691912</v>
      </c>
      <c r="AQ9" s="755">
        <f>IF('Prop DUOS'!L$69="cents",K9/100,K9)*AA9</f>
        <v>125325.27701677008</v>
      </c>
      <c r="AR9" s="755">
        <f>IF('Prop DUOS'!M$69="cents",L9/100,L9)*AB9</f>
        <v>0</v>
      </c>
      <c r="AS9" s="755">
        <f>IF('Prop DUOS'!N$69="cents",M9/100,M9)*AC9</f>
        <v>0</v>
      </c>
      <c r="AT9" s="755">
        <f>IF('Prop DUOS'!O$69="cents",N9/100,N9)*IF('Prop DUOS'!O$71="day",AD9*'Prop DUOS'!$D$77,IF('Prop DUOS'!O$71="month",AD9*12,AD9))</f>
        <v>0</v>
      </c>
      <c r="AU9" s="755">
        <f>IF('Prop DUOS'!P$69="cents",O9/100,O9)*IF('Prop DUOS'!P$71="day",AE9*'Prop DUOS'!$D$77,IF('Prop DUOS'!P$71="month",AE9*12,AE9))</f>
        <v>0</v>
      </c>
      <c r="AV9" s="755">
        <f>IF('Prop DUOS'!Q$69="cents",P9/100,P9)*IF('Prop DUOS'!Q$71="day",AF9*'Prop DUOS'!$D$77,IF('Prop DUOS'!Q$71="month",AF9*12,AF9))</f>
        <v>0</v>
      </c>
      <c r="AW9" s="755">
        <f>IF('Prop DUOS'!R$69="cents",Q9/100,Q9)*IF('Prop DUOS'!R$71="day",AG9*'Prop DUOS'!$D$77,IF('Prop DUOS'!R$71="month",AG9*12,AG9))</f>
        <v>0</v>
      </c>
      <c r="AX9" s="755">
        <f>IF('Prop DUOS'!S$69="cents",R9/100,R9)*IF('Prop DUOS'!S$71="day",AH9*'Prop DUOS'!$D$77,IF('Prop DUOS'!S$71="month",AH9*12,AH9))</f>
        <v>0</v>
      </c>
      <c r="AY9" s="743">
        <f t="shared" si="0"/>
        <v>712484.92881386471</v>
      </c>
      <c r="BB9" s="724"/>
    </row>
    <row r="10" spans="2:54" s="158" customFormat="1">
      <c r="B10" s="449" t="s">
        <v>322</v>
      </c>
      <c r="C10" s="220"/>
      <c r="D10" s="544">
        <v>0</v>
      </c>
      <c r="E10" s="545">
        <v>0</v>
      </c>
      <c r="F10" s="545">
        <v>0</v>
      </c>
      <c r="G10" s="545">
        <v>0</v>
      </c>
      <c r="H10" s="545">
        <v>0</v>
      </c>
      <c r="I10" s="545">
        <v>0</v>
      </c>
      <c r="J10" s="545">
        <v>0</v>
      </c>
      <c r="K10" s="545">
        <v>1.73</v>
      </c>
      <c r="L10" s="545">
        <v>0</v>
      </c>
      <c r="M10" s="545">
        <v>0</v>
      </c>
      <c r="N10" s="545">
        <v>0</v>
      </c>
      <c r="O10" s="545">
        <v>0</v>
      </c>
      <c r="P10" s="545">
        <v>0</v>
      </c>
      <c r="Q10" s="620">
        <v>0</v>
      </c>
      <c r="R10" s="546">
        <v>0</v>
      </c>
      <c r="T10" s="437">
        <v>57999.687377131551</v>
      </c>
      <c r="U10" s="440">
        <v>0</v>
      </c>
      <c r="V10" s="440">
        <v>0</v>
      </c>
      <c r="W10" s="440">
        <v>0</v>
      </c>
      <c r="X10" s="440">
        <v>0</v>
      </c>
      <c r="Y10" s="440">
        <v>0</v>
      </c>
      <c r="Z10" s="440">
        <v>0</v>
      </c>
      <c r="AA10" s="440">
        <v>38999293.318953753</v>
      </c>
      <c r="AB10" s="440">
        <v>0</v>
      </c>
      <c r="AC10" s="440">
        <v>0</v>
      </c>
      <c r="AD10" s="440">
        <v>0</v>
      </c>
      <c r="AE10" s="440">
        <v>0</v>
      </c>
      <c r="AF10" s="440">
        <v>0</v>
      </c>
      <c r="AG10" s="612">
        <v>0</v>
      </c>
      <c r="AH10" s="441">
        <v>0</v>
      </c>
      <c r="AJ10" s="754">
        <f>IF('Prop DUOS'!$E$69="cents",D10/100,D10)*IF('Prop DUOS'!$E$71="day",T10*'Prop DUOS'!$D$77,T10)</f>
        <v>0</v>
      </c>
      <c r="AK10" s="755">
        <f>IF('Prop DUOS'!F$69="cents",E10/100,E10)*U10</f>
        <v>0</v>
      </c>
      <c r="AL10" s="755">
        <f>IF('Prop DUOS'!G$69="cents",F10/100,F10)*V10</f>
        <v>0</v>
      </c>
      <c r="AM10" s="755">
        <f>IF('Prop DUOS'!H$69="cents",G10/100,G10)*W10</f>
        <v>0</v>
      </c>
      <c r="AN10" s="755">
        <f>IF('Prop DUOS'!I$69="cents",H10/100,H10)*X10</f>
        <v>0</v>
      </c>
      <c r="AO10" s="755">
        <f>IF('Prop DUOS'!J$69="cents",I10/100,I10)*Y10</f>
        <v>0</v>
      </c>
      <c r="AP10" s="755">
        <f>IF('Prop DUOS'!K$69="cents",J10/100,J10)*Z10</f>
        <v>0</v>
      </c>
      <c r="AQ10" s="755">
        <f>IF('Prop DUOS'!L$69="cents",K10/100,K10)*AA10</f>
        <v>674687.7744178999</v>
      </c>
      <c r="AR10" s="755">
        <f>IF('Prop DUOS'!M$69="cents",L10/100,L10)*AB10</f>
        <v>0</v>
      </c>
      <c r="AS10" s="755">
        <f>IF('Prop DUOS'!N$69="cents",M10/100,M10)*AC10</f>
        <v>0</v>
      </c>
      <c r="AT10" s="755">
        <f>IF('Prop DUOS'!O$69="cents",N10/100,N10)*IF('Prop DUOS'!O$71="day",AD10*'Prop DUOS'!$D$77,IF('Prop DUOS'!O$71="month",AD10*12,AD10))</f>
        <v>0</v>
      </c>
      <c r="AU10" s="755">
        <f>IF('Prop DUOS'!P$69="cents",O10/100,O10)*IF('Prop DUOS'!P$71="day",AE10*'Prop DUOS'!$D$77,IF('Prop DUOS'!P$71="month",AE10*12,AE10))</f>
        <v>0</v>
      </c>
      <c r="AV10" s="755">
        <f>IF('Prop DUOS'!Q$69="cents",P10/100,P10)*IF('Prop DUOS'!Q$71="day",AF10*'Prop DUOS'!$D$77,IF('Prop DUOS'!Q$71="month",AF10*12,AF10))</f>
        <v>0</v>
      </c>
      <c r="AW10" s="755">
        <f>IF('Prop DUOS'!R$69="cents",Q10/100,Q10)*IF('Prop DUOS'!R$71="day",AG10*'Prop DUOS'!$D$77,IF('Prop DUOS'!R$71="month",AG10*12,AG10))</f>
        <v>0</v>
      </c>
      <c r="AX10" s="755">
        <f>IF('Prop DUOS'!S$69="cents",R10/100,R10)*IF('Prop DUOS'!S$71="day",AH10*'Prop DUOS'!$D$77,IF('Prop DUOS'!S$71="month",AH10*12,AH10))</f>
        <v>0</v>
      </c>
      <c r="AY10" s="743">
        <f t="shared" si="0"/>
        <v>674687.7744178999</v>
      </c>
      <c r="BB10" s="724"/>
    </row>
    <row r="11" spans="2:54" s="158" customFormat="1">
      <c r="B11" s="449" t="s">
        <v>323</v>
      </c>
      <c r="C11" s="220"/>
      <c r="D11" s="544">
        <v>16.43</v>
      </c>
      <c r="E11" s="545">
        <v>6.81</v>
      </c>
      <c r="F11" s="545">
        <v>0</v>
      </c>
      <c r="G11" s="545">
        <v>0</v>
      </c>
      <c r="H11" s="545">
        <v>6.81</v>
      </c>
      <c r="I11" s="545">
        <v>0</v>
      </c>
      <c r="J11" s="545">
        <v>0</v>
      </c>
      <c r="K11" s="545">
        <v>0</v>
      </c>
      <c r="L11" s="545">
        <v>0</v>
      </c>
      <c r="M11" s="545">
        <v>0</v>
      </c>
      <c r="N11" s="545">
        <v>0</v>
      </c>
      <c r="O11" s="545">
        <v>0</v>
      </c>
      <c r="P11" s="545">
        <v>0</v>
      </c>
      <c r="Q11" s="620">
        <v>0</v>
      </c>
      <c r="R11" s="546">
        <v>0</v>
      </c>
      <c r="T11" s="437">
        <v>36259.32507256652</v>
      </c>
      <c r="U11" s="440">
        <v>93025913.444147393</v>
      </c>
      <c r="V11" s="440">
        <v>0</v>
      </c>
      <c r="W11" s="440">
        <v>0</v>
      </c>
      <c r="X11" s="440">
        <v>97466133.89275226</v>
      </c>
      <c r="Y11" s="440">
        <v>0</v>
      </c>
      <c r="Z11" s="440">
        <v>0</v>
      </c>
      <c r="AA11" s="440">
        <v>0</v>
      </c>
      <c r="AB11" s="440">
        <v>0</v>
      </c>
      <c r="AC11" s="440">
        <v>0</v>
      </c>
      <c r="AD11" s="440">
        <v>0</v>
      </c>
      <c r="AE11" s="440">
        <v>0</v>
      </c>
      <c r="AF11" s="440">
        <v>0</v>
      </c>
      <c r="AG11" s="612">
        <v>0</v>
      </c>
      <c r="AH11" s="441">
        <v>0</v>
      </c>
      <c r="AJ11" s="754">
        <f>IF('Prop DUOS'!$E$69="cents",D11/100,D11)*IF('Prop DUOS'!$E$71="day",T11*'Prop DUOS'!$D$77,T11)</f>
        <v>1078290.6868055051</v>
      </c>
      <c r="AK11" s="755">
        <f>IF('Prop DUOS'!F$69="cents",E11/100,E11)*U11</f>
        <v>6335064.7055464368</v>
      </c>
      <c r="AL11" s="755">
        <f>IF('Prop DUOS'!G$69="cents",F11/100,F11)*V11</f>
        <v>0</v>
      </c>
      <c r="AM11" s="755">
        <f>IF('Prop DUOS'!H$69="cents",G11/100,G11)*W11</f>
        <v>0</v>
      </c>
      <c r="AN11" s="755">
        <f>IF('Prop DUOS'!I$69="cents",H11/100,H11)*X11</f>
        <v>6637443.7180964286</v>
      </c>
      <c r="AO11" s="755">
        <f>IF('Prop DUOS'!J$69="cents",I11/100,I11)*Y11</f>
        <v>0</v>
      </c>
      <c r="AP11" s="755">
        <f>IF('Prop DUOS'!K$69="cents",J11/100,J11)*Z11</f>
        <v>0</v>
      </c>
      <c r="AQ11" s="755">
        <f>IF('Prop DUOS'!L$69="cents",K11/100,K11)*AA11</f>
        <v>0</v>
      </c>
      <c r="AR11" s="755">
        <f>IF('Prop DUOS'!M$69="cents",L11/100,L11)*AB11</f>
        <v>0</v>
      </c>
      <c r="AS11" s="755">
        <f>IF('Prop DUOS'!N$69="cents",M11/100,M11)*AC11</f>
        <v>0</v>
      </c>
      <c r="AT11" s="755">
        <f>IF('Prop DUOS'!O$69="cents",N11/100,N11)*IF('Prop DUOS'!O$71="day",AD11*'Prop DUOS'!$D$77,IF('Prop DUOS'!O$71="month",AD11*12,AD11))</f>
        <v>0</v>
      </c>
      <c r="AU11" s="755">
        <f>IF('Prop DUOS'!P$69="cents",O11/100,O11)*IF('Prop DUOS'!P$71="day",AE11*'Prop DUOS'!$D$77,IF('Prop DUOS'!P$71="month",AE11*12,AE11))</f>
        <v>0</v>
      </c>
      <c r="AV11" s="755">
        <f>IF('Prop DUOS'!Q$69="cents",P11/100,P11)*IF('Prop DUOS'!Q$71="day",AF11*'Prop DUOS'!$D$77,IF('Prop DUOS'!Q$71="month",AF11*12,AF11))</f>
        <v>0</v>
      </c>
      <c r="AW11" s="755">
        <f>IF('Prop DUOS'!R$69="cents",Q11/100,Q11)*IF('Prop DUOS'!R$71="day",AG11*'Prop DUOS'!$D$77,IF('Prop DUOS'!R$71="month",AG11*12,AG11))</f>
        <v>0</v>
      </c>
      <c r="AX11" s="755">
        <f>IF('Prop DUOS'!S$69="cents",R11/100,R11)*IF('Prop DUOS'!S$71="day",AH11*'Prop DUOS'!$D$77,IF('Prop DUOS'!S$71="month",AH11*12,AH11))</f>
        <v>0</v>
      </c>
      <c r="AY11" s="743">
        <f t="shared" si="0"/>
        <v>14050799.110448372</v>
      </c>
      <c r="BB11" s="724"/>
    </row>
    <row r="12" spans="2:54" s="158" customFormat="1">
      <c r="B12" s="449" t="s">
        <v>324</v>
      </c>
      <c r="C12" s="220"/>
      <c r="D12" s="544">
        <v>25.33</v>
      </c>
      <c r="E12" s="545">
        <v>0</v>
      </c>
      <c r="F12" s="545">
        <v>0</v>
      </c>
      <c r="G12" s="545">
        <v>9.34</v>
      </c>
      <c r="H12" s="545">
        <v>0</v>
      </c>
      <c r="I12" s="545">
        <v>0</v>
      </c>
      <c r="J12" s="545">
        <v>9.34</v>
      </c>
      <c r="K12" s="545">
        <v>1.74</v>
      </c>
      <c r="L12" s="545">
        <v>0</v>
      </c>
      <c r="M12" s="545">
        <v>0</v>
      </c>
      <c r="N12" s="545">
        <v>0</v>
      </c>
      <c r="O12" s="545">
        <v>0</v>
      </c>
      <c r="P12" s="545">
        <v>0</v>
      </c>
      <c r="Q12" s="620">
        <v>0</v>
      </c>
      <c r="R12" s="546">
        <v>0</v>
      </c>
      <c r="T12" s="437">
        <v>9342.5698936425651</v>
      </c>
      <c r="U12" s="440">
        <v>0</v>
      </c>
      <c r="V12" s="440">
        <v>0</v>
      </c>
      <c r="W12" s="440">
        <v>25740969.509915289</v>
      </c>
      <c r="X12" s="440">
        <v>0</v>
      </c>
      <c r="Y12" s="440">
        <v>0</v>
      </c>
      <c r="Z12" s="440">
        <v>25122012.931248948</v>
      </c>
      <c r="AA12" s="440">
        <v>31903025.485105995</v>
      </c>
      <c r="AB12" s="440">
        <v>0</v>
      </c>
      <c r="AC12" s="440">
        <v>0</v>
      </c>
      <c r="AD12" s="440">
        <v>0</v>
      </c>
      <c r="AE12" s="440">
        <v>0</v>
      </c>
      <c r="AF12" s="440">
        <v>0</v>
      </c>
      <c r="AG12" s="612">
        <v>0</v>
      </c>
      <c r="AH12" s="441">
        <v>0</v>
      </c>
      <c r="AJ12" s="754">
        <f>IF('Prop DUOS'!$E$69="cents",D12/100,D12)*IF('Prop DUOS'!$E$71="day",T12*'Prop DUOS'!$D$77,T12)</f>
        <v>428331.60468479875</v>
      </c>
      <c r="AK12" s="755">
        <f>IF('Prop DUOS'!F$69="cents",E12/100,E12)*U12</f>
        <v>0</v>
      </c>
      <c r="AL12" s="755">
        <f>IF('Prop DUOS'!G$69="cents",F12/100,F12)*V12</f>
        <v>0</v>
      </c>
      <c r="AM12" s="755">
        <f>IF('Prop DUOS'!H$69="cents",G12/100,G12)*W12</f>
        <v>2404206.552226088</v>
      </c>
      <c r="AN12" s="755">
        <f>IF('Prop DUOS'!I$69="cents",H12/100,H12)*X12</f>
        <v>0</v>
      </c>
      <c r="AO12" s="755">
        <f>IF('Prop DUOS'!J$69="cents",I12/100,I12)*Y12</f>
        <v>0</v>
      </c>
      <c r="AP12" s="755">
        <f>IF('Prop DUOS'!K$69="cents",J12/100,J12)*Z12</f>
        <v>2346396.0077786515</v>
      </c>
      <c r="AQ12" s="755">
        <f>IF('Prop DUOS'!L$69="cents",K12/100,K12)*AA12</f>
        <v>555112.64344084426</v>
      </c>
      <c r="AR12" s="755">
        <f>IF('Prop DUOS'!M$69="cents",L12/100,L12)*AB12</f>
        <v>0</v>
      </c>
      <c r="AS12" s="755">
        <f>IF('Prop DUOS'!N$69="cents",M12/100,M12)*AC12</f>
        <v>0</v>
      </c>
      <c r="AT12" s="755">
        <f>IF('Prop DUOS'!O$69="cents",N12/100,N12)*IF('Prop DUOS'!O$71="day",AD12*'Prop DUOS'!$D$77,IF('Prop DUOS'!O$71="month",AD12*12,AD12))</f>
        <v>0</v>
      </c>
      <c r="AU12" s="755">
        <f>IF('Prop DUOS'!P$69="cents",O12/100,O12)*IF('Prop DUOS'!P$71="day",AE12*'Prop DUOS'!$D$77,IF('Prop DUOS'!P$71="month",AE12*12,AE12))</f>
        <v>0</v>
      </c>
      <c r="AV12" s="755">
        <f>IF('Prop DUOS'!Q$69="cents",P12/100,P12)*IF('Prop DUOS'!Q$71="day",AF12*'Prop DUOS'!$D$77,IF('Prop DUOS'!Q$71="month",AF12*12,AF12))</f>
        <v>0</v>
      </c>
      <c r="AW12" s="755">
        <f>IF('Prop DUOS'!R$69="cents",Q12/100,Q12)*IF('Prop DUOS'!R$71="day",AG12*'Prop DUOS'!$D$77,IF('Prop DUOS'!R$71="month",AG12*12,AG12))</f>
        <v>0</v>
      </c>
      <c r="AX12" s="755">
        <f>IF('Prop DUOS'!S$69="cents",R12/100,R12)*IF('Prop DUOS'!S$71="day",AH12*'Prop DUOS'!$D$77,IF('Prop DUOS'!S$71="month",AH12*12,AH12))</f>
        <v>0</v>
      </c>
      <c r="AY12" s="743">
        <f t="shared" si="0"/>
        <v>5734046.8081303835</v>
      </c>
      <c r="BB12" s="724"/>
    </row>
    <row r="13" spans="2:54" s="158" customFormat="1">
      <c r="B13" s="449" t="s">
        <v>325</v>
      </c>
      <c r="C13" s="220"/>
      <c r="D13" s="544">
        <v>26.95</v>
      </c>
      <c r="E13" s="545">
        <v>0</v>
      </c>
      <c r="F13" s="545">
        <v>0</v>
      </c>
      <c r="G13" s="545">
        <v>7.72</v>
      </c>
      <c r="H13" s="545">
        <v>0</v>
      </c>
      <c r="I13" s="545">
        <v>0</v>
      </c>
      <c r="J13" s="545">
        <v>7.72</v>
      </c>
      <c r="K13" s="545">
        <v>1.41</v>
      </c>
      <c r="L13" s="545">
        <v>0</v>
      </c>
      <c r="M13" s="545">
        <v>0</v>
      </c>
      <c r="N13" s="545">
        <v>0</v>
      </c>
      <c r="O13" s="545">
        <v>0</v>
      </c>
      <c r="P13" s="545">
        <v>0</v>
      </c>
      <c r="Q13" s="620">
        <v>0</v>
      </c>
      <c r="R13" s="546">
        <v>0</v>
      </c>
      <c r="T13" s="437">
        <v>4794.226596460584</v>
      </c>
      <c r="U13" s="440">
        <v>0</v>
      </c>
      <c r="V13" s="440">
        <v>0</v>
      </c>
      <c r="W13" s="440">
        <v>11642265.740953906</v>
      </c>
      <c r="X13" s="440">
        <v>0</v>
      </c>
      <c r="Y13" s="440">
        <v>0</v>
      </c>
      <c r="Z13" s="440">
        <v>11958387.790862266</v>
      </c>
      <c r="AA13" s="440">
        <v>6397297.3012028877</v>
      </c>
      <c r="AB13" s="440">
        <v>0</v>
      </c>
      <c r="AC13" s="440">
        <v>0</v>
      </c>
      <c r="AD13" s="440">
        <v>0</v>
      </c>
      <c r="AE13" s="440">
        <v>0</v>
      </c>
      <c r="AF13" s="440">
        <v>0</v>
      </c>
      <c r="AG13" s="612">
        <v>0</v>
      </c>
      <c r="AH13" s="441">
        <v>0</v>
      </c>
      <c r="AJ13" s="754">
        <f>IF('Prop DUOS'!$E$69="cents",D13/100,D13)*IF('Prop DUOS'!$E$71="day",T13*'Prop DUOS'!$D$77,T13)</f>
        <v>233859.97626204905</v>
      </c>
      <c r="AK13" s="755">
        <f>IF('Prop DUOS'!F$69="cents",E13/100,E13)*U13</f>
        <v>0</v>
      </c>
      <c r="AL13" s="755">
        <f>IF('Prop DUOS'!G$69="cents",F13/100,F13)*V13</f>
        <v>0</v>
      </c>
      <c r="AM13" s="755">
        <f>IF('Prop DUOS'!H$69="cents",G13/100,G13)*W13</f>
        <v>898782.91520164139</v>
      </c>
      <c r="AN13" s="755">
        <f>IF('Prop DUOS'!I$69="cents",H13/100,H13)*X13</f>
        <v>0</v>
      </c>
      <c r="AO13" s="755">
        <f>IF('Prop DUOS'!J$69="cents",I13/100,I13)*Y13</f>
        <v>0</v>
      </c>
      <c r="AP13" s="755">
        <f>IF('Prop DUOS'!K$69="cents",J13/100,J13)*Z13</f>
        <v>923187.5374545668</v>
      </c>
      <c r="AQ13" s="755">
        <f>IF('Prop DUOS'!L$69="cents",K13/100,K13)*AA13</f>
        <v>90201.891946960721</v>
      </c>
      <c r="AR13" s="755">
        <f>IF('Prop DUOS'!M$69="cents",L13/100,L13)*AB13</f>
        <v>0</v>
      </c>
      <c r="AS13" s="755">
        <f>IF('Prop DUOS'!N$69="cents",M13/100,M13)*AC13</f>
        <v>0</v>
      </c>
      <c r="AT13" s="755">
        <f>IF('Prop DUOS'!O$69="cents",N13/100,N13)*IF('Prop DUOS'!O$71="day",AD13*'Prop DUOS'!$D$77,IF('Prop DUOS'!O$71="month",AD13*12,AD13))</f>
        <v>0</v>
      </c>
      <c r="AU13" s="755">
        <f>IF('Prop DUOS'!P$69="cents",O13/100,O13)*IF('Prop DUOS'!P$71="day",AE13*'Prop DUOS'!$D$77,IF('Prop DUOS'!P$71="month",AE13*12,AE13))</f>
        <v>0</v>
      </c>
      <c r="AV13" s="755">
        <f>IF('Prop DUOS'!Q$69="cents",P13/100,P13)*IF('Prop DUOS'!Q$71="day",AF13*'Prop DUOS'!$D$77,IF('Prop DUOS'!Q$71="month",AF13*12,AF13))</f>
        <v>0</v>
      </c>
      <c r="AW13" s="755">
        <f>IF('Prop DUOS'!R$69="cents",Q13/100,Q13)*IF('Prop DUOS'!R$71="day",AG13*'Prop DUOS'!$D$77,IF('Prop DUOS'!R$71="month",AG13*12,AG13))</f>
        <v>0</v>
      </c>
      <c r="AX13" s="755">
        <f>IF('Prop DUOS'!S$69="cents",R13/100,R13)*IF('Prop DUOS'!S$71="day",AH13*'Prop DUOS'!$D$77,IF('Prop DUOS'!S$71="month",AH13*12,AH13))</f>
        <v>0</v>
      </c>
      <c r="AY13" s="743">
        <f t="shared" si="0"/>
        <v>2146032.3208652181</v>
      </c>
      <c r="BB13" s="724"/>
    </row>
    <row r="14" spans="2:54" s="158" customFormat="1">
      <c r="B14" s="449" t="s">
        <v>326</v>
      </c>
      <c r="C14" s="220"/>
      <c r="D14" s="544">
        <v>0</v>
      </c>
      <c r="E14" s="545">
        <v>0</v>
      </c>
      <c r="F14" s="545">
        <v>0</v>
      </c>
      <c r="G14" s="545">
        <v>6.39</v>
      </c>
      <c r="H14" s="545">
        <v>0</v>
      </c>
      <c r="I14" s="545">
        <v>0</v>
      </c>
      <c r="J14" s="545">
        <v>6.39</v>
      </c>
      <c r="K14" s="545">
        <v>1.38</v>
      </c>
      <c r="L14" s="545">
        <v>0</v>
      </c>
      <c r="M14" s="545">
        <v>0</v>
      </c>
      <c r="N14" s="545">
        <v>0</v>
      </c>
      <c r="O14" s="545">
        <v>0</v>
      </c>
      <c r="P14" s="545">
        <v>0</v>
      </c>
      <c r="Q14" s="620">
        <v>0</v>
      </c>
      <c r="R14" s="546">
        <v>0</v>
      </c>
      <c r="T14" s="437">
        <v>10070.331491712706</v>
      </c>
      <c r="U14" s="440">
        <v>0</v>
      </c>
      <c r="V14" s="440">
        <v>0</v>
      </c>
      <c r="W14" s="440">
        <v>7860660.7721843058</v>
      </c>
      <c r="X14" s="440">
        <v>0</v>
      </c>
      <c r="Y14" s="440">
        <v>0</v>
      </c>
      <c r="Z14" s="440">
        <v>9071878.8425180931</v>
      </c>
      <c r="AA14" s="440">
        <v>31359108.223164964</v>
      </c>
      <c r="AB14" s="440">
        <v>0</v>
      </c>
      <c r="AC14" s="440">
        <v>0</v>
      </c>
      <c r="AD14" s="440">
        <v>0</v>
      </c>
      <c r="AE14" s="440">
        <v>0</v>
      </c>
      <c r="AF14" s="440">
        <v>0</v>
      </c>
      <c r="AG14" s="612">
        <v>0</v>
      </c>
      <c r="AH14" s="441">
        <v>0</v>
      </c>
      <c r="AJ14" s="754">
        <f>IF('Prop DUOS'!$E$69="cents",D14/100,D14)*IF('Prop DUOS'!$E$71="day",T14*'Prop DUOS'!$D$77,T14)</f>
        <v>0</v>
      </c>
      <c r="AK14" s="755">
        <f>IF('Prop DUOS'!F$69="cents",E14/100,E14)*U14</f>
        <v>0</v>
      </c>
      <c r="AL14" s="755">
        <f>IF('Prop DUOS'!G$69="cents",F14/100,F14)*V14</f>
        <v>0</v>
      </c>
      <c r="AM14" s="755">
        <f>IF('Prop DUOS'!H$69="cents",G14/100,G14)*W14</f>
        <v>502296.22334257711</v>
      </c>
      <c r="AN14" s="755">
        <f>IF('Prop DUOS'!I$69="cents",H14/100,H14)*X14</f>
        <v>0</v>
      </c>
      <c r="AO14" s="755">
        <f>IF('Prop DUOS'!J$69="cents",I14/100,I14)*Y14</f>
        <v>0</v>
      </c>
      <c r="AP14" s="755">
        <f>IF('Prop DUOS'!K$69="cents",J14/100,J14)*Z14</f>
        <v>579693.05803690618</v>
      </c>
      <c r="AQ14" s="755">
        <f>IF('Prop DUOS'!L$69="cents",K14/100,K14)*AA14</f>
        <v>432755.6934796765</v>
      </c>
      <c r="AR14" s="755">
        <f>IF('Prop DUOS'!M$69="cents",L14/100,L14)*AB14</f>
        <v>0</v>
      </c>
      <c r="AS14" s="755">
        <f>IF('Prop DUOS'!N$69="cents",M14/100,M14)*AC14</f>
        <v>0</v>
      </c>
      <c r="AT14" s="755">
        <f>IF('Prop DUOS'!O$69="cents",N14/100,N14)*IF('Prop DUOS'!O$71="day",AD14*'Prop DUOS'!$D$77,IF('Prop DUOS'!O$71="month",AD14*12,AD14))</f>
        <v>0</v>
      </c>
      <c r="AU14" s="755">
        <f>IF('Prop DUOS'!P$69="cents",O14/100,O14)*IF('Prop DUOS'!P$71="day",AE14*'Prop DUOS'!$D$77,IF('Prop DUOS'!P$71="month",AE14*12,AE14))</f>
        <v>0</v>
      </c>
      <c r="AV14" s="755">
        <f>IF('Prop DUOS'!Q$69="cents",P14/100,P14)*IF('Prop DUOS'!Q$71="day",AF14*'Prop DUOS'!$D$77,IF('Prop DUOS'!Q$71="month",AF14*12,AF14))</f>
        <v>0</v>
      </c>
      <c r="AW14" s="755">
        <f>IF('Prop DUOS'!R$69="cents",Q14/100,Q14)*IF('Prop DUOS'!R$71="day",AG14*'Prop DUOS'!$D$77,IF('Prop DUOS'!R$71="month",AG14*12,AG14))</f>
        <v>0</v>
      </c>
      <c r="AX14" s="755">
        <f>IF('Prop DUOS'!S$69="cents",R14/100,R14)*IF('Prop DUOS'!S$71="day",AH14*'Prop DUOS'!$D$77,IF('Prop DUOS'!S$71="month",AH14*12,AH14))</f>
        <v>0</v>
      </c>
      <c r="AY14" s="743">
        <f t="shared" si="0"/>
        <v>1514744.9748591597</v>
      </c>
      <c r="BB14" s="724"/>
    </row>
    <row r="15" spans="2:54" s="158" customFormat="1">
      <c r="B15" s="449" t="s">
        <v>327</v>
      </c>
      <c r="C15" s="220"/>
      <c r="D15" s="544">
        <v>16.43</v>
      </c>
      <c r="E15" s="545">
        <v>5.4</v>
      </c>
      <c r="F15" s="545">
        <v>0</v>
      </c>
      <c r="G15" s="545">
        <v>0</v>
      </c>
      <c r="H15" s="545">
        <v>5.4</v>
      </c>
      <c r="I15" s="545">
        <v>0</v>
      </c>
      <c r="J15" s="545">
        <v>0</v>
      </c>
      <c r="K15" s="545">
        <v>0</v>
      </c>
      <c r="L15" s="545">
        <v>0</v>
      </c>
      <c r="M15" s="545">
        <v>0</v>
      </c>
      <c r="N15" s="545">
        <v>0</v>
      </c>
      <c r="O15" s="545">
        <v>0</v>
      </c>
      <c r="P15" s="545">
        <v>0</v>
      </c>
      <c r="Q15" s="620">
        <v>0</v>
      </c>
      <c r="R15" s="546">
        <v>0</v>
      </c>
      <c r="T15" s="437">
        <v>5.9728736666867741</v>
      </c>
      <c r="U15" s="440">
        <v>350830.86554110394</v>
      </c>
      <c r="V15" s="440">
        <v>0</v>
      </c>
      <c r="W15" s="440">
        <v>0</v>
      </c>
      <c r="X15" s="440">
        <v>336597.5053836623</v>
      </c>
      <c r="Y15" s="440">
        <v>0</v>
      </c>
      <c r="Z15" s="440">
        <v>0</v>
      </c>
      <c r="AA15" s="440">
        <v>0</v>
      </c>
      <c r="AB15" s="440">
        <v>0</v>
      </c>
      <c r="AC15" s="440">
        <v>0</v>
      </c>
      <c r="AD15" s="440">
        <v>0</v>
      </c>
      <c r="AE15" s="440">
        <v>0</v>
      </c>
      <c r="AF15" s="440">
        <v>0</v>
      </c>
      <c r="AG15" s="612">
        <v>0</v>
      </c>
      <c r="AH15" s="441">
        <v>0</v>
      </c>
      <c r="AJ15" s="754">
        <f>IF('Prop DUOS'!$E$69="cents",D15/100,D15)*IF('Prop DUOS'!$E$71="day",T15*'Prop DUOS'!$D$77,T15)</f>
        <v>177.6231089620313</v>
      </c>
      <c r="AK15" s="755">
        <f>IF('Prop DUOS'!F$69="cents",E15/100,E15)*U15</f>
        <v>18944.866739219615</v>
      </c>
      <c r="AL15" s="755">
        <f>IF('Prop DUOS'!G$69="cents",F15/100,F15)*V15</f>
        <v>0</v>
      </c>
      <c r="AM15" s="755">
        <f>IF('Prop DUOS'!H$69="cents",G15/100,G15)*W15</f>
        <v>0</v>
      </c>
      <c r="AN15" s="755">
        <f>IF('Prop DUOS'!I$69="cents",H15/100,H15)*X15</f>
        <v>18176.265290717765</v>
      </c>
      <c r="AO15" s="755">
        <f>IF('Prop DUOS'!J$69="cents",I15/100,I15)*Y15</f>
        <v>0</v>
      </c>
      <c r="AP15" s="755">
        <f>IF('Prop DUOS'!K$69="cents",J15/100,J15)*Z15</f>
        <v>0</v>
      </c>
      <c r="AQ15" s="755">
        <f>IF('Prop DUOS'!L$69="cents",K15/100,K15)*AA15</f>
        <v>0</v>
      </c>
      <c r="AR15" s="755">
        <f>IF('Prop DUOS'!M$69="cents",L15/100,L15)*AB15</f>
        <v>0</v>
      </c>
      <c r="AS15" s="755">
        <f>IF('Prop DUOS'!N$69="cents",M15/100,M15)*AC15</f>
        <v>0</v>
      </c>
      <c r="AT15" s="755">
        <f>IF('Prop DUOS'!O$69="cents",N15/100,N15)*IF('Prop DUOS'!O$71="day",AD15*'Prop DUOS'!$D$77,IF('Prop DUOS'!O$71="month",AD15*12,AD15))</f>
        <v>0</v>
      </c>
      <c r="AU15" s="755">
        <f>IF('Prop DUOS'!P$69="cents",O15/100,O15)*IF('Prop DUOS'!P$71="day",AE15*'Prop DUOS'!$D$77,IF('Prop DUOS'!P$71="month",AE15*12,AE15))</f>
        <v>0</v>
      </c>
      <c r="AV15" s="755">
        <f>IF('Prop DUOS'!Q$69="cents",P15/100,P15)*IF('Prop DUOS'!Q$71="day",AF15*'Prop DUOS'!$D$77,IF('Prop DUOS'!Q$71="month",AF15*12,AF15))</f>
        <v>0</v>
      </c>
      <c r="AW15" s="755">
        <f>IF('Prop DUOS'!R$69="cents",Q15/100,Q15)*IF('Prop DUOS'!R$71="day",AG15*'Prop DUOS'!$D$77,IF('Prop DUOS'!R$71="month",AG15*12,AG15))</f>
        <v>0</v>
      </c>
      <c r="AX15" s="755">
        <f>IF('Prop DUOS'!S$69="cents",R15/100,R15)*IF('Prop DUOS'!S$71="day",AH15*'Prop DUOS'!$D$77,IF('Prop DUOS'!S$71="month",AH15*12,AH15))</f>
        <v>0</v>
      </c>
      <c r="AY15" s="743">
        <f t="shared" si="0"/>
        <v>37298.755138899411</v>
      </c>
      <c r="BB15" s="724"/>
    </row>
    <row r="16" spans="2:54" s="158" customFormat="1">
      <c r="B16" s="449" t="s">
        <v>328</v>
      </c>
      <c r="C16" s="220"/>
      <c r="D16" s="544">
        <v>22.34</v>
      </c>
      <c r="E16" s="545">
        <v>0</v>
      </c>
      <c r="F16" s="545">
        <v>0</v>
      </c>
      <c r="G16" s="545">
        <v>8.91</v>
      </c>
      <c r="H16" s="545">
        <v>0</v>
      </c>
      <c r="I16" s="545">
        <v>0</v>
      </c>
      <c r="J16" s="545">
        <v>8.91</v>
      </c>
      <c r="K16" s="545">
        <v>1.68</v>
      </c>
      <c r="L16" s="545">
        <v>0</v>
      </c>
      <c r="M16" s="545">
        <v>0</v>
      </c>
      <c r="N16" s="545">
        <v>0</v>
      </c>
      <c r="O16" s="545">
        <v>0</v>
      </c>
      <c r="P16" s="545">
        <v>0</v>
      </c>
      <c r="Q16" s="620">
        <v>0</v>
      </c>
      <c r="R16" s="546">
        <v>0</v>
      </c>
      <c r="T16" s="437">
        <v>15.92766311116473</v>
      </c>
      <c r="U16" s="440">
        <v>0</v>
      </c>
      <c r="V16" s="440">
        <v>0</v>
      </c>
      <c r="W16" s="440">
        <v>353584.4990283752</v>
      </c>
      <c r="X16" s="440">
        <v>0</v>
      </c>
      <c r="Y16" s="440">
        <v>0</v>
      </c>
      <c r="Z16" s="440">
        <v>290139.17790064623</v>
      </c>
      <c r="AA16" s="440">
        <v>432412.9860858029</v>
      </c>
      <c r="AB16" s="440">
        <v>0</v>
      </c>
      <c r="AC16" s="440">
        <v>0</v>
      </c>
      <c r="AD16" s="440">
        <v>0</v>
      </c>
      <c r="AE16" s="440">
        <v>0</v>
      </c>
      <c r="AF16" s="440">
        <v>0</v>
      </c>
      <c r="AG16" s="612">
        <v>0</v>
      </c>
      <c r="AH16" s="441">
        <v>0</v>
      </c>
      <c r="AJ16" s="754">
        <f>IF('Prop DUOS'!$E$69="cents",D16/100,D16)*IF('Prop DUOS'!$E$71="day",T16*'Prop DUOS'!$D$77,T16)</f>
        <v>644.04142896519033</v>
      </c>
      <c r="AK16" s="755">
        <f>IF('Prop DUOS'!F$69="cents",E16/100,E16)*U16</f>
        <v>0</v>
      </c>
      <c r="AL16" s="755">
        <f>IF('Prop DUOS'!G$69="cents",F16/100,F16)*V16</f>
        <v>0</v>
      </c>
      <c r="AM16" s="755">
        <f>IF('Prop DUOS'!H$69="cents",G16/100,G16)*W16</f>
        <v>31504.378863428228</v>
      </c>
      <c r="AN16" s="755">
        <f>IF('Prop DUOS'!I$69="cents",H16/100,H16)*X16</f>
        <v>0</v>
      </c>
      <c r="AO16" s="755">
        <f>IF('Prop DUOS'!J$69="cents",I16/100,I16)*Y16</f>
        <v>0</v>
      </c>
      <c r="AP16" s="755">
        <f>IF('Prop DUOS'!K$69="cents",J16/100,J16)*Z16</f>
        <v>25851.400750947578</v>
      </c>
      <c r="AQ16" s="755">
        <f>IF('Prop DUOS'!L$69="cents",K16/100,K16)*AA16</f>
        <v>7264.5381662414884</v>
      </c>
      <c r="AR16" s="755">
        <f>IF('Prop DUOS'!M$69="cents",L16/100,L16)*AB16</f>
        <v>0</v>
      </c>
      <c r="AS16" s="755">
        <f>IF('Prop DUOS'!N$69="cents",M16/100,M16)*AC16</f>
        <v>0</v>
      </c>
      <c r="AT16" s="755">
        <f>IF('Prop DUOS'!O$69="cents",N16/100,N16)*IF('Prop DUOS'!O$71="day",AD16*'Prop DUOS'!$D$77,IF('Prop DUOS'!O$71="month",AD16*12,AD16))</f>
        <v>0</v>
      </c>
      <c r="AU16" s="755">
        <f>IF('Prop DUOS'!P$69="cents",O16/100,O16)*IF('Prop DUOS'!P$71="day",AE16*'Prop DUOS'!$D$77,IF('Prop DUOS'!P$71="month",AE16*12,AE16))</f>
        <v>0</v>
      </c>
      <c r="AV16" s="755">
        <f>IF('Prop DUOS'!Q$69="cents",P16/100,P16)*IF('Prop DUOS'!Q$71="day",AF16*'Prop DUOS'!$D$77,IF('Prop DUOS'!Q$71="month",AF16*12,AF16))</f>
        <v>0</v>
      </c>
      <c r="AW16" s="755">
        <f>IF('Prop DUOS'!R$69="cents",Q16/100,Q16)*IF('Prop DUOS'!R$71="day",AG16*'Prop DUOS'!$D$77,IF('Prop DUOS'!R$71="month",AG16*12,AG16))</f>
        <v>0</v>
      </c>
      <c r="AX16" s="755">
        <f>IF('Prop DUOS'!S$69="cents",R16/100,R16)*IF('Prop DUOS'!S$71="day",AH16*'Prop DUOS'!$D$77,IF('Prop DUOS'!S$71="month",AH16*12,AH16))</f>
        <v>0</v>
      </c>
      <c r="AY16" s="743">
        <f t="shared" si="0"/>
        <v>65264.359209582486</v>
      </c>
      <c r="BB16" s="724"/>
    </row>
    <row r="17" spans="2:54" s="158" customFormat="1">
      <c r="B17" s="449" t="s">
        <v>329</v>
      </c>
      <c r="C17" s="220"/>
      <c r="D17" s="544">
        <v>0</v>
      </c>
      <c r="E17" s="545">
        <v>0</v>
      </c>
      <c r="F17" s="545">
        <v>0</v>
      </c>
      <c r="G17" s="545">
        <v>7.26</v>
      </c>
      <c r="H17" s="545">
        <v>0</v>
      </c>
      <c r="I17" s="545">
        <v>0</v>
      </c>
      <c r="J17" s="545">
        <v>7.26</v>
      </c>
      <c r="K17" s="545">
        <v>1.69</v>
      </c>
      <c r="L17" s="545">
        <v>0</v>
      </c>
      <c r="M17" s="545">
        <v>0</v>
      </c>
      <c r="N17" s="545">
        <v>0</v>
      </c>
      <c r="O17" s="545">
        <v>34.79</v>
      </c>
      <c r="P17" s="545"/>
      <c r="Q17" s="620"/>
      <c r="R17" s="546">
        <v>0</v>
      </c>
      <c r="T17" s="437">
        <v>184.09132648983291</v>
      </c>
      <c r="U17" s="440">
        <v>0</v>
      </c>
      <c r="V17" s="440">
        <v>0</v>
      </c>
      <c r="W17" s="440">
        <v>1467338.0455547343</v>
      </c>
      <c r="X17" s="440">
        <v>0</v>
      </c>
      <c r="Y17" s="440">
        <v>0</v>
      </c>
      <c r="Z17" s="440">
        <v>1363210.8776693761</v>
      </c>
      <c r="AA17" s="440">
        <v>2579484.0260986136</v>
      </c>
      <c r="AB17" s="440">
        <v>0</v>
      </c>
      <c r="AC17" s="440">
        <v>0</v>
      </c>
      <c r="AD17" s="440">
        <v>0</v>
      </c>
      <c r="AE17" s="440">
        <v>2154.6059818268682</v>
      </c>
      <c r="AF17" s="440">
        <v>0</v>
      </c>
      <c r="AG17" s="612">
        <v>0</v>
      </c>
      <c r="AH17" s="441">
        <v>0</v>
      </c>
      <c r="AJ17" s="754">
        <f>IF('Prop DUOS'!$E$69="cents",D17/100,D17)*IF('Prop DUOS'!$E$71="day",T17*'Prop DUOS'!$D$77,T17)</f>
        <v>0</v>
      </c>
      <c r="AK17" s="755">
        <f>IF('Prop DUOS'!F$69="cents",E17/100,E17)*U17</f>
        <v>0</v>
      </c>
      <c r="AL17" s="755">
        <f>IF('Prop DUOS'!G$69="cents",F17/100,F17)*V17</f>
        <v>0</v>
      </c>
      <c r="AM17" s="755">
        <f>IF('Prop DUOS'!H$69="cents",G17/100,G17)*W17</f>
        <v>106528.74210727371</v>
      </c>
      <c r="AN17" s="755">
        <f>IF('Prop DUOS'!I$69="cents",H17/100,H17)*X17</f>
        <v>0</v>
      </c>
      <c r="AO17" s="755">
        <f>IF('Prop DUOS'!J$69="cents",I17/100,I17)*Y17</f>
        <v>0</v>
      </c>
      <c r="AP17" s="755">
        <f>IF('Prop DUOS'!K$69="cents",J17/100,J17)*Z17</f>
        <v>98969.109718796695</v>
      </c>
      <c r="AQ17" s="755">
        <f>IF('Prop DUOS'!L$69="cents",K17/100,K17)*AA17</f>
        <v>43593.280041066566</v>
      </c>
      <c r="AR17" s="755">
        <f>IF('Prop DUOS'!M$69="cents",L17/100,L17)*AB17</f>
        <v>0</v>
      </c>
      <c r="AS17" s="755">
        <f>IF('Prop DUOS'!N$69="cents",M17/100,M17)*AC17</f>
        <v>0</v>
      </c>
      <c r="AT17" s="755">
        <f>IF('Prop DUOS'!O$69="cents",N17/100,N17)*IF('Prop DUOS'!O$71="day",AD17*'Prop DUOS'!$D$77,IF('Prop DUOS'!O$71="month",AD17*12,AD17))</f>
        <v>0</v>
      </c>
      <c r="AU17" s="755">
        <f>IF('Prop DUOS'!P$69="cents",O17/100,O17)*IF('Prop DUOS'!P$71="day",AE17*'Prop DUOS'!$D$77,IF('Prop DUOS'!P$71="month",AE17*12,AE17))</f>
        <v>135675.32321503971</v>
      </c>
      <c r="AV17" s="755">
        <f>IF('Prop DUOS'!Q$69="cents",P17/100,P17)*IF('Prop DUOS'!Q$71="day",AF17*'Prop DUOS'!$D$77,IF('Prop DUOS'!Q$71="month",AF17*12,AF17))</f>
        <v>0</v>
      </c>
      <c r="AW17" s="755">
        <f>IF('Prop DUOS'!R$69="cents",Q17/100,Q17)*IF('Prop DUOS'!R$71="day",AG17*'Prop DUOS'!$D$77,IF('Prop DUOS'!R$71="month",AG17*12,AG17))</f>
        <v>0</v>
      </c>
      <c r="AX17" s="755">
        <f>IF('Prop DUOS'!S$69="cents",R17/100,R17)*IF('Prop DUOS'!S$71="day",AH17*'Prop DUOS'!$D$77,IF('Prop DUOS'!S$71="month",AH17*12,AH17))</f>
        <v>0</v>
      </c>
      <c r="AY17" s="743">
        <f t="shared" si="0"/>
        <v>384766.45508217672</v>
      </c>
      <c r="BB17" s="724"/>
    </row>
    <row r="18" spans="2:54" s="158" customFormat="1">
      <c r="B18" s="449" t="s">
        <v>330</v>
      </c>
      <c r="C18" s="220"/>
      <c r="D18" s="544">
        <v>0</v>
      </c>
      <c r="E18" s="545">
        <v>0</v>
      </c>
      <c r="F18" s="545">
        <v>0</v>
      </c>
      <c r="G18" s="545">
        <v>5.91</v>
      </c>
      <c r="H18" s="545">
        <v>0</v>
      </c>
      <c r="I18" s="545">
        <v>0</v>
      </c>
      <c r="J18" s="545">
        <v>5.91</v>
      </c>
      <c r="K18" s="545">
        <v>1.34</v>
      </c>
      <c r="L18" s="545">
        <v>0</v>
      </c>
      <c r="M18" s="545">
        <v>0</v>
      </c>
      <c r="N18" s="545">
        <v>0</v>
      </c>
      <c r="O18" s="545">
        <v>52.1</v>
      </c>
      <c r="P18" s="545"/>
      <c r="Q18" s="620"/>
      <c r="R18" s="546">
        <v>0</v>
      </c>
      <c r="T18" s="437">
        <v>15.007445094279857</v>
      </c>
      <c r="U18" s="440">
        <v>0</v>
      </c>
      <c r="V18" s="440">
        <v>0</v>
      </c>
      <c r="W18" s="440">
        <v>19702.965516851335</v>
      </c>
      <c r="X18" s="440">
        <v>0</v>
      </c>
      <c r="Y18" s="440">
        <v>0</v>
      </c>
      <c r="Z18" s="440">
        <v>29910.390410208027</v>
      </c>
      <c r="AA18" s="440">
        <v>52406.070065336957</v>
      </c>
      <c r="AB18" s="440">
        <v>0</v>
      </c>
      <c r="AC18" s="440">
        <v>0</v>
      </c>
      <c r="AD18" s="440">
        <v>0</v>
      </c>
      <c r="AE18" s="440">
        <v>41.813557402395517</v>
      </c>
      <c r="AF18" s="440">
        <v>0</v>
      </c>
      <c r="AG18" s="612">
        <v>0</v>
      </c>
      <c r="AH18" s="441">
        <v>0</v>
      </c>
      <c r="AJ18" s="754">
        <f>IF('Prop DUOS'!$E$69="cents",D18/100,D18)*IF('Prop DUOS'!$E$71="day",T18*'Prop DUOS'!$D$77,T18)</f>
        <v>0</v>
      </c>
      <c r="AK18" s="755">
        <f>IF('Prop DUOS'!F$69="cents",E18/100,E18)*U18</f>
        <v>0</v>
      </c>
      <c r="AL18" s="755">
        <f>IF('Prop DUOS'!G$69="cents",F18/100,F18)*V18</f>
        <v>0</v>
      </c>
      <c r="AM18" s="755">
        <f>IF('Prop DUOS'!H$69="cents",G18/100,G18)*W18</f>
        <v>1164.445262045914</v>
      </c>
      <c r="AN18" s="755">
        <f>IF('Prop DUOS'!I$69="cents",H18/100,H18)*X18</f>
        <v>0</v>
      </c>
      <c r="AO18" s="755">
        <f>IF('Prop DUOS'!J$69="cents",I18/100,I18)*Y18</f>
        <v>0</v>
      </c>
      <c r="AP18" s="755">
        <f>IF('Prop DUOS'!K$69="cents",J18/100,J18)*Z18</f>
        <v>1767.7040732432945</v>
      </c>
      <c r="AQ18" s="755">
        <f>IF('Prop DUOS'!L$69="cents",K18/100,K18)*AA18</f>
        <v>702.24133887551523</v>
      </c>
      <c r="AR18" s="755">
        <f>IF('Prop DUOS'!M$69="cents",L18/100,L18)*AB18</f>
        <v>0</v>
      </c>
      <c r="AS18" s="755">
        <f>IF('Prop DUOS'!N$69="cents",M18/100,M18)*AC18</f>
        <v>0</v>
      </c>
      <c r="AT18" s="755">
        <f>IF('Prop DUOS'!O$69="cents",N18/100,N18)*IF('Prop DUOS'!O$71="day",AD18*'Prop DUOS'!$D$77,IF('Prop DUOS'!O$71="month",AD18*12,AD18))</f>
        <v>0</v>
      </c>
      <c r="AU18" s="755">
        <f>IF('Prop DUOS'!P$69="cents",O18/100,O18)*IF('Prop DUOS'!P$71="day",AE18*'Prop DUOS'!$D$77,IF('Prop DUOS'!P$71="month",AE18*12,AE18))</f>
        <v>3943.0602766032998</v>
      </c>
      <c r="AV18" s="755">
        <f>IF('Prop DUOS'!Q$69="cents",P18/100,P18)*IF('Prop DUOS'!Q$71="day",AF18*'Prop DUOS'!$D$77,IF('Prop DUOS'!Q$71="month",AF18*12,AF18))</f>
        <v>0</v>
      </c>
      <c r="AW18" s="755">
        <f>IF('Prop DUOS'!R$69="cents",Q18/100,Q18)*IF('Prop DUOS'!R$71="day",AG18*'Prop DUOS'!$D$77,IF('Prop DUOS'!R$71="month",AG18*12,AG18))</f>
        <v>0</v>
      </c>
      <c r="AX18" s="755">
        <f>IF('Prop DUOS'!S$69="cents",R18/100,R18)*IF('Prop DUOS'!S$71="day",AH18*'Prop DUOS'!$D$77,IF('Prop DUOS'!S$71="month",AH18*12,AH18))</f>
        <v>0</v>
      </c>
      <c r="AY18" s="743">
        <f t="shared" si="0"/>
        <v>7577.4509507680232</v>
      </c>
      <c r="BB18" s="724"/>
    </row>
    <row r="19" spans="2:54" s="158" customFormat="1">
      <c r="B19" s="449" t="s">
        <v>331</v>
      </c>
      <c r="C19" s="220"/>
      <c r="D19" s="544">
        <v>0</v>
      </c>
      <c r="E19" s="545">
        <v>0</v>
      </c>
      <c r="F19" s="545">
        <v>0</v>
      </c>
      <c r="G19" s="545">
        <v>1.24</v>
      </c>
      <c r="H19" s="545">
        <v>0</v>
      </c>
      <c r="I19" s="545">
        <v>0</v>
      </c>
      <c r="J19" s="545">
        <v>1.24</v>
      </c>
      <c r="K19" s="545">
        <v>1.04</v>
      </c>
      <c r="L19" s="545">
        <v>0</v>
      </c>
      <c r="M19" s="545">
        <v>0</v>
      </c>
      <c r="N19" s="545">
        <v>12.47</v>
      </c>
      <c r="O19" s="545">
        <v>18.64</v>
      </c>
      <c r="P19" s="545">
        <v>0</v>
      </c>
      <c r="Q19" s="620">
        <v>0</v>
      </c>
      <c r="R19" s="546">
        <v>0</v>
      </c>
      <c r="T19" s="437">
        <v>2990.4835591201668</v>
      </c>
      <c r="U19" s="440">
        <v>0</v>
      </c>
      <c r="V19" s="440">
        <v>0</v>
      </c>
      <c r="W19" s="440">
        <v>264766533.82841039</v>
      </c>
      <c r="X19" s="440">
        <v>0</v>
      </c>
      <c r="Y19" s="440">
        <v>0</v>
      </c>
      <c r="Z19" s="440">
        <v>249154719.5247803</v>
      </c>
      <c r="AA19" s="440">
        <v>608652762.28100646</v>
      </c>
      <c r="AB19" s="440">
        <v>0</v>
      </c>
      <c r="AC19" s="440">
        <v>0</v>
      </c>
      <c r="AD19" s="440">
        <v>876782.3725837149</v>
      </c>
      <c r="AE19" s="440">
        <v>311412.56295965891</v>
      </c>
      <c r="AF19" s="440">
        <v>0</v>
      </c>
      <c r="AG19" s="612">
        <v>0</v>
      </c>
      <c r="AH19" s="441">
        <v>0</v>
      </c>
      <c r="AJ19" s="754">
        <f>IF('Prop DUOS'!$E$69="cents",D19/100,D19)*IF('Prop DUOS'!$E$71="day",T19*'Prop DUOS'!$D$77,T19)</f>
        <v>0</v>
      </c>
      <c r="AK19" s="755">
        <f>IF('Prop DUOS'!F$69="cents",E19/100,E19)*U19</f>
        <v>0</v>
      </c>
      <c r="AL19" s="755">
        <f>IF('Prop DUOS'!G$69="cents",F19/100,F19)*V19</f>
        <v>0</v>
      </c>
      <c r="AM19" s="755">
        <f>IF('Prop DUOS'!H$69="cents",G19/100,G19)*W19</f>
        <v>3283105.0194722889</v>
      </c>
      <c r="AN19" s="755">
        <f>IF('Prop DUOS'!I$69="cents",H19/100,H19)*X19</f>
        <v>0</v>
      </c>
      <c r="AO19" s="755">
        <f>IF('Prop DUOS'!J$69="cents",I19/100,I19)*Y19</f>
        <v>0</v>
      </c>
      <c r="AP19" s="755">
        <f>IF('Prop DUOS'!K$69="cents",J19/100,J19)*Z19</f>
        <v>3089518.5221072757</v>
      </c>
      <c r="AQ19" s="755">
        <f>IF('Prop DUOS'!L$69="cents",K19/100,K19)*AA19</f>
        <v>6329988.7277224669</v>
      </c>
      <c r="AR19" s="755">
        <f>IF('Prop DUOS'!M$69="cents",L19/100,L19)*AB19</f>
        <v>0</v>
      </c>
      <c r="AS19" s="755">
        <f>IF('Prop DUOS'!N$69="cents",M19/100,M19)*AC19</f>
        <v>0</v>
      </c>
      <c r="AT19" s="755">
        <f>IF('Prop DUOS'!O$69="cents",N19/100,N19)*IF('Prop DUOS'!O$71="day",AD19*'Prop DUOS'!$D$77,IF('Prop DUOS'!O$71="month",AD19*12,AD19))</f>
        <v>19789591.896875255</v>
      </c>
      <c r="AU19" s="755">
        <f>IF('Prop DUOS'!P$69="cents",O19/100,O19)*IF('Prop DUOS'!P$71="day",AE19*'Prop DUOS'!$D$77,IF('Prop DUOS'!P$71="month",AE19*12,AE19))</f>
        <v>10506561.614158157</v>
      </c>
      <c r="AV19" s="755">
        <f>IF('Prop DUOS'!Q$69="cents",P19/100,P19)*IF('Prop DUOS'!Q$71="day",AF19*'Prop DUOS'!$D$77,IF('Prop DUOS'!Q$71="month",AF19*12,AF19))</f>
        <v>0</v>
      </c>
      <c r="AW19" s="755">
        <f>IF('Prop DUOS'!R$69="cents",Q19/100,Q19)*IF('Prop DUOS'!R$71="day",AG19*'Prop DUOS'!$D$77,IF('Prop DUOS'!R$71="month",AG19*12,AG19))</f>
        <v>0</v>
      </c>
      <c r="AX19" s="755">
        <f>IF('Prop DUOS'!S$69="cents",R19/100,R19)*IF('Prop DUOS'!S$71="day",AH19*'Prop DUOS'!$D$77,IF('Prop DUOS'!S$71="month",AH19*12,AH19))</f>
        <v>0</v>
      </c>
      <c r="AY19" s="743">
        <f t="shared" si="0"/>
        <v>42998765.780335441</v>
      </c>
      <c r="BB19" s="724"/>
    </row>
    <row r="20" spans="2:54" s="158" customFormat="1">
      <c r="B20" s="449" t="s">
        <v>332</v>
      </c>
      <c r="C20" s="220"/>
      <c r="D20" s="544">
        <v>0</v>
      </c>
      <c r="E20" s="545">
        <v>0</v>
      </c>
      <c r="F20" s="545">
        <v>0</v>
      </c>
      <c r="G20" s="545">
        <v>0.74</v>
      </c>
      <c r="H20" s="545">
        <v>0</v>
      </c>
      <c r="I20" s="545">
        <v>0</v>
      </c>
      <c r="J20" s="545">
        <v>0.74</v>
      </c>
      <c r="K20" s="545">
        <v>0.64</v>
      </c>
      <c r="L20" s="545">
        <v>0</v>
      </c>
      <c r="M20" s="545">
        <v>0</v>
      </c>
      <c r="N20" s="545">
        <v>7.49</v>
      </c>
      <c r="O20" s="545">
        <v>10.29</v>
      </c>
      <c r="P20" s="545">
        <v>0</v>
      </c>
      <c r="Q20" s="620">
        <v>0</v>
      </c>
      <c r="R20" s="546">
        <v>0</v>
      </c>
      <c r="T20" s="437">
        <v>99.546961325966848</v>
      </c>
      <c r="U20" s="440">
        <v>0</v>
      </c>
      <c r="V20" s="440">
        <v>0</v>
      </c>
      <c r="W20" s="440">
        <v>104444858.81358697</v>
      </c>
      <c r="X20" s="440">
        <v>0</v>
      </c>
      <c r="Y20" s="440">
        <v>0</v>
      </c>
      <c r="Z20" s="440">
        <v>104799686.74907821</v>
      </c>
      <c r="AA20" s="440">
        <v>324542942.21344072</v>
      </c>
      <c r="AB20" s="440">
        <v>0</v>
      </c>
      <c r="AC20" s="440">
        <v>0</v>
      </c>
      <c r="AD20" s="440">
        <v>282904.68509821675</v>
      </c>
      <c r="AE20" s="440">
        <v>108559.6052980422</v>
      </c>
      <c r="AF20" s="440">
        <v>0</v>
      </c>
      <c r="AG20" s="612">
        <v>0</v>
      </c>
      <c r="AH20" s="441">
        <v>0</v>
      </c>
      <c r="AJ20" s="754">
        <f>IF('Prop DUOS'!$E$69="cents",D20/100,D20)*IF('Prop DUOS'!$E$71="day",T20*'Prop DUOS'!$D$77,T20)</f>
        <v>0</v>
      </c>
      <c r="AK20" s="755">
        <f>IF('Prop DUOS'!F$69="cents",E20/100,E20)*U20</f>
        <v>0</v>
      </c>
      <c r="AL20" s="755">
        <f>IF('Prop DUOS'!G$69="cents",F20/100,F20)*V20</f>
        <v>0</v>
      </c>
      <c r="AM20" s="755">
        <f>IF('Prop DUOS'!H$69="cents",G20/100,G20)*W20</f>
        <v>772891.95522054355</v>
      </c>
      <c r="AN20" s="755">
        <f>IF('Prop DUOS'!I$69="cents",H20/100,H20)*X20</f>
        <v>0</v>
      </c>
      <c r="AO20" s="755">
        <f>IF('Prop DUOS'!J$69="cents",I20/100,I20)*Y20</f>
        <v>0</v>
      </c>
      <c r="AP20" s="755">
        <f>IF('Prop DUOS'!K$69="cents",J20/100,J20)*Z20</f>
        <v>775517.68194317888</v>
      </c>
      <c r="AQ20" s="755">
        <f>IF('Prop DUOS'!L$69="cents",K20/100,K20)*AA20</f>
        <v>2077074.8301660207</v>
      </c>
      <c r="AR20" s="755">
        <f>IF('Prop DUOS'!M$69="cents",L20/100,L20)*AB20</f>
        <v>0</v>
      </c>
      <c r="AS20" s="755">
        <f>IF('Prop DUOS'!N$69="cents",M20/100,M20)*AC20</f>
        <v>0</v>
      </c>
      <c r="AT20" s="755">
        <f>IF('Prop DUOS'!O$69="cents",N20/100,N20)*IF('Prop DUOS'!O$71="day",AD20*'Prop DUOS'!$D$77,IF('Prop DUOS'!O$71="month",AD20*12,AD20))</f>
        <v>3835310.5254080151</v>
      </c>
      <c r="AU20" s="755">
        <f>IF('Prop DUOS'!P$69="cents",O20/100,O20)*IF('Prop DUOS'!P$71="day",AE20*'Prop DUOS'!$D$77,IF('Prop DUOS'!P$71="month",AE20*12,AE20))</f>
        <v>2021911.7927155059</v>
      </c>
      <c r="AV20" s="755">
        <f>IF('Prop DUOS'!Q$69="cents",P20/100,P20)*IF('Prop DUOS'!Q$71="day",AF20*'Prop DUOS'!$D$77,IF('Prop DUOS'!Q$71="month",AF20*12,AF20))</f>
        <v>0</v>
      </c>
      <c r="AW20" s="755">
        <f>IF('Prop DUOS'!R$69="cents",Q20/100,Q20)*IF('Prop DUOS'!R$71="day",AG20*'Prop DUOS'!$D$77,IF('Prop DUOS'!R$71="month",AG20*12,AG20))</f>
        <v>0</v>
      </c>
      <c r="AX20" s="755">
        <f>IF('Prop DUOS'!S$69="cents",R20/100,R20)*IF('Prop DUOS'!S$71="day",AH20*'Prop DUOS'!$D$77,IF('Prop DUOS'!S$71="month",AH20*12,AH20))</f>
        <v>0</v>
      </c>
      <c r="AY20" s="743">
        <f t="shared" si="0"/>
        <v>9482706.7854532655</v>
      </c>
      <c r="BB20" s="724"/>
    </row>
    <row r="21" spans="2:54" s="158" customFormat="1">
      <c r="B21" s="449" t="s">
        <v>333</v>
      </c>
      <c r="C21" s="220"/>
      <c r="D21" s="544">
        <v>0</v>
      </c>
      <c r="E21" s="545">
        <v>0</v>
      </c>
      <c r="F21" s="545">
        <v>0</v>
      </c>
      <c r="G21" s="545">
        <v>0.43</v>
      </c>
      <c r="H21" s="545">
        <v>0</v>
      </c>
      <c r="I21" s="545">
        <v>0</v>
      </c>
      <c r="J21" s="545">
        <v>0.43</v>
      </c>
      <c r="K21" s="545">
        <v>0.29000000000000004</v>
      </c>
      <c r="L21" s="545">
        <v>0</v>
      </c>
      <c r="M21" s="545">
        <v>0</v>
      </c>
      <c r="N21" s="545">
        <v>0.76</v>
      </c>
      <c r="O21" s="545">
        <v>1.1000000000000001</v>
      </c>
      <c r="P21" s="545">
        <v>0</v>
      </c>
      <c r="Q21" s="620">
        <v>0</v>
      </c>
      <c r="R21" s="546">
        <v>0</v>
      </c>
      <c r="T21" s="437">
        <v>1.0055248618784531</v>
      </c>
      <c r="U21" s="440">
        <v>0</v>
      </c>
      <c r="V21" s="440">
        <v>0</v>
      </c>
      <c r="W21" s="440">
        <v>3651496.6607272844</v>
      </c>
      <c r="X21" s="440">
        <v>0</v>
      </c>
      <c r="Y21" s="440">
        <v>0</v>
      </c>
      <c r="Z21" s="440">
        <v>3565697.1587428786</v>
      </c>
      <c r="AA21" s="440">
        <v>5677232.8560057655</v>
      </c>
      <c r="AB21" s="440">
        <v>0</v>
      </c>
      <c r="AC21" s="440">
        <v>0</v>
      </c>
      <c r="AD21" s="440">
        <v>11095.000395241932</v>
      </c>
      <c r="AE21" s="440">
        <v>3870.844297341459</v>
      </c>
      <c r="AF21" s="440">
        <v>0</v>
      </c>
      <c r="AG21" s="612">
        <v>0</v>
      </c>
      <c r="AH21" s="441">
        <v>0</v>
      </c>
      <c r="AJ21" s="754">
        <f>IF('Prop DUOS'!$E$69="cents",D21/100,D21)*IF('Prop DUOS'!$E$71="day",T21*'Prop DUOS'!$D$77,T21)</f>
        <v>0</v>
      </c>
      <c r="AK21" s="755">
        <f>IF('Prop DUOS'!F$69="cents",E21/100,E21)*U21</f>
        <v>0</v>
      </c>
      <c r="AL21" s="755">
        <f>IF('Prop DUOS'!G$69="cents",F21/100,F21)*V21</f>
        <v>0</v>
      </c>
      <c r="AM21" s="755">
        <f>IF('Prop DUOS'!H$69="cents",G21/100,G21)*W21</f>
        <v>15701.435641127322</v>
      </c>
      <c r="AN21" s="755">
        <f>IF('Prop DUOS'!I$69="cents",H21/100,H21)*X21</f>
        <v>0</v>
      </c>
      <c r="AO21" s="755">
        <f>IF('Prop DUOS'!J$69="cents",I21/100,I21)*Y21</f>
        <v>0</v>
      </c>
      <c r="AP21" s="755">
        <f>IF('Prop DUOS'!K$69="cents",J21/100,J21)*Z21</f>
        <v>15332.497782594379</v>
      </c>
      <c r="AQ21" s="755">
        <f>IF('Prop DUOS'!L$69="cents",K21/100,K21)*AA21</f>
        <v>16463.975282416723</v>
      </c>
      <c r="AR21" s="755">
        <f>IF('Prop DUOS'!M$69="cents",L21/100,L21)*AB21</f>
        <v>0</v>
      </c>
      <c r="AS21" s="755">
        <f>IF('Prop DUOS'!N$69="cents",M21/100,M21)*AC21</f>
        <v>0</v>
      </c>
      <c r="AT21" s="755">
        <f>IF('Prop DUOS'!O$69="cents",N21/100,N21)*IF('Prop DUOS'!O$71="day",AD21*'Prop DUOS'!$D$77,IF('Prop DUOS'!O$71="month",AD21*12,AD21))</f>
        <v>15262.282543694801</v>
      </c>
      <c r="AU21" s="755">
        <f>IF('Prop DUOS'!P$69="cents",O21/100,O21)*IF('Prop DUOS'!P$71="day",AE21*'Prop DUOS'!$D$77,IF('Prop DUOS'!P$71="month",AE21*12,AE21))</f>
        <v>7706.8509960068459</v>
      </c>
      <c r="AV21" s="755">
        <f>IF('Prop DUOS'!Q$69="cents",P21/100,P21)*IF('Prop DUOS'!Q$71="day",AF21*'Prop DUOS'!$D$77,IF('Prop DUOS'!Q$71="month",AF21*12,AF21))</f>
        <v>0</v>
      </c>
      <c r="AW21" s="755">
        <f>IF('Prop DUOS'!R$69="cents",Q21/100,Q21)*IF('Prop DUOS'!R$71="day",AG21*'Prop DUOS'!$D$77,IF('Prop DUOS'!R$71="month",AG21*12,AG21))</f>
        <v>0</v>
      </c>
      <c r="AX21" s="755">
        <f>IF('Prop DUOS'!S$69="cents",R21/100,R21)*IF('Prop DUOS'!S$71="day",AH21*'Prop DUOS'!$D$77,IF('Prop DUOS'!S$71="month",AH21*12,AH21))</f>
        <v>0</v>
      </c>
      <c r="AY21" s="743">
        <f t="shared" si="0"/>
        <v>70467.042245840072</v>
      </c>
      <c r="BB21" s="724"/>
    </row>
    <row r="22" spans="2:54" s="158" customFormat="1">
      <c r="B22" s="449" t="s">
        <v>334</v>
      </c>
      <c r="C22" s="220"/>
      <c r="D22" s="544">
        <v>10.95</v>
      </c>
      <c r="E22" s="545">
        <v>0</v>
      </c>
      <c r="F22" s="545">
        <v>3.37</v>
      </c>
      <c r="G22" s="545">
        <v>10.62</v>
      </c>
      <c r="H22" s="545">
        <v>0</v>
      </c>
      <c r="I22" s="545">
        <v>0</v>
      </c>
      <c r="J22" s="545">
        <v>10.62</v>
      </c>
      <c r="K22" s="545">
        <v>2.79</v>
      </c>
      <c r="L22" s="545">
        <v>3.37</v>
      </c>
      <c r="M22" s="545">
        <v>0</v>
      </c>
      <c r="N22" s="545">
        <v>0</v>
      </c>
      <c r="O22" s="545">
        <v>0</v>
      </c>
      <c r="P22" s="545">
        <v>0</v>
      </c>
      <c r="Q22" s="620">
        <v>0</v>
      </c>
      <c r="R22" s="546">
        <v>0</v>
      </c>
      <c r="T22" s="437">
        <v>43126.366144657382</v>
      </c>
      <c r="U22" s="440">
        <v>0</v>
      </c>
      <c r="V22" s="440">
        <v>7925776.4394278461</v>
      </c>
      <c r="W22" s="440">
        <v>13849969.816743661</v>
      </c>
      <c r="X22" s="440">
        <v>0</v>
      </c>
      <c r="Y22" s="440">
        <v>0</v>
      </c>
      <c r="Z22" s="440">
        <v>17976843.687074248</v>
      </c>
      <c r="AA22" s="440">
        <v>53726166.128976628</v>
      </c>
      <c r="AB22" s="440">
        <v>10287419.108887965</v>
      </c>
      <c r="AC22" s="440">
        <v>0</v>
      </c>
      <c r="AD22" s="440">
        <v>0</v>
      </c>
      <c r="AE22" s="440">
        <v>0</v>
      </c>
      <c r="AF22" s="440">
        <v>0</v>
      </c>
      <c r="AG22" s="612">
        <v>0</v>
      </c>
      <c r="AH22" s="441">
        <v>0</v>
      </c>
      <c r="AJ22" s="754">
        <f>IF('Prop DUOS'!$E$69="cents",D22/100,D22)*IF('Prop DUOS'!$E$71="day",T22*'Prop DUOS'!$D$77,T22)</f>
        <v>854743.01380403689</v>
      </c>
      <c r="AK22" s="755">
        <f>IF('Prop DUOS'!F$69="cents",E22/100,E22)*U22</f>
        <v>0</v>
      </c>
      <c r="AL22" s="755">
        <f>IF('Prop DUOS'!G$69="cents",F22/100,F22)*V22</f>
        <v>267098.66600871843</v>
      </c>
      <c r="AM22" s="755">
        <f>IF('Prop DUOS'!H$69="cents",G22/100,G22)*W22</f>
        <v>1470866.7945381766</v>
      </c>
      <c r="AN22" s="755">
        <f>IF('Prop DUOS'!I$69="cents",H22/100,H22)*X22</f>
        <v>0</v>
      </c>
      <c r="AO22" s="755">
        <f>IF('Prop DUOS'!J$69="cents",I22/100,I22)*Y22</f>
        <v>0</v>
      </c>
      <c r="AP22" s="755">
        <f>IF('Prop DUOS'!K$69="cents",J22/100,J22)*Z22</f>
        <v>1909140.799567285</v>
      </c>
      <c r="AQ22" s="755">
        <f>IF('Prop DUOS'!L$69="cents",K22/100,K22)*AA22</f>
        <v>1498960.0349984481</v>
      </c>
      <c r="AR22" s="755">
        <f>IF('Prop DUOS'!M$69="cents",L22/100,L22)*AB22</f>
        <v>346686.02396952442</v>
      </c>
      <c r="AS22" s="755">
        <f>IF('Prop DUOS'!N$69="cents",M22/100,M22)*AC22</f>
        <v>0</v>
      </c>
      <c r="AT22" s="755">
        <f>IF('Prop DUOS'!O$69="cents",N22/100,N22)*IF('Prop DUOS'!O$71="day",AD22*'Prop DUOS'!$D$77,IF('Prop DUOS'!O$71="month",AD22*12,AD22))</f>
        <v>0</v>
      </c>
      <c r="AU22" s="755">
        <f>IF('Prop DUOS'!P$69="cents",O22/100,O22)*IF('Prop DUOS'!P$71="day",AE22*'Prop DUOS'!$D$77,IF('Prop DUOS'!P$71="month",AE22*12,AE22))</f>
        <v>0</v>
      </c>
      <c r="AV22" s="755">
        <f>IF('Prop DUOS'!Q$69="cents",P22/100,P22)*IF('Prop DUOS'!Q$71="day",AF22*'Prop DUOS'!$D$77,IF('Prop DUOS'!Q$71="month",AF22*12,AF22))</f>
        <v>0</v>
      </c>
      <c r="AW22" s="755">
        <f>IF('Prop DUOS'!R$69="cents",Q22/100,Q22)*IF('Prop DUOS'!R$71="day",AG22*'Prop DUOS'!$D$77,IF('Prop DUOS'!R$71="month",AG22*12,AG22))</f>
        <v>0</v>
      </c>
      <c r="AX22" s="755">
        <f>IF('Prop DUOS'!S$69="cents",R22/100,R22)*IF('Prop DUOS'!S$71="day",AH22*'Prop DUOS'!$D$77,IF('Prop DUOS'!S$71="month",AH22*12,AH22))</f>
        <v>0</v>
      </c>
      <c r="AY22" s="743">
        <f t="shared" si="0"/>
        <v>6347495.3328861902</v>
      </c>
      <c r="BB22" s="724"/>
    </row>
    <row r="23" spans="2:54" s="158" customFormat="1">
      <c r="B23" s="449" t="s">
        <v>335</v>
      </c>
      <c r="C23" s="220"/>
      <c r="D23" s="544">
        <v>10.95</v>
      </c>
      <c r="E23" s="545">
        <v>0</v>
      </c>
      <c r="F23" s="545">
        <v>3.86</v>
      </c>
      <c r="G23" s="545">
        <v>10.69</v>
      </c>
      <c r="H23" s="545">
        <v>0</v>
      </c>
      <c r="I23" s="545">
        <v>0</v>
      </c>
      <c r="J23" s="545">
        <v>10.69</v>
      </c>
      <c r="K23" s="545">
        <v>3.42</v>
      </c>
      <c r="L23" s="545">
        <v>3.86</v>
      </c>
      <c r="M23" s="545">
        <v>0</v>
      </c>
      <c r="N23" s="545">
        <v>0</v>
      </c>
      <c r="O23" s="545">
        <v>0</v>
      </c>
      <c r="P23" s="545">
        <v>0</v>
      </c>
      <c r="Q23" s="620">
        <v>0</v>
      </c>
      <c r="R23" s="546">
        <v>0</v>
      </c>
      <c r="T23" s="437">
        <v>3576.347590822535</v>
      </c>
      <c r="U23" s="440">
        <v>0</v>
      </c>
      <c r="V23" s="440">
        <v>491043.64741557912</v>
      </c>
      <c r="W23" s="440">
        <v>728361.14647642965</v>
      </c>
      <c r="X23" s="440">
        <v>0</v>
      </c>
      <c r="Y23" s="440">
        <v>0</v>
      </c>
      <c r="Z23" s="440">
        <v>1122233.5696906063</v>
      </c>
      <c r="AA23" s="440">
        <v>5007878.7734459853</v>
      </c>
      <c r="AB23" s="440">
        <v>756583.00553091592</v>
      </c>
      <c r="AC23" s="440">
        <v>0</v>
      </c>
      <c r="AD23" s="440">
        <v>0</v>
      </c>
      <c r="AE23" s="440">
        <v>0</v>
      </c>
      <c r="AF23" s="440">
        <v>0</v>
      </c>
      <c r="AG23" s="612">
        <v>0</v>
      </c>
      <c r="AH23" s="441">
        <v>0</v>
      </c>
      <c r="AJ23" s="754">
        <f>IF('Prop DUOS'!$E$69="cents",D23/100,D23)*IF('Prop DUOS'!$E$71="day",T23*'Prop DUOS'!$D$77,T23)</f>
        <v>70881.421076307219</v>
      </c>
      <c r="AK23" s="755">
        <f>IF('Prop DUOS'!F$69="cents",E23/100,E23)*U23</f>
        <v>0</v>
      </c>
      <c r="AL23" s="755">
        <f>IF('Prop DUOS'!G$69="cents",F23/100,F23)*V23</f>
        <v>18954.284790241352</v>
      </c>
      <c r="AM23" s="755">
        <f>IF('Prop DUOS'!H$69="cents",G23/100,G23)*W23</f>
        <v>77861.806558330325</v>
      </c>
      <c r="AN23" s="755">
        <f>IF('Prop DUOS'!I$69="cents",H23/100,H23)*X23</f>
        <v>0</v>
      </c>
      <c r="AO23" s="755">
        <f>IF('Prop DUOS'!J$69="cents",I23/100,I23)*Y23</f>
        <v>0</v>
      </c>
      <c r="AP23" s="755">
        <f>IF('Prop DUOS'!K$69="cents",J23/100,J23)*Z23</f>
        <v>119966.76859992581</v>
      </c>
      <c r="AQ23" s="755">
        <f>IF('Prop DUOS'!L$69="cents",K23/100,K23)*AA23</f>
        <v>171269.45405185269</v>
      </c>
      <c r="AR23" s="755">
        <f>IF('Prop DUOS'!M$69="cents",L23/100,L23)*AB23</f>
        <v>29204.10401349335</v>
      </c>
      <c r="AS23" s="755">
        <f>IF('Prop DUOS'!N$69="cents",M23/100,M23)*AC23</f>
        <v>0</v>
      </c>
      <c r="AT23" s="755">
        <f>IF('Prop DUOS'!O$69="cents",N23/100,N23)*IF('Prop DUOS'!O$71="day",AD23*'Prop DUOS'!$D$77,IF('Prop DUOS'!O$71="month",AD23*12,AD23))</f>
        <v>0</v>
      </c>
      <c r="AU23" s="755">
        <f>IF('Prop DUOS'!P$69="cents",O23/100,O23)*IF('Prop DUOS'!P$71="day",AE23*'Prop DUOS'!$D$77,IF('Prop DUOS'!P$71="month",AE23*12,AE23))</f>
        <v>0</v>
      </c>
      <c r="AV23" s="755">
        <f>IF('Prop DUOS'!Q$69="cents",P23/100,P23)*IF('Prop DUOS'!Q$71="day",AF23*'Prop DUOS'!$D$77,IF('Prop DUOS'!Q$71="month",AF23*12,AF23))</f>
        <v>0</v>
      </c>
      <c r="AW23" s="755">
        <f>IF('Prop DUOS'!R$69="cents",Q23/100,Q23)*IF('Prop DUOS'!R$71="day",AG23*'Prop DUOS'!$D$77,IF('Prop DUOS'!R$71="month",AG23*12,AG23))</f>
        <v>0</v>
      </c>
      <c r="AX23" s="755">
        <f>IF('Prop DUOS'!S$69="cents",R23/100,R23)*IF('Prop DUOS'!S$71="day",AH23*'Prop DUOS'!$D$77,IF('Prop DUOS'!S$71="month",AH23*12,AH23))</f>
        <v>0</v>
      </c>
      <c r="AY23" s="743">
        <f t="shared" si="0"/>
        <v>488137.83909015072</v>
      </c>
      <c r="BB23" s="724"/>
    </row>
    <row r="24" spans="2:54" s="158" customFormat="1">
      <c r="B24" s="449" t="s">
        <v>336</v>
      </c>
      <c r="C24" s="220"/>
      <c r="D24" s="544">
        <v>0</v>
      </c>
      <c r="E24" s="545">
        <v>0</v>
      </c>
      <c r="F24" s="545">
        <v>0</v>
      </c>
      <c r="G24" s="545">
        <v>6.92</v>
      </c>
      <c r="H24" s="545">
        <v>0</v>
      </c>
      <c r="I24" s="545">
        <v>0</v>
      </c>
      <c r="J24" s="545">
        <v>6.92</v>
      </c>
      <c r="K24" s="545">
        <v>2.0299999999999998</v>
      </c>
      <c r="L24" s="545">
        <v>0</v>
      </c>
      <c r="M24" s="545">
        <v>0</v>
      </c>
      <c r="N24" s="545">
        <v>0</v>
      </c>
      <c r="O24" s="545">
        <v>30.08</v>
      </c>
      <c r="P24" s="545"/>
      <c r="Q24" s="620">
        <v>0</v>
      </c>
      <c r="R24" s="546">
        <v>0</v>
      </c>
      <c r="T24" s="437">
        <v>806.40004973263763</v>
      </c>
      <c r="U24" s="440">
        <v>0</v>
      </c>
      <c r="V24" s="440">
        <v>0</v>
      </c>
      <c r="W24" s="440">
        <v>2976666.4033114938</v>
      </c>
      <c r="X24" s="440">
        <v>0</v>
      </c>
      <c r="Y24" s="440">
        <v>0</v>
      </c>
      <c r="Z24" s="440">
        <v>3471702.148983431</v>
      </c>
      <c r="AA24" s="440">
        <v>5305775.5548778065</v>
      </c>
      <c r="AB24" s="440">
        <v>0</v>
      </c>
      <c r="AC24" s="440">
        <v>0</v>
      </c>
      <c r="AD24" s="440">
        <v>0</v>
      </c>
      <c r="AE24" s="440">
        <v>4009.7071902581765</v>
      </c>
      <c r="AF24" s="440">
        <v>0</v>
      </c>
      <c r="AG24" s="612">
        <v>0</v>
      </c>
      <c r="AH24" s="441">
        <v>0</v>
      </c>
      <c r="AJ24" s="754">
        <f>IF('Prop DUOS'!$E$69="cents",D24/100,D24)*IF('Prop DUOS'!$E$71="day",T24*'Prop DUOS'!$D$77,T24)</f>
        <v>0</v>
      </c>
      <c r="AK24" s="755">
        <f>IF('Prop DUOS'!F$69="cents",E24/100,E24)*U24</f>
        <v>0</v>
      </c>
      <c r="AL24" s="755">
        <f>IF('Prop DUOS'!G$69="cents",F24/100,F24)*V24</f>
        <v>0</v>
      </c>
      <c r="AM24" s="755">
        <f>IF('Prop DUOS'!H$69="cents",G24/100,G24)*W24</f>
        <v>205985.31510915537</v>
      </c>
      <c r="AN24" s="755">
        <f>IF('Prop DUOS'!I$69="cents",H24/100,H24)*X24</f>
        <v>0</v>
      </c>
      <c r="AO24" s="755">
        <f>IF('Prop DUOS'!J$69="cents",I24/100,I24)*Y24</f>
        <v>0</v>
      </c>
      <c r="AP24" s="755">
        <f>IF('Prop DUOS'!K$69="cents",J24/100,J24)*Z24</f>
        <v>240241.78870965343</v>
      </c>
      <c r="AQ24" s="755">
        <f>IF('Prop DUOS'!L$69="cents",K24/100,K24)*AA24</f>
        <v>107707.24376401947</v>
      </c>
      <c r="AR24" s="755">
        <f>IF('Prop DUOS'!M$69="cents",L24/100,L24)*AB24</f>
        <v>0</v>
      </c>
      <c r="AS24" s="755">
        <f>IF('Prop DUOS'!N$69="cents",M24/100,M24)*AC24</f>
        <v>0</v>
      </c>
      <c r="AT24" s="755">
        <f>IF('Prop DUOS'!O$69="cents",N24/100,N24)*IF('Prop DUOS'!O$71="day",AD24*'Prop DUOS'!$D$77,IF('Prop DUOS'!O$71="month",AD24*12,AD24))</f>
        <v>0</v>
      </c>
      <c r="AU24" s="755">
        <f>IF('Prop DUOS'!P$69="cents",O24/100,O24)*IF('Prop DUOS'!P$71="day",AE24*'Prop DUOS'!$D$77,IF('Prop DUOS'!P$71="month",AE24*12,AE24))</f>
        <v>218307.70603216832</v>
      </c>
      <c r="AV24" s="755">
        <f>IF('Prop DUOS'!Q$69="cents",P24/100,P24)*IF('Prop DUOS'!Q$71="day",AF24*'Prop DUOS'!$D$77,IF('Prop DUOS'!Q$71="month",AF24*12,AF24))</f>
        <v>0</v>
      </c>
      <c r="AW24" s="755">
        <f>IF('Prop DUOS'!R$69="cents",Q24/100,Q24)*IF('Prop DUOS'!R$71="day",AG24*'Prop DUOS'!$D$77,IF('Prop DUOS'!R$71="month",AG24*12,AG24))</f>
        <v>0</v>
      </c>
      <c r="AX24" s="755">
        <f>IF('Prop DUOS'!S$69="cents",R24/100,R24)*IF('Prop DUOS'!S$71="day",AH24*'Prop DUOS'!$D$77,IF('Prop DUOS'!S$71="month",AH24*12,AH24))</f>
        <v>0</v>
      </c>
      <c r="AY24" s="743">
        <f t="shared" si="0"/>
        <v>772242.05361499661</v>
      </c>
      <c r="BB24" s="724"/>
    </row>
    <row r="25" spans="2:54" s="158" customFormat="1">
      <c r="B25" s="449" t="s">
        <v>337</v>
      </c>
      <c r="C25" s="220"/>
      <c r="D25" s="544">
        <v>10.95</v>
      </c>
      <c r="E25" s="545">
        <v>0</v>
      </c>
      <c r="F25" s="545">
        <v>4.05</v>
      </c>
      <c r="G25" s="545">
        <v>10.99</v>
      </c>
      <c r="H25" s="545">
        <v>0</v>
      </c>
      <c r="I25" s="545">
        <v>0</v>
      </c>
      <c r="J25" s="545">
        <v>10.99</v>
      </c>
      <c r="K25" s="545">
        <v>3.43</v>
      </c>
      <c r="L25" s="545">
        <v>4.05</v>
      </c>
      <c r="M25" s="545">
        <v>0</v>
      </c>
      <c r="N25" s="545">
        <v>0</v>
      </c>
      <c r="O25" s="545">
        <v>0</v>
      </c>
      <c r="P25" s="545">
        <v>0</v>
      </c>
      <c r="Q25" s="620">
        <v>0</v>
      </c>
      <c r="R25" s="546">
        <v>0</v>
      </c>
      <c r="T25" s="437">
        <v>1904.8926840069166</v>
      </c>
      <c r="U25" s="440">
        <v>0</v>
      </c>
      <c r="V25" s="440">
        <v>962788.32966170495</v>
      </c>
      <c r="W25" s="440">
        <v>469939.90352925833</v>
      </c>
      <c r="X25" s="440">
        <v>0</v>
      </c>
      <c r="Y25" s="440">
        <v>0</v>
      </c>
      <c r="Z25" s="440">
        <v>559294.1435940722</v>
      </c>
      <c r="AA25" s="440">
        <v>1649300.9690260014</v>
      </c>
      <c r="AB25" s="440">
        <v>1145852.6297862784</v>
      </c>
      <c r="AC25" s="440">
        <v>0</v>
      </c>
      <c r="AD25" s="440">
        <v>0</v>
      </c>
      <c r="AE25" s="440">
        <v>0</v>
      </c>
      <c r="AF25" s="440">
        <v>0</v>
      </c>
      <c r="AG25" s="612">
        <v>0</v>
      </c>
      <c r="AH25" s="441">
        <v>0</v>
      </c>
      <c r="AJ25" s="754">
        <f>IF('Prop DUOS'!$E$69="cents",D25/100,D25)*IF('Prop DUOS'!$E$71="day",T25*'Prop DUOS'!$D$77,T25)</f>
        <v>37754.020550675079</v>
      </c>
      <c r="AK25" s="755">
        <f>IF('Prop DUOS'!F$69="cents",E25/100,E25)*U25</f>
        <v>0</v>
      </c>
      <c r="AL25" s="755">
        <f>IF('Prop DUOS'!G$69="cents",F25/100,F25)*V25</f>
        <v>38992.927351299055</v>
      </c>
      <c r="AM25" s="755">
        <f>IF('Prop DUOS'!H$69="cents",G25/100,G25)*W25</f>
        <v>51646.39539786549</v>
      </c>
      <c r="AN25" s="755">
        <f>IF('Prop DUOS'!I$69="cents",H25/100,H25)*X25</f>
        <v>0</v>
      </c>
      <c r="AO25" s="755">
        <f>IF('Prop DUOS'!J$69="cents",I25/100,I25)*Y25</f>
        <v>0</v>
      </c>
      <c r="AP25" s="755">
        <f>IF('Prop DUOS'!K$69="cents",J25/100,J25)*Z25</f>
        <v>61466.426380988531</v>
      </c>
      <c r="AQ25" s="755">
        <f>IF('Prop DUOS'!L$69="cents",K25/100,K25)*AA25</f>
        <v>56571.023237591857</v>
      </c>
      <c r="AR25" s="755">
        <f>IF('Prop DUOS'!M$69="cents",L25/100,L25)*AB25</f>
        <v>46407.031506344276</v>
      </c>
      <c r="AS25" s="755">
        <f>IF('Prop DUOS'!N$69="cents",M25/100,M25)*AC25</f>
        <v>0</v>
      </c>
      <c r="AT25" s="755">
        <f>IF('Prop DUOS'!O$69="cents",N25/100,N25)*IF('Prop DUOS'!O$71="day",AD25*'Prop DUOS'!$D$77,IF('Prop DUOS'!O$71="month",AD25*12,AD25))</f>
        <v>0</v>
      </c>
      <c r="AU25" s="755">
        <f>IF('Prop DUOS'!P$69="cents",O25/100,O25)*IF('Prop DUOS'!P$71="day",AE25*'Prop DUOS'!$D$77,IF('Prop DUOS'!P$71="month",AE25*12,AE25))</f>
        <v>0</v>
      </c>
      <c r="AV25" s="755">
        <f>IF('Prop DUOS'!Q$69="cents",P25/100,P25)*IF('Prop DUOS'!Q$71="day",AF25*'Prop DUOS'!$D$77,IF('Prop DUOS'!Q$71="month",AF25*12,AF25))</f>
        <v>0</v>
      </c>
      <c r="AW25" s="755">
        <f>IF('Prop DUOS'!R$69="cents",Q25/100,Q25)*IF('Prop DUOS'!R$71="day",AG25*'Prop DUOS'!$D$77,IF('Prop DUOS'!R$71="month",AG25*12,AG25))</f>
        <v>0</v>
      </c>
      <c r="AX25" s="755">
        <f>IF('Prop DUOS'!S$69="cents",R25/100,R25)*IF('Prop DUOS'!S$71="day",AH25*'Prop DUOS'!$D$77,IF('Prop DUOS'!S$71="month",AH25*12,AH25))</f>
        <v>0</v>
      </c>
      <c r="AY25" s="743">
        <f t="shared" si="0"/>
        <v>292837.82442476426</v>
      </c>
      <c r="BB25" s="724"/>
    </row>
    <row r="26" spans="2:54" s="158" customFormat="1">
      <c r="B26" s="449" t="s">
        <v>338</v>
      </c>
      <c r="C26" s="220"/>
      <c r="D26" s="544">
        <v>0</v>
      </c>
      <c r="E26" s="545">
        <v>2.63</v>
      </c>
      <c r="F26" s="545">
        <v>0</v>
      </c>
      <c r="G26" s="545">
        <v>2.63</v>
      </c>
      <c r="H26" s="545">
        <v>0</v>
      </c>
      <c r="I26" s="545">
        <v>0</v>
      </c>
      <c r="J26" s="545">
        <v>2.63</v>
      </c>
      <c r="K26" s="545">
        <v>0</v>
      </c>
      <c r="L26" s="545">
        <v>0</v>
      </c>
      <c r="M26" s="545">
        <v>0</v>
      </c>
      <c r="N26" s="545">
        <v>0</v>
      </c>
      <c r="O26" s="545">
        <v>0</v>
      </c>
      <c r="P26" s="545">
        <v>25.42</v>
      </c>
      <c r="Q26" s="620">
        <v>10.029999999999999</v>
      </c>
      <c r="R26" s="546">
        <v>0</v>
      </c>
      <c r="T26" s="437">
        <v>1283.402497978135</v>
      </c>
      <c r="U26" s="440">
        <v>0</v>
      </c>
      <c r="V26" s="440">
        <v>0</v>
      </c>
      <c r="W26" s="440">
        <v>1074328.9221458738</v>
      </c>
      <c r="X26" s="440">
        <v>0</v>
      </c>
      <c r="Y26" s="440">
        <v>0</v>
      </c>
      <c r="Z26" s="440">
        <v>1330078.9206657561</v>
      </c>
      <c r="AA26" s="440">
        <v>0</v>
      </c>
      <c r="AB26" s="440">
        <v>0</v>
      </c>
      <c r="AC26" s="440">
        <v>0</v>
      </c>
      <c r="AD26" s="440">
        <v>0</v>
      </c>
      <c r="AE26" s="440">
        <v>0</v>
      </c>
      <c r="AF26" s="440">
        <v>1013.2647274553807</v>
      </c>
      <c r="AG26" s="612">
        <v>925.07534651576327</v>
      </c>
      <c r="AH26" s="441">
        <v>0</v>
      </c>
      <c r="AJ26" s="754">
        <f>IF('Prop DUOS'!$E$69="cents",D26/100,D26)*IF('Prop DUOS'!$E$71="day",T26*'Prop DUOS'!$D$77,T26)</f>
        <v>0</v>
      </c>
      <c r="AK26" s="755">
        <f>IF('Prop DUOS'!F$69="cents",E26/100,E26)*U26</f>
        <v>0</v>
      </c>
      <c r="AL26" s="755">
        <f>IF('Prop DUOS'!G$69="cents",F26/100,F26)*V26</f>
        <v>0</v>
      </c>
      <c r="AM26" s="755">
        <f>IF('Prop DUOS'!H$69="cents",G26/100,G26)*W26</f>
        <v>28254.850652436482</v>
      </c>
      <c r="AN26" s="755">
        <f>IF('Prop DUOS'!I$69="cents",H26/100,H26)*X26</f>
        <v>0</v>
      </c>
      <c r="AO26" s="755">
        <f>IF('Prop DUOS'!J$69="cents",I26/100,I26)*Y26</f>
        <v>0</v>
      </c>
      <c r="AP26" s="755">
        <f>IF('Prop DUOS'!K$69="cents",J26/100,J26)*Z26</f>
        <v>34981.075613509383</v>
      </c>
      <c r="AQ26" s="755">
        <f>IF('Prop DUOS'!L$69="cents",K26/100,K26)*AA26</f>
        <v>0</v>
      </c>
      <c r="AR26" s="755">
        <f>IF('Prop DUOS'!M$69="cents",L26/100,L26)*AB26</f>
        <v>0</v>
      </c>
      <c r="AS26" s="755">
        <f>IF('Prop DUOS'!N$69="cents",M26/100,M26)*AC26</f>
        <v>0</v>
      </c>
      <c r="AT26" s="755">
        <f>IF('Prop DUOS'!O$69="cents",N26/100,N26)*IF('Prop DUOS'!O$71="day",AD26*'Prop DUOS'!$D$77,IF('Prop DUOS'!O$71="month",AD26*12,AD26))</f>
        <v>0</v>
      </c>
      <c r="AU26" s="755">
        <f>IF('Prop DUOS'!P$69="cents",O26/100,O26)*IF('Prop DUOS'!P$71="day",AE26*'Prop DUOS'!$D$77,IF('Prop DUOS'!P$71="month",AE26*12,AE26))</f>
        <v>0</v>
      </c>
      <c r="AV26" s="755">
        <f>IF('Prop DUOS'!Q$69="cents",P26/100,P26)*IF('Prop DUOS'!Q$71="day",AF26*'Prop DUOS'!$D$77,IF('Prop DUOS'!Q$71="month",AF26*12,AF26))</f>
        <v>46620.512763167564</v>
      </c>
      <c r="AW26" s="755">
        <f>IF('Prop DUOS'!R$69="cents",Q26/100,Q26)*IF('Prop DUOS'!R$71="day",AG26*'Prop DUOS'!$D$77,IF('Prop DUOS'!R$71="month",AG26*12,AG26))</f>
        <v>16794.095363251123</v>
      </c>
      <c r="AX26" s="755">
        <f>IF('Prop DUOS'!S$69="cents",R26/100,R26)*IF('Prop DUOS'!S$71="day",AH26*'Prop DUOS'!$D$77,IF('Prop DUOS'!S$71="month",AH26*12,AH26))</f>
        <v>0</v>
      </c>
      <c r="AY26" s="743">
        <f t="shared" si="0"/>
        <v>126650.53439236454</v>
      </c>
      <c r="BB26" s="724"/>
    </row>
    <row r="27" spans="2:54" s="158" customFormat="1">
      <c r="B27" s="449" t="s">
        <v>339</v>
      </c>
      <c r="C27" s="220"/>
      <c r="D27" s="544">
        <v>0</v>
      </c>
      <c r="E27" s="545">
        <v>2.88</v>
      </c>
      <c r="F27" s="545">
        <v>0</v>
      </c>
      <c r="G27" s="545">
        <v>2.88</v>
      </c>
      <c r="H27" s="545">
        <v>0</v>
      </c>
      <c r="I27" s="545">
        <v>0</v>
      </c>
      <c r="J27" s="545">
        <v>2.88</v>
      </c>
      <c r="K27" s="545">
        <v>0</v>
      </c>
      <c r="L27" s="545">
        <v>0</v>
      </c>
      <c r="M27" s="545">
        <v>0</v>
      </c>
      <c r="N27" s="545">
        <v>0</v>
      </c>
      <c r="O27" s="545">
        <v>0</v>
      </c>
      <c r="P27" s="545">
        <v>32.619999999999997</v>
      </c>
      <c r="Q27" s="620">
        <v>21.74</v>
      </c>
      <c r="R27" s="546">
        <v>0</v>
      </c>
      <c r="T27" s="437">
        <v>0</v>
      </c>
      <c r="U27" s="440">
        <v>0</v>
      </c>
      <c r="V27" s="440">
        <v>0</v>
      </c>
      <c r="W27" s="440">
        <v>0</v>
      </c>
      <c r="X27" s="440">
        <v>0</v>
      </c>
      <c r="Y27" s="440">
        <v>0</v>
      </c>
      <c r="Z27" s="440">
        <v>0</v>
      </c>
      <c r="AA27" s="440">
        <v>0</v>
      </c>
      <c r="AB27" s="440">
        <v>0</v>
      </c>
      <c r="AC27" s="440">
        <v>0</v>
      </c>
      <c r="AD27" s="440">
        <v>0</v>
      </c>
      <c r="AE27" s="440">
        <v>0</v>
      </c>
      <c r="AF27" s="440">
        <v>0</v>
      </c>
      <c r="AG27" s="612">
        <v>0</v>
      </c>
      <c r="AH27" s="441">
        <v>0</v>
      </c>
      <c r="AJ27" s="754">
        <f>IF('Prop DUOS'!$E$69="cents",D27/100,D27)*IF('Prop DUOS'!$E$71="day",T27*'Prop DUOS'!$D$77,T27)</f>
        <v>0</v>
      </c>
      <c r="AK27" s="755">
        <f>IF('Prop DUOS'!F$69="cents",E27/100,E27)*U27</f>
        <v>0</v>
      </c>
      <c r="AL27" s="755">
        <f>IF('Prop DUOS'!G$69="cents",F27/100,F27)*V27</f>
        <v>0</v>
      </c>
      <c r="AM27" s="755">
        <f>IF('Prop DUOS'!H$69="cents",G27/100,G27)*W27</f>
        <v>0</v>
      </c>
      <c r="AN27" s="755">
        <f>IF('Prop DUOS'!I$69="cents",H27/100,H27)*X27</f>
        <v>0</v>
      </c>
      <c r="AO27" s="755">
        <f>IF('Prop DUOS'!J$69="cents",I27/100,I27)*Y27</f>
        <v>0</v>
      </c>
      <c r="AP27" s="755">
        <f>IF('Prop DUOS'!K$69="cents",J27/100,J27)*Z27</f>
        <v>0</v>
      </c>
      <c r="AQ27" s="755">
        <f>IF('Prop DUOS'!L$69="cents",K27/100,K27)*AA27</f>
        <v>0</v>
      </c>
      <c r="AR27" s="755">
        <f>IF('Prop DUOS'!M$69="cents",L27/100,L27)*AB27</f>
        <v>0</v>
      </c>
      <c r="AS27" s="755">
        <f>IF('Prop DUOS'!N$69="cents",M27/100,M27)*AC27</f>
        <v>0</v>
      </c>
      <c r="AT27" s="755">
        <f>IF('Prop DUOS'!O$69="cents",N27/100,N27)*IF('Prop DUOS'!O$71="day",AD27*'Prop DUOS'!$D$77,IF('Prop DUOS'!O$71="month",AD27*12,AD27))</f>
        <v>0</v>
      </c>
      <c r="AU27" s="755">
        <f>IF('Prop DUOS'!P$69="cents",O27/100,O27)*IF('Prop DUOS'!P$71="day",AE27*'Prop DUOS'!$D$77,IF('Prop DUOS'!P$71="month",AE27*12,AE27))</f>
        <v>0</v>
      </c>
      <c r="AV27" s="755">
        <f>IF('Prop DUOS'!Q$69="cents",P27/100,P27)*IF('Prop DUOS'!Q$71="day",AF27*'Prop DUOS'!$D$77,IF('Prop DUOS'!Q$71="month",AF27*12,AF27))</f>
        <v>0</v>
      </c>
      <c r="AW27" s="755">
        <f>IF('Prop DUOS'!R$69="cents",Q27/100,Q27)*IF('Prop DUOS'!R$71="day",AG27*'Prop DUOS'!$D$77,IF('Prop DUOS'!R$71="month",AG27*12,AG27))</f>
        <v>0</v>
      </c>
      <c r="AX27" s="755">
        <f>IF('Prop DUOS'!S$69="cents",R27/100,R27)*IF('Prop DUOS'!S$71="day",AH27*'Prop DUOS'!$D$77,IF('Prop DUOS'!S$71="month",AH27*12,AH27))</f>
        <v>0</v>
      </c>
      <c r="AY27" s="743">
        <f t="shared" si="0"/>
        <v>0</v>
      </c>
      <c r="BB27" s="724"/>
    </row>
    <row r="28" spans="2:54" s="158" customFormat="1">
      <c r="B28" s="449" t="s">
        <v>340</v>
      </c>
      <c r="C28" s="220"/>
      <c r="D28" s="544">
        <v>0</v>
      </c>
      <c r="E28" s="545">
        <v>2.88</v>
      </c>
      <c r="F28" s="545">
        <v>0</v>
      </c>
      <c r="G28" s="545">
        <v>2.88</v>
      </c>
      <c r="H28" s="545">
        <v>0</v>
      </c>
      <c r="I28" s="545">
        <v>0</v>
      </c>
      <c r="J28" s="545">
        <v>2.88</v>
      </c>
      <c r="K28" s="545">
        <v>0</v>
      </c>
      <c r="L28" s="545">
        <v>0</v>
      </c>
      <c r="M28" s="545">
        <v>0</v>
      </c>
      <c r="N28" s="545">
        <v>0</v>
      </c>
      <c r="O28" s="545">
        <v>0</v>
      </c>
      <c r="P28" s="545">
        <v>32.619999999999997</v>
      </c>
      <c r="Q28" s="620">
        <v>21.74</v>
      </c>
      <c r="R28" s="546">
        <v>0</v>
      </c>
      <c r="T28" s="437">
        <v>7207.5756306128078</v>
      </c>
      <c r="U28" s="440">
        <v>0</v>
      </c>
      <c r="V28" s="440">
        <v>0</v>
      </c>
      <c r="W28" s="440">
        <v>151770514.66848737</v>
      </c>
      <c r="X28" s="440">
        <v>0</v>
      </c>
      <c r="Y28" s="440">
        <v>0</v>
      </c>
      <c r="Z28" s="440">
        <v>145426678.6899901</v>
      </c>
      <c r="AA28" s="440">
        <v>0</v>
      </c>
      <c r="AB28" s="440">
        <v>0</v>
      </c>
      <c r="AC28" s="440">
        <v>0</v>
      </c>
      <c r="AD28" s="440">
        <v>0</v>
      </c>
      <c r="AE28" s="440">
        <v>0</v>
      </c>
      <c r="AF28" s="440">
        <v>111196.03700289429</v>
      </c>
      <c r="AG28" s="612">
        <v>99878.232998803694</v>
      </c>
      <c r="AH28" s="441">
        <v>0</v>
      </c>
      <c r="AJ28" s="754">
        <f>IF('Prop DUOS'!$E$69="cents",D28/100,D28)*IF('Prop DUOS'!$E$71="day",T28*'Prop DUOS'!$D$77,T28)</f>
        <v>0</v>
      </c>
      <c r="AK28" s="755">
        <f>IF('Prop DUOS'!F$69="cents",E28/100,E28)*U28</f>
        <v>0</v>
      </c>
      <c r="AL28" s="755">
        <f>IF('Prop DUOS'!G$69="cents",F28/100,F28)*V28</f>
        <v>0</v>
      </c>
      <c r="AM28" s="755">
        <f>IF('Prop DUOS'!H$69="cents",G28/100,G28)*W28</f>
        <v>4370990.8224524362</v>
      </c>
      <c r="AN28" s="755">
        <f>IF('Prop DUOS'!I$69="cents",H28/100,H28)*X28</f>
        <v>0</v>
      </c>
      <c r="AO28" s="755">
        <f>IF('Prop DUOS'!J$69="cents",I28/100,I28)*Y28</f>
        <v>0</v>
      </c>
      <c r="AP28" s="755">
        <f>IF('Prop DUOS'!K$69="cents",J28/100,J28)*Z28</f>
        <v>4188288.3462717147</v>
      </c>
      <c r="AQ28" s="755">
        <f>IF('Prop DUOS'!L$69="cents",K28/100,K28)*AA28</f>
        <v>0</v>
      </c>
      <c r="AR28" s="755">
        <f>IF('Prop DUOS'!M$69="cents",L28/100,L28)*AB28</f>
        <v>0</v>
      </c>
      <c r="AS28" s="755">
        <f>IF('Prop DUOS'!N$69="cents",M28/100,M28)*AC28</f>
        <v>0</v>
      </c>
      <c r="AT28" s="755">
        <f>IF('Prop DUOS'!O$69="cents",N28/100,N28)*IF('Prop DUOS'!O$71="day",AD28*'Prop DUOS'!$D$77,IF('Prop DUOS'!O$71="month",AD28*12,AD28))</f>
        <v>0</v>
      </c>
      <c r="AU28" s="755">
        <f>IF('Prop DUOS'!P$69="cents",O28/100,O28)*IF('Prop DUOS'!P$71="day",AE28*'Prop DUOS'!$D$77,IF('Prop DUOS'!P$71="month",AE28*12,AE28))</f>
        <v>0</v>
      </c>
      <c r="AV28" s="755">
        <f>IF('Prop DUOS'!Q$69="cents",P28/100,P28)*IF('Prop DUOS'!Q$71="day",AF28*'Prop DUOS'!$D$77,IF('Prop DUOS'!Q$71="month",AF28*12,AF28))</f>
        <v>6565258.6559322849</v>
      </c>
      <c r="AW28" s="755">
        <f>IF('Prop DUOS'!R$69="cents",Q28/100,Q28)*IF('Prop DUOS'!R$71="day",AG28*'Prop DUOS'!$D$77,IF('Prop DUOS'!R$71="month",AG28*12,AG28))</f>
        <v>3930148.5415631258</v>
      </c>
      <c r="AX28" s="755">
        <f>IF('Prop DUOS'!S$69="cents",R28/100,R28)*IF('Prop DUOS'!S$71="day",AH28*'Prop DUOS'!$D$77,IF('Prop DUOS'!S$71="month",AH28*12,AH28))</f>
        <v>0</v>
      </c>
      <c r="AY28" s="743">
        <f t="shared" si="0"/>
        <v>19054686.366219562</v>
      </c>
      <c r="BB28" s="724"/>
    </row>
    <row r="29" spans="2:54" s="158" customFormat="1">
      <c r="B29" s="449"/>
      <c r="C29" s="220"/>
      <c r="D29" s="544"/>
      <c r="E29" s="545"/>
      <c r="F29" s="545"/>
      <c r="G29" s="545"/>
      <c r="H29" s="545"/>
      <c r="I29" s="545"/>
      <c r="J29" s="545"/>
      <c r="K29" s="545"/>
      <c r="L29" s="545"/>
      <c r="M29" s="545"/>
      <c r="N29" s="545"/>
      <c r="O29" s="545"/>
      <c r="P29" s="545"/>
      <c r="Q29" s="620"/>
      <c r="R29" s="546"/>
      <c r="T29" s="437"/>
      <c r="U29" s="440"/>
      <c r="V29" s="440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612"/>
      <c r="AH29" s="441"/>
      <c r="AJ29" s="210">
        <f>IF('Prop DUOS'!$E$69="cents",D29/100,D29)*IF('Prop DUOS'!$E$71="day",T29*'Prop DUOS'!$D$74,T29)</f>
        <v>0</v>
      </c>
      <c r="AK29" s="211">
        <f>IF('Prop DUOS'!F$69="cents",E29/100,E29)*U29</f>
        <v>0</v>
      </c>
      <c r="AL29" s="211">
        <f>IF('Prop DUOS'!G$69="cents",F29/100,F29)*V29</f>
        <v>0</v>
      </c>
      <c r="AM29" s="211">
        <f>IF('Prop DUOS'!H$69="cents",G29/100,G29)*W29</f>
        <v>0</v>
      </c>
      <c r="AN29" s="211">
        <f>IF('Prop DUOS'!I$69="cents",H29/100,H29)*X29</f>
        <v>0</v>
      </c>
      <c r="AO29" s="211">
        <f>IF('Prop DUOS'!J$69="cents",I29/100,I29)*Y29</f>
        <v>0</v>
      </c>
      <c r="AP29" s="211">
        <f>IF('Prop DUOS'!K$69="cents",J29/100,J29)*Z29</f>
        <v>0</v>
      </c>
      <c r="AQ29" s="211">
        <f>IF('Prop DUOS'!L$69="cents",K29/100,K29)*AA29</f>
        <v>0</v>
      </c>
      <c r="AR29" s="211">
        <f>IF('Prop DUOS'!M$69="cents",L29/100,L29)*AB29</f>
        <v>0</v>
      </c>
      <c r="AS29" s="211">
        <f>IF('Prop DUOS'!N$69="cents",M29/100,M29)*AC29</f>
        <v>0</v>
      </c>
      <c r="AT29" s="211">
        <f>IF('Prop DUOS'!O$69="cents",N29/100,N29)*IF('Prop DUOS'!O$71="day",AD29*'Prop DUOS'!$D$74,IF('Prop DUOS'!O$71="month",AD29*12,AD29))</f>
        <v>0</v>
      </c>
      <c r="AU29" s="211">
        <f>IF('Prop DUOS'!P$69="cents",O29/100,O29)*IF('Prop DUOS'!P$71="day",AE29*'Prop DUOS'!$D$74,IF('Prop DUOS'!P$71="month",AE29*12,AE29))</f>
        <v>0</v>
      </c>
      <c r="AV29" s="211">
        <f>IF('Prop DUOS'!Q$69="cents",P29/100,P29)*IF('Prop DUOS'!Q$71="day",AF29*'Prop DUOS'!$D$74,IF('Prop DUOS'!Q$71="month",AF29*12,AF29))</f>
        <v>0</v>
      </c>
      <c r="AW29" s="211">
        <f>IF('Prop DUOS'!R$69="cents",Q29/100,Q29)*IF('Prop DUOS'!R$71="day",AG29*'Prop DUOS'!$D$74,IF('Prop DUOS'!R$71="month",AG29*12,AG29))</f>
        <v>0</v>
      </c>
      <c r="AX29" s="211">
        <f>IF('Prop DUOS'!S$69="cents",R29/100,R29)*IF('Prop DUOS'!S$71="day",AH29*'Prop DUOS'!$D$74,IF('Prop DUOS'!S$71="month",AH29*12,AH29))</f>
        <v>0</v>
      </c>
      <c r="AY29" s="166">
        <f t="shared" si="0"/>
        <v>0</v>
      </c>
    </row>
    <row r="30" spans="2:54" s="158" customFormat="1">
      <c r="B30" s="449"/>
      <c r="C30" s="220"/>
      <c r="D30" s="544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620"/>
      <c r="R30" s="546"/>
      <c r="T30" s="437"/>
      <c r="U30" s="440"/>
      <c r="V30" s="440"/>
      <c r="W30" s="440"/>
      <c r="X30" s="440"/>
      <c r="Y30" s="440"/>
      <c r="Z30" s="440"/>
      <c r="AA30" s="440"/>
      <c r="AB30" s="440"/>
      <c r="AC30" s="440"/>
      <c r="AD30" s="440"/>
      <c r="AE30" s="440"/>
      <c r="AF30" s="440"/>
      <c r="AG30" s="612"/>
      <c r="AH30" s="441"/>
      <c r="AJ30" s="210">
        <f>IF('Prop DUOS'!$E$69="cents",D30/100,D30)*IF('Prop DUOS'!$E$71="day",T30*'Prop DUOS'!$D$74,T30)</f>
        <v>0</v>
      </c>
      <c r="AK30" s="211">
        <f>IF('Prop DUOS'!F$69="cents",E30/100,E30)*U30</f>
        <v>0</v>
      </c>
      <c r="AL30" s="211">
        <f>IF('Prop DUOS'!G$69="cents",F30/100,F30)*V30</f>
        <v>0</v>
      </c>
      <c r="AM30" s="211">
        <f>IF('Prop DUOS'!H$69="cents",G30/100,G30)*W30</f>
        <v>0</v>
      </c>
      <c r="AN30" s="211">
        <f>IF('Prop DUOS'!I$69="cents",H30/100,H30)*X30</f>
        <v>0</v>
      </c>
      <c r="AO30" s="211">
        <f>IF('Prop DUOS'!J$69="cents",I30/100,I30)*Y30</f>
        <v>0</v>
      </c>
      <c r="AP30" s="211">
        <f>IF('Prop DUOS'!K$69="cents",J30/100,J30)*Z30</f>
        <v>0</v>
      </c>
      <c r="AQ30" s="211">
        <f>IF('Prop DUOS'!L$69="cents",K30/100,K30)*AA30</f>
        <v>0</v>
      </c>
      <c r="AR30" s="211">
        <f>IF('Prop DUOS'!M$69="cents",L30/100,L30)*AB30</f>
        <v>0</v>
      </c>
      <c r="AS30" s="211">
        <f>IF('Prop DUOS'!N$69="cents",M30/100,M30)*AC30</f>
        <v>0</v>
      </c>
      <c r="AT30" s="211">
        <f>IF('Prop DUOS'!O$69="cents",N30/100,N30)*IF('Prop DUOS'!O$71="day",AD30*'Prop DUOS'!$D$74,IF('Prop DUOS'!O$71="month",AD30*12,AD30))</f>
        <v>0</v>
      </c>
      <c r="AU30" s="211">
        <f>IF('Prop DUOS'!P$69="cents",O30/100,O30)*IF('Prop DUOS'!P$71="day",AE30*'Prop DUOS'!$D$74,IF('Prop DUOS'!P$71="month",AE30*12,AE30))</f>
        <v>0</v>
      </c>
      <c r="AV30" s="211">
        <f>IF('Prop DUOS'!Q$69="cents",P30/100,P30)*IF('Prop DUOS'!Q$71="day",AF30*'Prop DUOS'!$D$74,IF('Prop DUOS'!Q$71="month",AF30*12,AF30))</f>
        <v>0</v>
      </c>
      <c r="AW30" s="211">
        <f>IF('Prop DUOS'!R$69="cents",Q30/100,Q30)*IF('Prop DUOS'!R$71="day",AG30*'Prop DUOS'!$D$74,IF('Prop DUOS'!R$71="month",AG30*12,AG30))</f>
        <v>0</v>
      </c>
      <c r="AX30" s="211">
        <f>IF('Prop DUOS'!S$69="cents",R30/100,R30)*IF('Prop DUOS'!S$71="day",AH30*'Prop DUOS'!$D$74,IF('Prop DUOS'!S$71="month",AH30*12,AH30))</f>
        <v>0</v>
      </c>
      <c r="AY30" s="166">
        <f t="shared" si="0"/>
        <v>0</v>
      </c>
    </row>
    <row r="31" spans="2:54" s="158" customFormat="1">
      <c r="B31" s="449"/>
      <c r="C31" s="220"/>
      <c r="D31" s="544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  <c r="Q31" s="620"/>
      <c r="R31" s="546"/>
      <c r="T31" s="437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612"/>
      <c r="AH31" s="441"/>
      <c r="AJ31" s="210">
        <f>IF('Prop DUOS'!$E$69="cents",D31/100,D31)*IF('Prop DUOS'!$E$71="day",T31*'Prop DUOS'!$D$74,T31)</f>
        <v>0</v>
      </c>
      <c r="AK31" s="211">
        <f>IF('Prop DUOS'!F$69="cents",E31/100,E31)*U31</f>
        <v>0</v>
      </c>
      <c r="AL31" s="211">
        <f>IF('Prop DUOS'!G$69="cents",F31/100,F31)*V31</f>
        <v>0</v>
      </c>
      <c r="AM31" s="211">
        <f>IF('Prop DUOS'!H$69="cents",G31/100,G31)*W31</f>
        <v>0</v>
      </c>
      <c r="AN31" s="211">
        <f>IF('Prop DUOS'!I$69="cents",H31/100,H31)*X31</f>
        <v>0</v>
      </c>
      <c r="AO31" s="211">
        <f>IF('Prop DUOS'!J$69="cents",I31/100,I31)*Y31</f>
        <v>0</v>
      </c>
      <c r="AP31" s="211">
        <f>IF('Prop DUOS'!K$69="cents",J31/100,J31)*Z31</f>
        <v>0</v>
      </c>
      <c r="AQ31" s="211">
        <f>IF('Prop DUOS'!L$69="cents",K31/100,K31)*AA31</f>
        <v>0</v>
      </c>
      <c r="AR31" s="211">
        <f>IF('Prop DUOS'!M$69="cents",L31/100,L31)*AB31</f>
        <v>0</v>
      </c>
      <c r="AS31" s="211">
        <f>IF('Prop DUOS'!N$69="cents",M31/100,M31)*AC31</f>
        <v>0</v>
      </c>
      <c r="AT31" s="211">
        <f>IF('Prop DUOS'!O$69="cents",N31/100,N31)*IF('Prop DUOS'!O$71="day",AD31*'Prop DUOS'!$D$74,IF('Prop DUOS'!O$71="month",AD31*12,AD31))</f>
        <v>0</v>
      </c>
      <c r="AU31" s="211">
        <f>IF('Prop DUOS'!P$69="cents",O31/100,O31)*IF('Prop DUOS'!P$71="day",AE31*'Prop DUOS'!$D$74,IF('Prop DUOS'!P$71="month",AE31*12,AE31))</f>
        <v>0</v>
      </c>
      <c r="AV31" s="211">
        <f>IF('Prop DUOS'!Q$69="cents",P31/100,P31)*IF('Prop DUOS'!Q$71="day",AF31*'Prop DUOS'!$D$74,IF('Prop DUOS'!Q$71="month",AF31*12,AF31))</f>
        <v>0</v>
      </c>
      <c r="AW31" s="211">
        <f>IF('Prop DUOS'!R$69="cents",Q31/100,Q31)*IF('Prop DUOS'!R$71="day",AG31*'Prop DUOS'!$D$74,IF('Prop DUOS'!R$71="month",AG31*12,AG31))</f>
        <v>0</v>
      </c>
      <c r="AX31" s="211">
        <f>IF('Prop DUOS'!S$69="cents",R31/100,R31)*IF('Prop DUOS'!S$71="day",AH31*'Prop DUOS'!$D$74,IF('Prop DUOS'!S$71="month",AH31*12,AH31))</f>
        <v>0</v>
      </c>
      <c r="AY31" s="166">
        <f t="shared" si="0"/>
        <v>0</v>
      </c>
    </row>
    <row r="32" spans="2:54" s="158" customFormat="1">
      <c r="B32" s="449"/>
      <c r="C32" s="220"/>
      <c r="D32" s="544"/>
      <c r="E32" s="545"/>
      <c r="F32" s="545"/>
      <c r="G32" s="545"/>
      <c r="H32" s="545"/>
      <c r="I32" s="545"/>
      <c r="J32" s="545"/>
      <c r="K32" s="545"/>
      <c r="L32" s="545"/>
      <c r="M32" s="545"/>
      <c r="N32" s="545"/>
      <c r="O32" s="545"/>
      <c r="P32" s="545"/>
      <c r="Q32" s="620"/>
      <c r="R32" s="546"/>
      <c r="T32" s="437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  <c r="AG32" s="612"/>
      <c r="AH32" s="441"/>
      <c r="AJ32" s="210">
        <f>IF('Prop DUOS'!$E$69="cents",D32/100,D32)*IF('Prop DUOS'!$E$71="day",T32*'Prop DUOS'!$D$74,T32)</f>
        <v>0</v>
      </c>
      <c r="AK32" s="211">
        <f>IF('Prop DUOS'!F$69="cents",E32/100,E32)*U32</f>
        <v>0</v>
      </c>
      <c r="AL32" s="211">
        <f>IF('Prop DUOS'!G$69="cents",F32/100,F32)*V32</f>
        <v>0</v>
      </c>
      <c r="AM32" s="211">
        <f>IF('Prop DUOS'!H$69="cents",G32/100,G32)*W32</f>
        <v>0</v>
      </c>
      <c r="AN32" s="211">
        <f>IF('Prop DUOS'!I$69="cents",H32/100,H32)*X32</f>
        <v>0</v>
      </c>
      <c r="AO32" s="211">
        <f>IF('Prop DUOS'!J$69="cents",I32/100,I32)*Y32</f>
        <v>0</v>
      </c>
      <c r="AP32" s="211">
        <f>IF('Prop DUOS'!K$69="cents",J32/100,J32)*Z32</f>
        <v>0</v>
      </c>
      <c r="AQ32" s="211">
        <f>IF('Prop DUOS'!L$69="cents",K32/100,K32)*AA32</f>
        <v>0</v>
      </c>
      <c r="AR32" s="211">
        <f>IF('Prop DUOS'!M$69="cents",L32/100,L32)*AB32</f>
        <v>0</v>
      </c>
      <c r="AS32" s="211">
        <f>IF('Prop DUOS'!N$69="cents",M32/100,M32)*AC32</f>
        <v>0</v>
      </c>
      <c r="AT32" s="211">
        <f>IF('Prop DUOS'!O$69="cents",N32/100,N32)*IF('Prop DUOS'!O$71="day",AD32*'Prop DUOS'!$D$74,IF('Prop DUOS'!O$71="month",AD32*12,AD32))</f>
        <v>0</v>
      </c>
      <c r="AU32" s="211">
        <f>IF('Prop DUOS'!P$69="cents",O32/100,O32)*IF('Prop DUOS'!P$71="day",AE32*'Prop DUOS'!$D$74,IF('Prop DUOS'!P$71="month",AE32*12,AE32))</f>
        <v>0</v>
      </c>
      <c r="AV32" s="211">
        <f>IF('Prop DUOS'!Q$69="cents",P32/100,P32)*IF('Prop DUOS'!Q$71="day",AF32*'Prop DUOS'!$D$74,IF('Prop DUOS'!Q$71="month",AF32*12,AF32))</f>
        <v>0</v>
      </c>
      <c r="AW32" s="211">
        <f>IF('Prop DUOS'!R$69="cents",Q32/100,Q32)*IF('Prop DUOS'!R$71="day",AG32*'Prop DUOS'!$D$74,IF('Prop DUOS'!R$71="month",AG32*12,AG32))</f>
        <v>0</v>
      </c>
      <c r="AX32" s="211">
        <f>IF('Prop DUOS'!S$69="cents",R32/100,R32)*IF('Prop DUOS'!S$71="day",AH32*'Prop DUOS'!$D$74,IF('Prop DUOS'!S$71="month",AH32*12,AH32))</f>
        <v>0</v>
      </c>
      <c r="AY32" s="166">
        <f t="shared" si="0"/>
        <v>0</v>
      </c>
    </row>
    <row r="33" spans="2:51" s="158" customFormat="1">
      <c r="B33" s="449"/>
      <c r="C33" s="220"/>
      <c r="D33" s="544"/>
      <c r="E33" s="545"/>
      <c r="F33" s="545"/>
      <c r="G33" s="545"/>
      <c r="H33" s="545"/>
      <c r="I33" s="545"/>
      <c r="J33" s="545"/>
      <c r="K33" s="545"/>
      <c r="L33" s="545"/>
      <c r="M33" s="545"/>
      <c r="N33" s="545"/>
      <c r="O33" s="545"/>
      <c r="P33" s="545"/>
      <c r="Q33" s="620"/>
      <c r="R33" s="546"/>
      <c r="T33" s="437"/>
      <c r="U33" s="440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612"/>
      <c r="AH33" s="441"/>
      <c r="AJ33" s="210">
        <f>IF('Prop DUOS'!$E$69="cents",D33/100,D33)*IF('Prop DUOS'!$E$71="day",T33*'Prop DUOS'!$D$74,T33)</f>
        <v>0</v>
      </c>
      <c r="AK33" s="211">
        <f>IF('Prop DUOS'!F$69="cents",E33/100,E33)*U33</f>
        <v>0</v>
      </c>
      <c r="AL33" s="211">
        <f>IF('Prop DUOS'!G$69="cents",F33/100,F33)*V33</f>
        <v>0</v>
      </c>
      <c r="AM33" s="211">
        <f>IF('Prop DUOS'!H$69="cents",G33/100,G33)*W33</f>
        <v>0</v>
      </c>
      <c r="AN33" s="211">
        <f>IF('Prop DUOS'!I$69="cents",H33/100,H33)*X33</f>
        <v>0</v>
      </c>
      <c r="AO33" s="211">
        <f>IF('Prop DUOS'!J$69="cents",I33/100,I33)*Y33</f>
        <v>0</v>
      </c>
      <c r="AP33" s="211">
        <f>IF('Prop DUOS'!K$69="cents",J33/100,J33)*Z33</f>
        <v>0</v>
      </c>
      <c r="AQ33" s="211">
        <f>IF('Prop DUOS'!L$69="cents",K33/100,K33)*AA33</f>
        <v>0</v>
      </c>
      <c r="AR33" s="211">
        <f>IF('Prop DUOS'!M$69="cents",L33/100,L33)*AB33</f>
        <v>0</v>
      </c>
      <c r="AS33" s="211">
        <f>IF('Prop DUOS'!N$69="cents",M33/100,M33)*AC33</f>
        <v>0</v>
      </c>
      <c r="AT33" s="211">
        <f>IF('Prop DUOS'!O$69="cents",N33/100,N33)*IF('Prop DUOS'!O$71="day",AD33*'Prop DUOS'!$D$74,IF('Prop DUOS'!O$71="month",AD33*12,AD33))</f>
        <v>0</v>
      </c>
      <c r="AU33" s="211">
        <f>IF('Prop DUOS'!P$69="cents",O33/100,O33)*IF('Prop DUOS'!P$71="day",AE33*'Prop DUOS'!$D$74,IF('Prop DUOS'!P$71="month",AE33*12,AE33))</f>
        <v>0</v>
      </c>
      <c r="AV33" s="211">
        <f>IF('Prop DUOS'!Q$69="cents",P33/100,P33)*IF('Prop DUOS'!Q$71="day",AF33*'Prop DUOS'!$D$74,IF('Prop DUOS'!Q$71="month",AF33*12,AF33))</f>
        <v>0</v>
      </c>
      <c r="AW33" s="211">
        <f>IF('Prop DUOS'!R$69="cents",Q33/100,Q33)*IF('Prop DUOS'!R$71="day",AG33*'Prop DUOS'!$D$74,IF('Prop DUOS'!R$71="month",AG33*12,AG33))</f>
        <v>0</v>
      </c>
      <c r="AX33" s="211">
        <f>IF('Prop DUOS'!S$69="cents",R33/100,R33)*IF('Prop DUOS'!S$71="day",AH33*'Prop DUOS'!$D$74,IF('Prop DUOS'!S$71="month",AH33*12,AH33))</f>
        <v>0</v>
      </c>
      <c r="AY33" s="166">
        <f t="shared" si="0"/>
        <v>0</v>
      </c>
    </row>
    <row r="34" spans="2:51" s="158" customFormat="1">
      <c r="B34" s="449"/>
      <c r="C34" s="220"/>
      <c r="D34" s="544"/>
      <c r="E34" s="545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  <c r="Q34" s="620"/>
      <c r="R34" s="546"/>
      <c r="T34" s="437"/>
      <c r="U34" s="440"/>
      <c r="V34" s="440"/>
      <c r="W34" s="440"/>
      <c r="X34" s="440"/>
      <c r="Y34" s="440"/>
      <c r="Z34" s="440"/>
      <c r="AA34" s="440"/>
      <c r="AB34" s="440"/>
      <c r="AC34" s="440"/>
      <c r="AD34" s="440"/>
      <c r="AE34" s="440"/>
      <c r="AF34" s="440"/>
      <c r="AG34" s="612"/>
      <c r="AH34" s="441"/>
      <c r="AJ34" s="210">
        <f>IF('Prop DUOS'!$E$69="cents",D34/100,D34)*IF('Prop DUOS'!$E$71="day",T34*'Prop DUOS'!$D$74,T34)</f>
        <v>0</v>
      </c>
      <c r="AK34" s="211">
        <f>IF('Prop DUOS'!F$69="cents",E34/100,E34)*U34</f>
        <v>0</v>
      </c>
      <c r="AL34" s="211">
        <f>IF('Prop DUOS'!G$69="cents",F34/100,F34)*V34</f>
        <v>0</v>
      </c>
      <c r="AM34" s="211">
        <f>IF('Prop DUOS'!H$69="cents",G34/100,G34)*W34</f>
        <v>0</v>
      </c>
      <c r="AN34" s="211">
        <f>IF('Prop DUOS'!I$69="cents",H34/100,H34)*X34</f>
        <v>0</v>
      </c>
      <c r="AO34" s="211">
        <f>IF('Prop DUOS'!J$69="cents",I34/100,I34)*Y34</f>
        <v>0</v>
      </c>
      <c r="AP34" s="211">
        <f>IF('Prop DUOS'!K$69="cents",J34/100,J34)*Z34</f>
        <v>0</v>
      </c>
      <c r="AQ34" s="211">
        <f>IF('Prop DUOS'!L$69="cents",K34/100,K34)*AA34</f>
        <v>0</v>
      </c>
      <c r="AR34" s="211">
        <f>IF('Prop DUOS'!M$69="cents",L34/100,L34)*AB34</f>
        <v>0</v>
      </c>
      <c r="AS34" s="211">
        <f>IF('Prop DUOS'!N$69="cents",M34/100,M34)*AC34</f>
        <v>0</v>
      </c>
      <c r="AT34" s="211">
        <f>IF('Prop DUOS'!O$69="cents",N34/100,N34)*IF('Prop DUOS'!O$71="day",AD34*'Prop DUOS'!$D$74,IF('Prop DUOS'!O$71="month",AD34*12,AD34))</f>
        <v>0</v>
      </c>
      <c r="AU34" s="211">
        <f>IF('Prop DUOS'!P$69="cents",O34/100,O34)*IF('Prop DUOS'!P$71="day",AE34*'Prop DUOS'!$D$74,IF('Prop DUOS'!P$71="month",AE34*12,AE34))</f>
        <v>0</v>
      </c>
      <c r="AV34" s="211">
        <f>IF('Prop DUOS'!Q$69="cents",P34/100,P34)*IF('Prop DUOS'!Q$71="day",AF34*'Prop DUOS'!$D$74,IF('Prop DUOS'!Q$71="month",AF34*12,AF34))</f>
        <v>0</v>
      </c>
      <c r="AW34" s="211">
        <f>IF('Prop DUOS'!R$69="cents",Q34/100,Q34)*IF('Prop DUOS'!R$71="day",AG34*'Prop DUOS'!$D$74,IF('Prop DUOS'!R$71="month",AG34*12,AG34))</f>
        <v>0</v>
      </c>
      <c r="AX34" s="211">
        <f>IF('Prop DUOS'!S$69="cents",R34/100,R34)*IF('Prop DUOS'!S$71="day",AH34*'Prop DUOS'!$D$74,IF('Prop DUOS'!S$71="month",AH34*12,AH34))</f>
        <v>0</v>
      </c>
      <c r="AY34" s="166">
        <f t="shared" si="0"/>
        <v>0</v>
      </c>
    </row>
    <row r="35" spans="2:51" s="158" customFormat="1">
      <c r="B35" s="449"/>
      <c r="C35" s="220"/>
      <c r="D35" s="544"/>
      <c r="E35" s="545"/>
      <c r="F35" s="545"/>
      <c r="G35" s="545"/>
      <c r="H35" s="545"/>
      <c r="I35" s="545"/>
      <c r="J35" s="545"/>
      <c r="K35" s="545"/>
      <c r="L35" s="545"/>
      <c r="M35" s="545"/>
      <c r="N35" s="545"/>
      <c r="O35" s="545"/>
      <c r="P35" s="545"/>
      <c r="Q35" s="620"/>
      <c r="R35" s="546"/>
      <c r="T35" s="437"/>
      <c r="U35" s="440"/>
      <c r="V35" s="440"/>
      <c r="W35" s="440"/>
      <c r="X35" s="440"/>
      <c r="Y35" s="440"/>
      <c r="Z35" s="440"/>
      <c r="AA35" s="440"/>
      <c r="AB35" s="440"/>
      <c r="AC35" s="440"/>
      <c r="AD35" s="440"/>
      <c r="AE35" s="440"/>
      <c r="AF35" s="440"/>
      <c r="AG35" s="612"/>
      <c r="AH35" s="441"/>
      <c r="AJ35" s="210">
        <f>IF('Prop DUOS'!$E$69="cents",D35/100,D35)*IF('Prop DUOS'!$E$71="day",T35*'Prop DUOS'!$D$74,T35)</f>
        <v>0</v>
      </c>
      <c r="AK35" s="211">
        <f>IF('Prop DUOS'!F$69="cents",E35/100,E35)*U35</f>
        <v>0</v>
      </c>
      <c r="AL35" s="211">
        <f>IF('Prop DUOS'!G$69="cents",F35/100,F35)*V35</f>
        <v>0</v>
      </c>
      <c r="AM35" s="211">
        <f>IF('Prop DUOS'!H$69="cents",G35/100,G35)*W35</f>
        <v>0</v>
      </c>
      <c r="AN35" s="211">
        <f>IF('Prop DUOS'!I$69="cents",H35/100,H35)*X35</f>
        <v>0</v>
      </c>
      <c r="AO35" s="211">
        <f>IF('Prop DUOS'!J$69="cents",I35/100,I35)*Y35</f>
        <v>0</v>
      </c>
      <c r="AP35" s="211">
        <f>IF('Prop DUOS'!K$69="cents",J35/100,J35)*Z35</f>
        <v>0</v>
      </c>
      <c r="AQ35" s="211">
        <f>IF('Prop DUOS'!L$69="cents",K35/100,K35)*AA35</f>
        <v>0</v>
      </c>
      <c r="AR35" s="211">
        <f>IF('Prop DUOS'!M$69="cents",L35/100,L35)*AB35</f>
        <v>0</v>
      </c>
      <c r="AS35" s="211">
        <f>IF('Prop DUOS'!N$69="cents",M35/100,M35)*AC35</f>
        <v>0</v>
      </c>
      <c r="AT35" s="211">
        <f>IF('Prop DUOS'!O$69="cents",N35/100,N35)*IF('Prop DUOS'!O$71="day",AD35*'Prop DUOS'!$D$74,IF('Prop DUOS'!O$71="month",AD35*12,AD35))</f>
        <v>0</v>
      </c>
      <c r="AU35" s="211">
        <f>IF('Prop DUOS'!P$69="cents",O35/100,O35)*IF('Prop DUOS'!P$71="day",AE35*'Prop DUOS'!$D$74,IF('Prop DUOS'!P$71="month",AE35*12,AE35))</f>
        <v>0</v>
      </c>
      <c r="AV35" s="211">
        <f>IF('Prop DUOS'!Q$69="cents",P35/100,P35)*IF('Prop DUOS'!Q$71="day",AF35*'Prop DUOS'!$D$74,IF('Prop DUOS'!Q$71="month",AF35*12,AF35))</f>
        <v>0</v>
      </c>
      <c r="AW35" s="211">
        <f>IF('Prop DUOS'!R$69="cents",Q35/100,Q35)*IF('Prop DUOS'!R$71="day",AG35*'Prop DUOS'!$D$74,IF('Prop DUOS'!R$71="month",AG35*12,AG35))</f>
        <v>0</v>
      </c>
      <c r="AX35" s="211">
        <f>IF('Prop DUOS'!S$69="cents",R35/100,R35)*IF('Prop DUOS'!S$71="day",AH35*'Prop DUOS'!$D$74,IF('Prop DUOS'!S$71="month",AH35*12,AH35))</f>
        <v>0</v>
      </c>
      <c r="AY35" s="166">
        <f t="shared" si="0"/>
        <v>0</v>
      </c>
    </row>
    <row r="36" spans="2:51" s="158" customFormat="1">
      <c r="B36" s="449"/>
      <c r="C36" s="220"/>
      <c r="D36" s="544"/>
      <c r="E36" s="545"/>
      <c r="F36" s="545"/>
      <c r="G36" s="545"/>
      <c r="H36" s="545"/>
      <c r="I36" s="545"/>
      <c r="J36" s="545"/>
      <c r="K36" s="545"/>
      <c r="L36" s="545"/>
      <c r="M36" s="545"/>
      <c r="N36" s="545"/>
      <c r="O36" s="545"/>
      <c r="P36" s="545"/>
      <c r="Q36" s="620"/>
      <c r="R36" s="546"/>
      <c r="T36" s="437"/>
      <c r="U36" s="440"/>
      <c r="V36" s="440"/>
      <c r="W36" s="440"/>
      <c r="X36" s="440"/>
      <c r="Y36" s="440"/>
      <c r="Z36" s="440"/>
      <c r="AA36" s="440"/>
      <c r="AB36" s="440"/>
      <c r="AC36" s="440"/>
      <c r="AD36" s="440"/>
      <c r="AE36" s="440"/>
      <c r="AF36" s="440"/>
      <c r="AG36" s="612"/>
      <c r="AH36" s="441"/>
      <c r="AJ36" s="210">
        <f>IF('Prop DUOS'!$E$69="cents",D36/100,D36)*IF('Prop DUOS'!$E$71="day",T36*'Prop DUOS'!$D$74,T36)</f>
        <v>0</v>
      </c>
      <c r="AK36" s="211">
        <f>IF('Prop DUOS'!F$69="cents",E36/100,E36)*U36</f>
        <v>0</v>
      </c>
      <c r="AL36" s="211">
        <f>IF('Prop DUOS'!G$69="cents",F36/100,F36)*V36</f>
        <v>0</v>
      </c>
      <c r="AM36" s="211">
        <f>IF('Prop DUOS'!H$69="cents",G36/100,G36)*W36</f>
        <v>0</v>
      </c>
      <c r="AN36" s="211">
        <f>IF('Prop DUOS'!I$69="cents",H36/100,H36)*X36</f>
        <v>0</v>
      </c>
      <c r="AO36" s="211">
        <f>IF('Prop DUOS'!J$69="cents",I36/100,I36)*Y36</f>
        <v>0</v>
      </c>
      <c r="AP36" s="211">
        <f>IF('Prop DUOS'!K$69="cents",J36/100,J36)*Z36</f>
        <v>0</v>
      </c>
      <c r="AQ36" s="211">
        <f>IF('Prop DUOS'!L$69="cents",K36/100,K36)*AA36</f>
        <v>0</v>
      </c>
      <c r="AR36" s="211">
        <f>IF('Prop DUOS'!M$69="cents",L36/100,L36)*AB36</f>
        <v>0</v>
      </c>
      <c r="AS36" s="211">
        <f>IF('Prop DUOS'!N$69="cents",M36/100,M36)*AC36</f>
        <v>0</v>
      </c>
      <c r="AT36" s="211">
        <f>IF('Prop DUOS'!O$69="cents",N36/100,N36)*IF('Prop DUOS'!O$71="day",AD36*'Prop DUOS'!$D$74,IF('Prop DUOS'!O$71="month",AD36*12,AD36))</f>
        <v>0</v>
      </c>
      <c r="AU36" s="211">
        <f>IF('Prop DUOS'!P$69="cents",O36/100,O36)*IF('Prop DUOS'!P$71="day",AE36*'Prop DUOS'!$D$74,IF('Prop DUOS'!P$71="month",AE36*12,AE36))</f>
        <v>0</v>
      </c>
      <c r="AV36" s="211">
        <f>IF('Prop DUOS'!Q$69="cents",P36/100,P36)*IF('Prop DUOS'!Q$71="day",AF36*'Prop DUOS'!$D$74,IF('Prop DUOS'!Q$71="month",AF36*12,AF36))</f>
        <v>0</v>
      </c>
      <c r="AW36" s="211">
        <f>IF('Prop DUOS'!R$69="cents",Q36/100,Q36)*IF('Prop DUOS'!R$71="day",AG36*'Prop DUOS'!$D$74,IF('Prop DUOS'!R$71="month",AG36*12,AG36))</f>
        <v>0</v>
      </c>
      <c r="AX36" s="211">
        <f>IF('Prop DUOS'!S$69="cents",R36/100,R36)*IF('Prop DUOS'!S$71="day",AH36*'Prop DUOS'!$D$74,IF('Prop DUOS'!S$71="month",AH36*12,AH36))</f>
        <v>0</v>
      </c>
      <c r="AY36" s="166">
        <f t="shared" si="0"/>
        <v>0</v>
      </c>
    </row>
    <row r="37" spans="2:51" s="158" customFormat="1">
      <c r="B37" s="449"/>
      <c r="C37" s="220"/>
      <c r="D37" s="547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621"/>
      <c r="R37" s="549"/>
      <c r="T37" s="437"/>
      <c r="U37" s="438"/>
      <c r="V37" s="438"/>
      <c r="W37" s="438"/>
      <c r="X37" s="438"/>
      <c r="Y37" s="438"/>
      <c r="Z37" s="438"/>
      <c r="AA37" s="438"/>
      <c r="AB37" s="438"/>
      <c r="AC37" s="438"/>
      <c r="AD37" s="438"/>
      <c r="AE37" s="438"/>
      <c r="AF37" s="438"/>
      <c r="AG37" s="611"/>
      <c r="AH37" s="439"/>
      <c r="AJ37" s="210">
        <f>IF('Prop DUOS'!$E$69="cents",D37/100,D37)*IF('Prop DUOS'!$E$71="day",T37*'Prop DUOS'!$D$74,T37)</f>
        <v>0</v>
      </c>
      <c r="AK37" s="211">
        <f>IF('Prop DUOS'!F$69="cents",E37/100,E37)*U37</f>
        <v>0</v>
      </c>
      <c r="AL37" s="211">
        <f>IF('Prop DUOS'!G$69="cents",F37/100,F37)*V37</f>
        <v>0</v>
      </c>
      <c r="AM37" s="211">
        <f>IF('Prop DUOS'!H$69="cents",G37/100,G37)*W37</f>
        <v>0</v>
      </c>
      <c r="AN37" s="211">
        <f>IF('Prop DUOS'!I$69="cents",H37/100,H37)*X37</f>
        <v>0</v>
      </c>
      <c r="AO37" s="211">
        <f>IF('Prop DUOS'!J$69="cents",I37/100,I37)*Y37</f>
        <v>0</v>
      </c>
      <c r="AP37" s="211">
        <f>IF('Prop DUOS'!K$69="cents",J37/100,J37)*Z37</f>
        <v>0</v>
      </c>
      <c r="AQ37" s="211">
        <f>IF('Prop DUOS'!L$69="cents",K37/100,K37)*AA37</f>
        <v>0</v>
      </c>
      <c r="AR37" s="211">
        <f>IF('Prop DUOS'!M$69="cents",L37/100,L37)*AB37</f>
        <v>0</v>
      </c>
      <c r="AS37" s="211">
        <f>IF('Prop DUOS'!N$69="cents",M37/100,M37)*AC37</f>
        <v>0</v>
      </c>
      <c r="AT37" s="211">
        <f>IF('Prop DUOS'!O$69="cents",N37/100,N37)*IF('Prop DUOS'!O$71="day",AD37*'Prop DUOS'!$D$74,IF('Prop DUOS'!O$71="month",AD37*12,AD37))</f>
        <v>0</v>
      </c>
      <c r="AU37" s="211">
        <f>IF('Prop DUOS'!P$69="cents",O37/100,O37)*IF('Prop DUOS'!P$71="day",AE37*'Prop DUOS'!$D$74,IF('Prop DUOS'!P$71="month",AE37*12,AE37))</f>
        <v>0</v>
      </c>
      <c r="AV37" s="211">
        <f>IF('Prop DUOS'!Q$69="cents",P37/100,P37)*IF('Prop DUOS'!Q$71="day",AF37*'Prop DUOS'!$D$74,IF('Prop DUOS'!Q$71="month",AF37*12,AF37))</f>
        <v>0</v>
      </c>
      <c r="AW37" s="211">
        <f>IF('Prop DUOS'!R$69="cents",Q37/100,Q37)*IF('Prop DUOS'!R$71="day",AG37*'Prop DUOS'!$D$74,IF('Prop DUOS'!R$71="month",AG37*12,AG37))</f>
        <v>0</v>
      </c>
      <c r="AX37" s="211">
        <f>IF('Prop DUOS'!S$69="cents",R37/100,R37)*IF('Prop DUOS'!S$71="day",AH37*'Prop DUOS'!$D$74,IF('Prop DUOS'!S$71="month",AH37*12,AH37))</f>
        <v>0</v>
      </c>
      <c r="AY37" s="166">
        <f t="shared" si="0"/>
        <v>0</v>
      </c>
    </row>
    <row r="38" spans="2:51" s="158" customFormat="1">
      <c r="B38" s="449"/>
      <c r="C38" s="220"/>
      <c r="D38" s="547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621"/>
      <c r="R38" s="549"/>
      <c r="T38" s="437"/>
      <c r="U38" s="438"/>
      <c r="V38" s="438"/>
      <c r="W38" s="438"/>
      <c r="X38" s="438"/>
      <c r="Y38" s="438"/>
      <c r="Z38" s="438"/>
      <c r="AA38" s="438"/>
      <c r="AB38" s="438"/>
      <c r="AC38" s="438"/>
      <c r="AD38" s="438"/>
      <c r="AE38" s="438"/>
      <c r="AF38" s="438"/>
      <c r="AG38" s="611"/>
      <c r="AH38" s="439"/>
      <c r="AJ38" s="210">
        <f>IF('Prop DUOS'!$E$69="cents",D38/100,D38)*IF('Prop DUOS'!$E$71="day",T38*'Prop DUOS'!$D$74,T38)</f>
        <v>0</v>
      </c>
      <c r="AK38" s="211">
        <f>IF('Prop DUOS'!F$69="cents",E38/100,E38)*U38</f>
        <v>0</v>
      </c>
      <c r="AL38" s="211">
        <f>IF('Prop DUOS'!G$69="cents",F38/100,F38)*V38</f>
        <v>0</v>
      </c>
      <c r="AM38" s="211">
        <f>IF('Prop DUOS'!H$69="cents",G38/100,G38)*W38</f>
        <v>0</v>
      </c>
      <c r="AN38" s="211">
        <f>IF('Prop DUOS'!I$69="cents",H38/100,H38)*X38</f>
        <v>0</v>
      </c>
      <c r="AO38" s="211">
        <f>IF('Prop DUOS'!J$69="cents",I38/100,I38)*Y38</f>
        <v>0</v>
      </c>
      <c r="AP38" s="211">
        <f>IF('Prop DUOS'!K$69="cents",J38/100,J38)*Z38</f>
        <v>0</v>
      </c>
      <c r="AQ38" s="211">
        <f>IF('Prop DUOS'!L$69="cents",K38/100,K38)*AA38</f>
        <v>0</v>
      </c>
      <c r="AR38" s="211">
        <f>IF('Prop DUOS'!M$69="cents",L38/100,L38)*AB38</f>
        <v>0</v>
      </c>
      <c r="AS38" s="211">
        <f>IF('Prop DUOS'!N$69="cents",M38/100,M38)*AC38</f>
        <v>0</v>
      </c>
      <c r="AT38" s="211">
        <f>IF('Prop DUOS'!O$69="cents",N38/100,N38)*IF('Prop DUOS'!O$71="day",AD38*'Prop DUOS'!$D$74,IF('Prop DUOS'!O$71="month",AD38*12,AD38))</f>
        <v>0</v>
      </c>
      <c r="AU38" s="211">
        <f>IF('Prop DUOS'!P$69="cents",O38/100,O38)*IF('Prop DUOS'!P$71="day",AE38*'Prop DUOS'!$D$74,IF('Prop DUOS'!P$71="month",AE38*12,AE38))</f>
        <v>0</v>
      </c>
      <c r="AV38" s="211">
        <f>IF('Prop DUOS'!Q$69="cents",P38/100,P38)*IF('Prop DUOS'!Q$71="day",AF38*'Prop DUOS'!$D$74,IF('Prop DUOS'!Q$71="month",AF38*12,AF38))</f>
        <v>0</v>
      </c>
      <c r="AW38" s="211">
        <f>IF('Prop DUOS'!R$69="cents",Q38/100,Q38)*IF('Prop DUOS'!R$71="day",AG38*'Prop DUOS'!$D$74,IF('Prop DUOS'!R$71="month",AG38*12,AG38))</f>
        <v>0</v>
      </c>
      <c r="AX38" s="211">
        <f>IF('Prop DUOS'!S$69="cents",R38/100,R38)*IF('Prop DUOS'!S$71="day",AH38*'Prop DUOS'!$D$74,IF('Prop DUOS'!S$71="month",AH38*12,AH38))</f>
        <v>0</v>
      </c>
      <c r="AY38" s="166">
        <f t="shared" si="0"/>
        <v>0</v>
      </c>
    </row>
    <row r="39" spans="2:51" s="158" customFormat="1">
      <c r="B39" s="449"/>
      <c r="C39" s="220"/>
      <c r="D39" s="547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621"/>
      <c r="R39" s="549"/>
      <c r="T39" s="437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611"/>
      <c r="AH39" s="439"/>
      <c r="AJ39" s="210">
        <f>IF('Prop DUOS'!$E$69="cents",D39/100,D39)*IF('Prop DUOS'!$E$71="day",T39*'Prop DUOS'!$D$74,T39)</f>
        <v>0</v>
      </c>
      <c r="AK39" s="211">
        <f>IF('Prop DUOS'!F$69="cents",E39/100,E39)*U39</f>
        <v>0</v>
      </c>
      <c r="AL39" s="211">
        <f>IF('Prop DUOS'!G$69="cents",F39/100,F39)*V39</f>
        <v>0</v>
      </c>
      <c r="AM39" s="211">
        <f>IF('Prop DUOS'!H$69="cents",G39/100,G39)*W39</f>
        <v>0</v>
      </c>
      <c r="AN39" s="211">
        <f>IF('Prop DUOS'!I$69="cents",H39/100,H39)*X39</f>
        <v>0</v>
      </c>
      <c r="AO39" s="211">
        <f>IF('Prop DUOS'!J$69="cents",I39/100,I39)*Y39</f>
        <v>0</v>
      </c>
      <c r="AP39" s="211">
        <f>IF('Prop DUOS'!K$69="cents",J39/100,J39)*Z39</f>
        <v>0</v>
      </c>
      <c r="AQ39" s="211">
        <f>IF('Prop DUOS'!L$69="cents",K39/100,K39)*AA39</f>
        <v>0</v>
      </c>
      <c r="AR39" s="211">
        <f>IF('Prop DUOS'!M$69="cents",L39/100,L39)*AB39</f>
        <v>0</v>
      </c>
      <c r="AS39" s="211">
        <f>IF('Prop DUOS'!N$69="cents",M39/100,M39)*AC39</f>
        <v>0</v>
      </c>
      <c r="AT39" s="211">
        <f>IF('Prop DUOS'!O$69="cents",N39/100,N39)*IF('Prop DUOS'!O$71="day",AD39*'Prop DUOS'!$D$74,IF('Prop DUOS'!O$71="month",AD39*12,AD39))</f>
        <v>0</v>
      </c>
      <c r="AU39" s="211">
        <f>IF('Prop DUOS'!P$69="cents",O39/100,O39)*IF('Prop DUOS'!P$71="day",AE39*'Prop DUOS'!$D$74,IF('Prop DUOS'!P$71="month",AE39*12,AE39))</f>
        <v>0</v>
      </c>
      <c r="AV39" s="211">
        <f>IF('Prop DUOS'!Q$69="cents",P39/100,P39)*IF('Prop DUOS'!Q$71="day",AF39*'Prop DUOS'!$D$74,IF('Prop DUOS'!Q$71="month",AF39*12,AF39))</f>
        <v>0</v>
      </c>
      <c r="AW39" s="211">
        <f>IF('Prop DUOS'!R$69="cents",Q39/100,Q39)*IF('Prop DUOS'!R$71="day",AG39*'Prop DUOS'!$D$74,IF('Prop DUOS'!R$71="month",AG39*12,AG39))</f>
        <v>0</v>
      </c>
      <c r="AX39" s="211">
        <f>IF('Prop DUOS'!S$69="cents",R39/100,R39)*IF('Prop DUOS'!S$71="day",AH39*'Prop DUOS'!$D$74,IF('Prop DUOS'!S$71="month",AH39*12,AH39))</f>
        <v>0</v>
      </c>
      <c r="AY39" s="166">
        <f t="shared" si="0"/>
        <v>0</v>
      </c>
    </row>
    <row r="40" spans="2:51" s="158" customFormat="1">
      <c r="B40" s="449"/>
      <c r="C40" s="220"/>
      <c r="D40" s="547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621"/>
      <c r="R40" s="549"/>
      <c r="T40" s="437"/>
      <c r="U40" s="438"/>
      <c r="V40" s="438"/>
      <c r="W40" s="438"/>
      <c r="X40" s="438"/>
      <c r="Y40" s="438"/>
      <c r="Z40" s="438"/>
      <c r="AA40" s="438"/>
      <c r="AB40" s="438"/>
      <c r="AC40" s="438"/>
      <c r="AD40" s="438"/>
      <c r="AE40" s="438"/>
      <c r="AF40" s="438"/>
      <c r="AG40" s="611"/>
      <c r="AH40" s="439"/>
      <c r="AJ40" s="210">
        <f>IF('Prop DUOS'!$E$69="cents",D40/100,D40)*IF('Prop DUOS'!$E$71="day",T40*'Prop DUOS'!$D$74,T40)</f>
        <v>0</v>
      </c>
      <c r="AK40" s="211">
        <f>IF('Prop DUOS'!F$69="cents",E40/100,E40)*U40</f>
        <v>0</v>
      </c>
      <c r="AL40" s="211">
        <f>IF('Prop DUOS'!G$69="cents",F40/100,F40)*V40</f>
        <v>0</v>
      </c>
      <c r="AM40" s="211">
        <f>IF('Prop DUOS'!H$69="cents",G40/100,G40)*W40</f>
        <v>0</v>
      </c>
      <c r="AN40" s="211">
        <f>IF('Prop DUOS'!I$69="cents",H40/100,H40)*X40</f>
        <v>0</v>
      </c>
      <c r="AO40" s="211">
        <f>IF('Prop DUOS'!J$69="cents",I40/100,I40)*Y40</f>
        <v>0</v>
      </c>
      <c r="AP40" s="211">
        <f>IF('Prop DUOS'!K$69="cents",J40/100,J40)*Z40</f>
        <v>0</v>
      </c>
      <c r="AQ40" s="211">
        <f>IF('Prop DUOS'!L$69="cents",K40/100,K40)*AA40</f>
        <v>0</v>
      </c>
      <c r="AR40" s="211">
        <f>IF('Prop DUOS'!M$69="cents",L40/100,L40)*AB40</f>
        <v>0</v>
      </c>
      <c r="AS40" s="211">
        <f>IF('Prop DUOS'!N$69="cents",M40/100,M40)*AC40</f>
        <v>0</v>
      </c>
      <c r="AT40" s="211">
        <f>IF('Prop DUOS'!O$69="cents",N40/100,N40)*IF('Prop DUOS'!O$71="day",AD40*'Prop DUOS'!$D$74,IF('Prop DUOS'!O$71="month",AD40*12,AD40))</f>
        <v>0</v>
      </c>
      <c r="AU40" s="211">
        <f>IF('Prop DUOS'!P$69="cents",O40/100,O40)*IF('Prop DUOS'!P$71="day",AE40*'Prop DUOS'!$D$74,IF('Prop DUOS'!P$71="month",AE40*12,AE40))</f>
        <v>0</v>
      </c>
      <c r="AV40" s="211">
        <f>IF('Prop DUOS'!Q$69="cents",P40/100,P40)*IF('Prop DUOS'!Q$71="day",AF40*'Prop DUOS'!$D$74,IF('Prop DUOS'!Q$71="month",AF40*12,AF40))</f>
        <v>0</v>
      </c>
      <c r="AW40" s="211">
        <f>IF('Prop DUOS'!R$69="cents",Q40/100,Q40)*IF('Prop DUOS'!R$71="day",AG40*'Prop DUOS'!$D$74,IF('Prop DUOS'!R$71="month",AG40*12,AG40))</f>
        <v>0</v>
      </c>
      <c r="AX40" s="211">
        <f>IF('Prop DUOS'!S$69="cents",R40/100,R40)*IF('Prop DUOS'!S$71="day",AH40*'Prop DUOS'!$D$74,IF('Prop DUOS'!S$71="month",AH40*12,AH40))</f>
        <v>0</v>
      </c>
      <c r="AY40" s="166">
        <f t="shared" si="0"/>
        <v>0</v>
      </c>
    </row>
    <row r="41" spans="2:51" s="158" customFormat="1">
      <c r="B41" s="449"/>
      <c r="C41" s="220"/>
      <c r="D41" s="547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621"/>
      <c r="R41" s="549"/>
      <c r="T41" s="437"/>
      <c r="U41" s="438"/>
      <c r="V41" s="438"/>
      <c r="W41" s="438"/>
      <c r="X41" s="438"/>
      <c r="Y41" s="438"/>
      <c r="Z41" s="438"/>
      <c r="AA41" s="438"/>
      <c r="AB41" s="438"/>
      <c r="AC41" s="438"/>
      <c r="AD41" s="438"/>
      <c r="AE41" s="438"/>
      <c r="AF41" s="438"/>
      <c r="AG41" s="611"/>
      <c r="AH41" s="439"/>
      <c r="AJ41" s="210">
        <f>IF('Prop DUOS'!$E$69="cents",D41/100,D41)*IF('Prop DUOS'!$E$71="day",T41*'Prop DUOS'!$D$74,T41)</f>
        <v>0</v>
      </c>
      <c r="AK41" s="211">
        <f>IF('Prop DUOS'!F$69="cents",E41/100,E41)*U41</f>
        <v>0</v>
      </c>
      <c r="AL41" s="211">
        <f>IF('Prop DUOS'!G$69="cents",F41/100,F41)*V41</f>
        <v>0</v>
      </c>
      <c r="AM41" s="211">
        <f>IF('Prop DUOS'!H$69="cents",G41/100,G41)*W41</f>
        <v>0</v>
      </c>
      <c r="AN41" s="211">
        <f>IF('Prop DUOS'!I$69="cents",H41/100,H41)*X41</f>
        <v>0</v>
      </c>
      <c r="AO41" s="211">
        <f>IF('Prop DUOS'!J$69="cents",I41/100,I41)*Y41</f>
        <v>0</v>
      </c>
      <c r="AP41" s="211">
        <f>IF('Prop DUOS'!K$69="cents",J41/100,J41)*Z41</f>
        <v>0</v>
      </c>
      <c r="AQ41" s="211">
        <f>IF('Prop DUOS'!L$69="cents",K41/100,K41)*AA41</f>
        <v>0</v>
      </c>
      <c r="AR41" s="211">
        <f>IF('Prop DUOS'!M$69="cents",L41/100,L41)*AB41</f>
        <v>0</v>
      </c>
      <c r="AS41" s="211">
        <f>IF('Prop DUOS'!N$69="cents",M41/100,M41)*AC41</f>
        <v>0</v>
      </c>
      <c r="AT41" s="211">
        <f>IF('Prop DUOS'!O$69="cents",N41/100,N41)*IF('Prop DUOS'!O$71="day",AD41*'Prop DUOS'!$D$74,IF('Prop DUOS'!O$71="month",AD41*12,AD41))</f>
        <v>0</v>
      </c>
      <c r="AU41" s="211">
        <f>IF('Prop DUOS'!P$69="cents",O41/100,O41)*IF('Prop DUOS'!P$71="day",AE41*'Prop DUOS'!$D$74,IF('Prop DUOS'!P$71="month",AE41*12,AE41))</f>
        <v>0</v>
      </c>
      <c r="AV41" s="211">
        <f>IF('Prop DUOS'!Q$69="cents",P41/100,P41)*IF('Prop DUOS'!Q$71="day",AF41*'Prop DUOS'!$D$74,IF('Prop DUOS'!Q$71="month",AF41*12,AF41))</f>
        <v>0</v>
      </c>
      <c r="AW41" s="211">
        <f>IF('Prop DUOS'!R$69="cents",Q41/100,Q41)*IF('Prop DUOS'!R$71="day",AG41*'Prop DUOS'!$D$74,IF('Prop DUOS'!R$71="month",AG41*12,AG41))</f>
        <v>0</v>
      </c>
      <c r="AX41" s="211">
        <f>IF('Prop DUOS'!S$69="cents",R41/100,R41)*IF('Prop DUOS'!S$71="day",AH41*'Prop DUOS'!$D$74,IF('Prop DUOS'!S$71="month",AH41*12,AH41))</f>
        <v>0</v>
      </c>
      <c r="AY41" s="166">
        <f t="shared" si="0"/>
        <v>0</v>
      </c>
    </row>
    <row r="42" spans="2:51" s="158" customFormat="1">
      <c r="B42" s="449"/>
      <c r="C42" s="220"/>
      <c r="D42" s="547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621"/>
      <c r="R42" s="549"/>
      <c r="T42" s="437"/>
      <c r="U42" s="438"/>
      <c r="V42" s="438"/>
      <c r="W42" s="438"/>
      <c r="X42" s="438"/>
      <c r="Y42" s="438"/>
      <c r="Z42" s="438"/>
      <c r="AA42" s="438"/>
      <c r="AB42" s="438"/>
      <c r="AC42" s="438"/>
      <c r="AD42" s="438"/>
      <c r="AE42" s="438"/>
      <c r="AF42" s="438"/>
      <c r="AG42" s="611"/>
      <c r="AH42" s="439"/>
      <c r="AJ42" s="210">
        <f>IF('Prop DUOS'!$E$69="cents",D42/100,D42)*IF('Prop DUOS'!$E$71="day",T42*'Prop DUOS'!$D$74,T42)</f>
        <v>0</v>
      </c>
      <c r="AK42" s="211">
        <f>IF('Prop DUOS'!F$69="cents",E42/100,E42)*U42</f>
        <v>0</v>
      </c>
      <c r="AL42" s="211">
        <f>IF('Prop DUOS'!G$69="cents",F42/100,F42)*V42</f>
        <v>0</v>
      </c>
      <c r="AM42" s="211">
        <f>IF('Prop DUOS'!H$69="cents",G42/100,G42)*W42</f>
        <v>0</v>
      </c>
      <c r="AN42" s="211">
        <f>IF('Prop DUOS'!I$69="cents",H42/100,H42)*X42</f>
        <v>0</v>
      </c>
      <c r="AO42" s="211">
        <f>IF('Prop DUOS'!J$69="cents",I42/100,I42)*Y42</f>
        <v>0</v>
      </c>
      <c r="AP42" s="211">
        <f>IF('Prop DUOS'!K$69="cents",J42/100,J42)*Z42</f>
        <v>0</v>
      </c>
      <c r="AQ42" s="211">
        <f>IF('Prop DUOS'!L$69="cents",K42/100,K42)*AA42</f>
        <v>0</v>
      </c>
      <c r="AR42" s="211">
        <f>IF('Prop DUOS'!M$69="cents",L42/100,L42)*AB42</f>
        <v>0</v>
      </c>
      <c r="AS42" s="211">
        <f>IF('Prop DUOS'!N$69="cents",M42/100,M42)*AC42</f>
        <v>0</v>
      </c>
      <c r="AT42" s="211">
        <f>IF('Prop DUOS'!O$69="cents",N42/100,N42)*IF('Prop DUOS'!O$71="day",AD42*'Prop DUOS'!$D$74,IF('Prop DUOS'!O$71="month",AD42*12,AD42))</f>
        <v>0</v>
      </c>
      <c r="AU42" s="211">
        <f>IF('Prop DUOS'!P$69="cents",O42/100,O42)*IF('Prop DUOS'!P$71="day",AE42*'Prop DUOS'!$D$74,IF('Prop DUOS'!P$71="month",AE42*12,AE42))</f>
        <v>0</v>
      </c>
      <c r="AV42" s="211">
        <f>IF('Prop DUOS'!Q$69="cents",P42/100,P42)*IF('Prop DUOS'!Q$71="day",AF42*'Prop DUOS'!$D$74,IF('Prop DUOS'!Q$71="month",AF42*12,AF42))</f>
        <v>0</v>
      </c>
      <c r="AW42" s="211">
        <f>IF('Prop DUOS'!R$69="cents",Q42/100,Q42)*IF('Prop DUOS'!R$71="day",AG42*'Prop DUOS'!$D$74,IF('Prop DUOS'!R$71="month",AG42*12,AG42))</f>
        <v>0</v>
      </c>
      <c r="AX42" s="211">
        <f>IF('Prop DUOS'!S$69="cents",R42/100,R42)*IF('Prop DUOS'!S$71="day",AH42*'Prop DUOS'!$D$74,IF('Prop DUOS'!S$71="month",AH42*12,AH42))</f>
        <v>0</v>
      </c>
      <c r="AY42" s="166">
        <f t="shared" si="0"/>
        <v>0</v>
      </c>
    </row>
    <row r="43" spans="2:51" s="158" customFormat="1">
      <c r="B43" s="449"/>
      <c r="C43" s="220"/>
      <c r="D43" s="547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621"/>
      <c r="R43" s="549"/>
      <c r="T43" s="437"/>
      <c r="U43" s="438"/>
      <c r="V43" s="438"/>
      <c r="W43" s="438"/>
      <c r="X43" s="438"/>
      <c r="Y43" s="438"/>
      <c r="Z43" s="438"/>
      <c r="AA43" s="438"/>
      <c r="AB43" s="438"/>
      <c r="AC43" s="438"/>
      <c r="AD43" s="438"/>
      <c r="AE43" s="438"/>
      <c r="AF43" s="438"/>
      <c r="AG43" s="611"/>
      <c r="AH43" s="439"/>
      <c r="AJ43" s="210">
        <f>IF('Prop DUOS'!$E$69="cents",D43/100,D43)*IF('Prop DUOS'!$E$71="day",T43*'Prop DUOS'!$D$74,T43)</f>
        <v>0</v>
      </c>
      <c r="AK43" s="211">
        <f>IF('Prop DUOS'!F$69="cents",E43/100,E43)*U43</f>
        <v>0</v>
      </c>
      <c r="AL43" s="211">
        <f>IF('Prop DUOS'!G$69="cents",F43/100,F43)*V43</f>
        <v>0</v>
      </c>
      <c r="AM43" s="211">
        <f>IF('Prop DUOS'!H$69="cents",G43/100,G43)*W43</f>
        <v>0</v>
      </c>
      <c r="AN43" s="211">
        <f>IF('Prop DUOS'!I$69="cents",H43/100,H43)*X43</f>
        <v>0</v>
      </c>
      <c r="AO43" s="211">
        <f>IF('Prop DUOS'!J$69="cents",I43/100,I43)*Y43</f>
        <v>0</v>
      </c>
      <c r="AP43" s="211">
        <f>IF('Prop DUOS'!K$69="cents",J43/100,J43)*Z43</f>
        <v>0</v>
      </c>
      <c r="AQ43" s="211">
        <f>IF('Prop DUOS'!L$69="cents",K43/100,K43)*AA43</f>
        <v>0</v>
      </c>
      <c r="AR43" s="211">
        <f>IF('Prop DUOS'!M$69="cents",L43/100,L43)*AB43</f>
        <v>0</v>
      </c>
      <c r="AS43" s="211">
        <f>IF('Prop DUOS'!N$69="cents",M43/100,M43)*AC43</f>
        <v>0</v>
      </c>
      <c r="AT43" s="211">
        <f>IF('Prop DUOS'!O$69="cents",N43/100,N43)*IF('Prop DUOS'!O$71="day",AD43*'Prop DUOS'!$D$74,IF('Prop DUOS'!O$71="month",AD43*12,AD43))</f>
        <v>0</v>
      </c>
      <c r="AU43" s="211">
        <f>IF('Prop DUOS'!P$69="cents",O43/100,O43)*IF('Prop DUOS'!P$71="day",AE43*'Prop DUOS'!$D$74,IF('Prop DUOS'!P$71="month",AE43*12,AE43))</f>
        <v>0</v>
      </c>
      <c r="AV43" s="211">
        <f>IF('Prop DUOS'!Q$69="cents",P43/100,P43)*IF('Prop DUOS'!Q$71="day",AF43*'Prop DUOS'!$D$74,IF('Prop DUOS'!Q$71="month",AF43*12,AF43))</f>
        <v>0</v>
      </c>
      <c r="AW43" s="211">
        <f>IF('Prop DUOS'!R$69="cents",Q43/100,Q43)*IF('Prop DUOS'!R$71="day",AG43*'Prop DUOS'!$D$74,IF('Prop DUOS'!R$71="month",AG43*12,AG43))</f>
        <v>0</v>
      </c>
      <c r="AX43" s="211">
        <f>IF('Prop DUOS'!S$69="cents",R43/100,R43)*IF('Prop DUOS'!S$71="day",AH43*'Prop DUOS'!$D$74,IF('Prop DUOS'!S$71="month",AH43*12,AH43))</f>
        <v>0</v>
      </c>
      <c r="AY43" s="166">
        <f t="shared" si="0"/>
        <v>0</v>
      </c>
    </row>
    <row r="44" spans="2:51" s="158" customFormat="1">
      <c r="B44" s="449"/>
      <c r="C44" s="220"/>
      <c r="D44" s="547"/>
      <c r="E44" s="548"/>
      <c r="F44" s="548"/>
      <c r="G44" s="548"/>
      <c r="H44" s="548"/>
      <c r="I44" s="548"/>
      <c r="J44" s="548"/>
      <c r="K44" s="548"/>
      <c r="L44" s="548"/>
      <c r="M44" s="548"/>
      <c r="N44" s="548"/>
      <c r="O44" s="548"/>
      <c r="P44" s="548"/>
      <c r="Q44" s="621"/>
      <c r="R44" s="549"/>
      <c r="T44" s="437"/>
      <c r="U44" s="438"/>
      <c r="V44" s="438"/>
      <c r="W44" s="438"/>
      <c r="X44" s="438"/>
      <c r="Y44" s="438"/>
      <c r="Z44" s="438"/>
      <c r="AA44" s="438"/>
      <c r="AB44" s="438"/>
      <c r="AC44" s="438"/>
      <c r="AD44" s="438"/>
      <c r="AE44" s="438"/>
      <c r="AF44" s="438"/>
      <c r="AG44" s="611"/>
      <c r="AH44" s="439"/>
      <c r="AJ44" s="210">
        <f>IF('Prop DUOS'!$E$69="cents",D44/100,D44)*IF('Prop DUOS'!$E$71="day",T44*'Prop DUOS'!$D$74,T44)</f>
        <v>0</v>
      </c>
      <c r="AK44" s="211">
        <f>IF('Prop DUOS'!F$69="cents",E44/100,E44)*U44</f>
        <v>0</v>
      </c>
      <c r="AL44" s="211">
        <f>IF('Prop DUOS'!G$69="cents",F44/100,F44)*V44</f>
        <v>0</v>
      </c>
      <c r="AM44" s="211">
        <f>IF('Prop DUOS'!H$69="cents",G44/100,G44)*W44</f>
        <v>0</v>
      </c>
      <c r="AN44" s="211">
        <f>IF('Prop DUOS'!I$69="cents",H44/100,H44)*X44</f>
        <v>0</v>
      </c>
      <c r="AO44" s="211">
        <f>IF('Prop DUOS'!J$69="cents",I44/100,I44)*Y44</f>
        <v>0</v>
      </c>
      <c r="AP44" s="211">
        <f>IF('Prop DUOS'!K$69="cents",J44/100,J44)*Z44</f>
        <v>0</v>
      </c>
      <c r="AQ44" s="211">
        <f>IF('Prop DUOS'!L$69="cents",K44/100,K44)*AA44</f>
        <v>0</v>
      </c>
      <c r="AR44" s="211">
        <f>IF('Prop DUOS'!M$69="cents",L44/100,L44)*AB44</f>
        <v>0</v>
      </c>
      <c r="AS44" s="211">
        <f>IF('Prop DUOS'!N$69="cents",M44/100,M44)*AC44</f>
        <v>0</v>
      </c>
      <c r="AT44" s="211">
        <f>IF('Prop DUOS'!O$69="cents",N44/100,N44)*IF('Prop DUOS'!O$71="day",AD44*'Prop DUOS'!$D$74,IF('Prop DUOS'!O$71="month",AD44*12,AD44))</f>
        <v>0</v>
      </c>
      <c r="AU44" s="211">
        <f>IF('Prop DUOS'!P$69="cents",O44/100,O44)*IF('Prop DUOS'!P$71="day",AE44*'Prop DUOS'!$D$74,IF('Prop DUOS'!P$71="month",AE44*12,AE44))</f>
        <v>0</v>
      </c>
      <c r="AV44" s="211">
        <f>IF('Prop DUOS'!Q$69="cents",P44/100,P44)*IF('Prop DUOS'!Q$71="day",AF44*'Prop DUOS'!$D$74,IF('Prop DUOS'!Q$71="month",AF44*12,AF44))</f>
        <v>0</v>
      </c>
      <c r="AW44" s="211">
        <f>IF('Prop DUOS'!R$69="cents",Q44/100,Q44)*IF('Prop DUOS'!R$71="day",AG44*'Prop DUOS'!$D$74,IF('Prop DUOS'!R$71="month",AG44*12,AG44))</f>
        <v>0</v>
      </c>
      <c r="AX44" s="211">
        <f>IF('Prop DUOS'!S$69="cents",R44/100,R44)*IF('Prop DUOS'!S$71="day",AH44*'Prop DUOS'!$D$74,IF('Prop DUOS'!S$71="month",AH44*12,AH44))</f>
        <v>0</v>
      </c>
      <c r="AY44" s="166">
        <f t="shared" si="0"/>
        <v>0</v>
      </c>
    </row>
    <row r="45" spans="2:51" s="158" customFormat="1">
      <c r="B45" s="449"/>
      <c r="C45" s="220"/>
      <c r="D45" s="547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621"/>
      <c r="R45" s="549"/>
      <c r="T45" s="437"/>
      <c r="U45" s="438"/>
      <c r="V45" s="438"/>
      <c r="W45" s="438"/>
      <c r="X45" s="438"/>
      <c r="Y45" s="438"/>
      <c r="Z45" s="438"/>
      <c r="AA45" s="438"/>
      <c r="AB45" s="438"/>
      <c r="AC45" s="438"/>
      <c r="AD45" s="438"/>
      <c r="AE45" s="438"/>
      <c r="AF45" s="438"/>
      <c r="AG45" s="611"/>
      <c r="AH45" s="439"/>
      <c r="AJ45" s="210">
        <f>IF('Prop DUOS'!$E$69="cents",D45/100,D45)*IF('Prop DUOS'!$E$71="day",T45*'Prop DUOS'!$D$74,T45)</f>
        <v>0</v>
      </c>
      <c r="AK45" s="211">
        <f>IF('Prop DUOS'!F$69="cents",E45/100,E45)*U45</f>
        <v>0</v>
      </c>
      <c r="AL45" s="211">
        <f>IF('Prop DUOS'!G$69="cents",F45/100,F45)*V45</f>
        <v>0</v>
      </c>
      <c r="AM45" s="211">
        <f>IF('Prop DUOS'!H$69="cents",G45/100,G45)*W45</f>
        <v>0</v>
      </c>
      <c r="AN45" s="211">
        <f>IF('Prop DUOS'!I$69="cents",H45/100,H45)*X45</f>
        <v>0</v>
      </c>
      <c r="AO45" s="211">
        <f>IF('Prop DUOS'!J$69="cents",I45/100,I45)*Y45</f>
        <v>0</v>
      </c>
      <c r="AP45" s="211">
        <f>IF('Prop DUOS'!K$69="cents",J45/100,J45)*Z45</f>
        <v>0</v>
      </c>
      <c r="AQ45" s="211">
        <f>IF('Prop DUOS'!L$69="cents",K45/100,K45)*AA45</f>
        <v>0</v>
      </c>
      <c r="AR45" s="211">
        <f>IF('Prop DUOS'!M$69="cents",L45/100,L45)*AB45</f>
        <v>0</v>
      </c>
      <c r="AS45" s="211">
        <f>IF('Prop DUOS'!N$69="cents",M45/100,M45)*AC45</f>
        <v>0</v>
      </c>
      <c r="AT45" s="211">
        <f>IF('Prop DUOS'!O$69="cents",N45/100,N45)*IF('Prop DUOS'!O$71="day",AD45*'Prop DUOS'!$D$74,IF('Prop DUOS'!O$71="month",AD45*12,AD45))</f>
        <v>0</v>
      </c>
      <c r="AU45" s="211">
        <f>IF('Prop DUOS'!P$69="cents",O45/100,O45)*IF('Prop DUOS'!P$71="day",AE45*'Prop DUOS'!$D$74,IF('Prop DUOS'!P$71="month",AE45*12,AE45))</f>
        <v>0</v>
      </c>
      <c r="AV45" s="211">
        <f>IF('Prop DUOS'!Q$69="cents",P45/100,P45)*IF('Prop DUOS'!Q$71="day",AF45*'Prop DUOS'!$D$74,IF('Prop DUOS'!Q$71="month",AF45*12,AF45))</f>
        <v>0</v>
      </c>
      <c r="AW45" s="211">
        <f>IF('Prop DUOS'!R$69="cents",Q45/100,Q45)*IF('Prop DUOS'!R$71="day",AG45*'Prop DUOS'!$D$74,IF('Prop DUOS'!R$71="month",AG45*12,AG45))</f>
        <v>0</v>
      </c>
      <c r="AX45" s="211">
        <f>IF('Prop DUOS'!S$69="cents",R45/100,R45)*IF('Prop DUOS'!S$71="day",AH45*'Prop DUOS'!$D$74,IF('Prop DUOS'!S$71="month",AH45*12,AH45))</f>
        <v>0</v>
      </c>
      <c r="AY45" s="166">
        <f t="shared" si="0"/>
        <v>0</v>
      </c>
    </row>
    <row r="46" spans="2:51" s="158" customFormat="1">
      <c r="B46" s="449"/>
      <c r="C46" s="220"/>
      <c r="D46" s="547"/>
      <c r="E46" s="548"/>
      <c r="F46" s="548"/>
      <c r="G46" s="548"/>
      <c r="H46" s="548"/>
      <c r="I46" s="548"/>
      <c r="J46" s="548"/>
      <c r="K46" s="548"/>
      <c r="L46" s="548"/>
      <c r="M46" s="548"/>
      <c r="N46" s="548"/>
      <c r="O46" s="548"/>
      <c r="P46" s="548"/>
      <c r="Q46" s="621"/>
      <c r="R46" s="549"/>
      <c r="T46" s="437"/>
      <c r="U46" s="438"/>
      <c r="V46" s="438"/>
      <c r="W46" s="438"/>
      <c r="X46" s="438"/>
      <c r="Y46" s="438"/>
      <c r="Z46" s="438"/>
      <c r="AA46" s="438"/>
      <c r="AB46" s="438"/>
      <c r="AC46" s="438"/>
      <c r="AD46" s="438"/>
      <c r="AE46" s="438"/>
      <c r="AF46" s="438"/>
      <c r="AG46" s="611"/>
      <c r="AH46" s="439"/>
      <c r="AJ46" s="210">
        <f>IF('Prop DUOS'!$E$69="cents",D46/100,D46)*IF('Prop DUOS'!$E$71="day",T46*'Prop DUOS'!$D$74,T46)</f>
        <v>0</v>
      </c>
      <c r="AK46" s="211">
        <f>IF('Prop DUOS'!F$69="cents",E46/100,E46)*U46</f>
        <v>0</v>
      </c>
      <c r="AL46" s="211">
        <f>IF('Prop DUOS'!G$69="cents",F46/100,F46)*V46</f>
        <v>0</v>
      </c>
      <c r="AM46" s="211">
        <f>IF('Prop DUOS'!H$69="cents",G46/100,G46)*W46</f>
        <v>0</v>
      </c>
      <c r="AN46" s="211">
        <f>IF('Prop DUOS'!I$69="cents",H46/100,H46)*X46</f>
        <v>0</v>
      </c>
      <c r="AO46" s="211">
        <f>IF('Prop DUOS'!J$69="cents",I46/100,I46)*Y46</f>
        <v>0</v>
      </c>
      <c r="AP46" s="211">
        <f>IF('Prop DUOS'!K$69="cents",J46/100,J46)*Z46</f>
        <v>0</v>
      </c>
      <c r="AQ46" s="211">
        <f>IF('Prop DUOS'!L$69="cents",K46/100,K46)*AA46</f>
        <v>0</v>
      </c>
      <c r="AR46" s="211">
        <f>IF('Prop DUOS'!M$69="cents",L46/100,L46)*AB46</f>
        <v>0</v>
      </c>
      <c r="AS46" s="211">
        <f>IF('Prop DUOS'!N$69="cents",M46/100,M46)*AC46</f>
        <v>0</v>
      </c>
      <c r="AT46" s="211">
        <f>IF('Prop DUOS'!O$69="cents",N46/100,N46)*IF('Prop DUOS'!O$71="day",AD46*'Prop DUOS'!$D$74,IF('Prop DUOS'!O$71="month",AD46*12,AD46))</f>
        <v>0</v>
      </c>
      <c r="AU46" s="211">
        <f>IF('Prop DUOS'!P$69="cents",O46/100,O46)*IF('Prop DUOS'!P$71="day",AE46*'Prop DUOS'!$D$74,IF('Prop DUOS'!P$71="month",AE46*12,AE46))</f>
        <v>0</v>
      </c>
      <c r="AV46" s="211">
        <f>IF('Prop DUOS'!Q$69="cents",P46/100,P46)*IF('Prop DUOS'!Q$71="day",AF46*'Prop DUOS'!$D$74,IF('Prop DUOS'!Q$71="month",AF46*12,AF46))</f>
        <v>0</v>
      </c>
      <c r="AW46" s="211">
        <f>IF('Prop DUOS'!R$69="cents",Q46/100,Q46)*IF('Prop DUOS'!R$71="day",AG46*'Prop DUOS'!$D$74,IF('Prop DUOS'!R$71="month",AG46*12,AG46))</f>
        <v>0</v>
      </c>
      <c r="AX46" s="211">
        <f>IF('Prop DUOS'!S$69="cents",R46/100,R46)*IF('Prop DUOS'!S$71="day",AH46*'Prop DUOS'!$D$74,IF('Prop DUOS'!S$71="month",AH46*12,AH46))</f>
        <v>0</v>
      </c>
      <c r="AY46" s="166">
        <f t="shared" si="0"/>
        <v>0</v>
      </c>
    </row>
    <row r="47" spans="2:51" s="158" customFormat="1">
      <c r="B47" s="449"/>
      <c r="C47" s="220"/>
      <c r="D47" s="547"/>
      <c r="E47" s="548"/>
      <c r="F47" s="548"/>
      <c r="G47" s="548"/>
      <c r="H47" s="548"/>
      <c r="I47" s="548"/>
      <c r="J47" s="548"/>
      <c r="K47" s="548"/>
      <c r="L47" s="548"/>
      <c r="M47" s="548"/>
      <c r="N47" s="548"/>
      <c r="O47" s="548"/>
      <c r="P47" s="548"/>
      <c r="Q47" s="621"/>
      <c r="R47" s="549"/>
      <c r="T47" s="437"/>
      <c r="U47" s="438"/>
      <c r="V47" s="438"/>
      <c r="W47" s="438"/>
      <c r="X47" s="438"/>
      <c r="Y47" s="438"/>
      <c r="Z47" s="438"/>
      <c r="AA47" s="438"/>
      <c r="AB47" s="438"/>
      <c r="AC47" s="438"/>
      <c r="AD47" s="438"/>
      <c r="AE47" s="438"/>
      <c r="AF47" s="438"/>
      <c r="AG47" s="611"/>
      <c r="AH47" s="439"/>
      <c r="AJ47" s="210">
        <f>IF('Prop DUOS'!$E$69="cents",D47/100,D47)*IF('Prop DUOS'!$E$71="day",T47*'Prop DUOS'!$D$74,T47)</f>
        <v>0</v>
      </c>
      <c r="AK47" s="211">
        <f>IF('Prop DUOS'!F$69="cents",E47/100,E47)*U47</f>
        <v>0</v>
      </c>
      <c r="AL47" s="211">
        <f>IF('Prop DUOS'!G$69="cents",F47/100,F47)*V47</f>
        <v>0</v>
      </c>
      <c r="AM47" s="211">
        <f>IF('Prop DUOS'!H$69="cents",G47/100,G47)*W47</f>
        <v>0</v>
      </c>
      <c r="AN47" s="211">
        <f>IF('Prop DUOS'!I$69="cents",H47/100,H47)*X47</f>
        <v>0</v>
      </c>
      <c r="AO47" s="211">
        <f>IF('Prop DUOS'!J$69="cents",I47/100,I47)*Y47</f>
        <v>0</v>
      </c>
      <c r="AP47" s="211">
        <f>IF('Prop DUOS'!K$69="cents",J47/100,J47)*Z47</f>
        <v>0</v>
      </c>
      <c r="AQ47" s="211">
        <f>IF('Prop DUOS'!L$69="cents",K47/100,K47)*AA47</f>
        <v>0</v>
      </c>
      <c r="AR47" s="211">
        <f>IF('Prop DUOS'!M$69="cents",L47/100,L47)*AB47</f>
        <v>0</v>
      </c>
      <c r="AS47" s="211">
        <f>IF('Prop DUOS'!N$69="cents",M47/100,M47)*AC47</f>
        <v>0</v>
      </c>
      <c r="AT47" s="211">
        <f>IF('Prop DUOS'!O$69="cents",N47/100,N47)*IF('Prop DUOS'!O$71="day",AD47*'Prop DUOS'!$D$74,IF('Prop DUOS'!O$71="month",AD47*12,AD47))</f>
        <v>0</v>
      </c>
      <c r="AU47" s="211">
        <f>IF('Prop DUOS'!P$69="cents",O47/100,O47)*IF('Prop DUOS'!P$71="day",AE47*'Prop DUOS'!$D$74,IF('Prop DUOS'!P$71="month",AE47*12,AE47))</f>
        <v>0</v>
      </c>
      <c r="AV47" s="211">
        <f>IF('Prop DUOS'!Q$69="cents",P47/100,P47)*IF('Prop DUOS'!Q$71="day",AF47*'Prop DUOS'!$D$74,IF('Prop DUOS'!Q$71="month",AF47*12,AF47))</f>
        <v>0</v>
      </c>
      <c r="AW47" s="211">
        <f>IF('Prop DUOS'!R$69="cents",Q47/100,Q47)*IF('Prop DUOS'!R$71="day",AG47*'Prop DUOS'!$D$74,IF('Prop DUOS'!R$71="month",AG47*12,AG47))</f>
        <v>0</v>
      </c>
      <c r="AX47" s="211">
        <f>IF('Prop DUOS'!S$69="cents",R47/100,R47)*IF('Prop DUOS'!S$71="day",AH47*'Prop DUOS'!$D$74,IF('Prop DUOS'!S$71="month",AH47*12,AH47))</f>
        <v>0</v>
      </c>
      <c r="AY47" s="166">
        <f t="shared" si="0"/>
        <v>0</v>
      </c>
    </row>
    <row r="48" spans="2:51" s="158" customFormat="1">
      <c r="B48" s="449"/>
      <c r="C48" s="220"/>
      <c r="D48" s="550"/>
      <c r="E48" s="551"/>
      <c r="F48" s="551"/>
      <c r="G48" s="551"/>
      <c r="H48" s="551"/>
      <c r="I48" s="551"/>
      <c r="J48" s="551"/>
      <c r="K48" s="551"/>
      <c r="L48" s="551"/>
      <c r="M48" s="551"/>
      <c r="N48" s="551"/>
      <c r="O48" s="551"/>
      <c r="P48" s="551"/>
      <c r="Q48" s="622"/>
      <c r="R48" s="552"/>
      <c r="T48" s="437"/>
      <c r="U48" s="438"/>
      <c r="V48" s="438"/>
      <c r="W48" s="438"/>
      <c r="X48" s="438"/>
      <c r="Y48" s="438"/>
      <c r="Z48" s="438"/>
      <c r="AA48" s="438"/>
      <c r="AB48" s="438"/>
      <c r="AC48" s="438"/>
      <c r="AD48" s="438"/>
      <c r="AE48" s="438"/>
      <c r="AF48" s="438"/>
      <c r="AG48" s="611"/>
      <c r="AH48" s="439"/>
      <c r="AJ48" s="210">
        <f>IF('Prop DUOS'!$E$69="cents",D48/100,D48)*IF('Prop DUOS'!$E$71="day",T48*'Prop DUOS'!$D$74,T48)</f>
        <v>0</v>
      </c>
      <c r="AK48" s="211">
        <f>IF('Prop DUOS'!F$69="cents",E48/100,E48)*U48</f>
        <v>0</v>
      </c>
      <c r="AL48" s="211">
        <f>IF('Prop DUOS'!G$69="cents",F48/100,F48)*V48</f>
        <v>0</v>
      </c>
      <c r="AM48" s="211">
        <f>IF('Prop DUOS'!H$69="cents",G48/100,G48)*W48</f>
        <v>0</v>
      </c>
      <c r="AN48" s="211">
        <f>IF('Prop DUOS'!I$69="cents",H48/100,H48)*X48</f>
        <v>0</v>
      </c>
      <c r="AO48" s="211">
        <f>IF('Prop DUOS'!J$69="cents",I48/100,I48)*Y48</f>
        <v>0</v>
      </c>
      <c r="AP48" s="211">
        <f>IF('Prop DUOS'!K$69="cents",J48/100,J48)*Z48</f>
        <v>0</v>
      </c>
      <c r="AQ48" s="211">
        <f>IF('Prop DUOS'!L$69="cents",K48/100,K48)*AA48</f>
        <v>0</v>
      </c>
      <c r="AR48" s="211">
        <f>IF('Prop DUOS'!M$69="cents",L48/100,L48)*AB48</f>
        <v>0</v>
      </c>
      <c r="AS48" s="211">
        <f>IF('Prop DUOS'!N$69="cents",M48/100,M48)*AC48</f>
        <v>0</v>
      </c>
      <c r="AT48" s="211">
        <f>IF('Prop DUOS'!O$69="cents",N48/100,N48)*IF('Prop DUOS'!O$71="day",AD48*'Prop DUOS'!$D$74,IF('Prop DUOS'!O$71="month",AD48*12,AD48))</f>
        <v>0</v>
      </c>
      <c r="AU48" s="211">
        <f>IF('Prop DUOS'!P$69="cents",O48/100,O48)*IF('Prop DUOS'!P$71="day",AE48*'Prop DUOS'!$D$74,IF('Prop DUOS'!P$71="month",AE48*12,AE48))</f>
        <v>0</v>
      </c>
      <c r="AV48" s="211">
        <f>IF('Prop DUOS'!Q$69="cents",P48/100,P48)*IF('Prop DUOS'!Q$71="day",AF48*'Prop DUOS'!$D$74,IF('Prop DUOS'!Q$71="month",AF48*12,AF48))</f>
        <v>0</v>
      </c>
      <c r="AW48" s="211">
        <f>IF('Prop DUOS'!R$69="cents",Q48/100,Q48)*IF('Prop DUOS'!R$71="day",AG48*'Prop DUOS'!$D$74,IF('Prop DUOS'!R$71="month",AG48*12,AG48))</f>
        <v>0</v>
      </c>
      <c r="AX48" s="211">
        <f>IF('Prop DUOS'!S$69="cents",R48/100,R48)*IF('Prop DUOS'!S$71="day",AH48*'Prop DUOS'!$D$74,IF('Prop DUOS'!S$71="month",AH48*12,AH48))</f>
        <v>0</v>
      </c>
      <c r="AY48" s="166">
        <f t="shared" si="0"/>
        <v>0</v>
      </c>
    </row>
    <row r="49" spans="2:51" s="158" customFormat="1">
      <c r="B49" s="449"/>
      <c r="C49" s="220"/>
      <c r="D49" s="550"/>
      <c r="E49" s="551"/>
      <c r="F49" s="551"/>
      <c r="G49" s="551"/>
      <c r="H49" s="551"/>
      <c r="I49" s="551"/>
      <c r="J49" s="551"/>
      <c r="K49" s="551"/>
      <c r="L49" s="551"/>
      <c r="M49" s="551"/>
      <c r="N49" s="551"/>
      <c r="O49" s="551"/>
      <c r="P49" s="551"/>
      <c r="Q49" s="622"/>
      <c r="R49" s="552"/>
      <c r="T49" s="437"/>
      <c r="U49" s="438"/>
      <c r="V49" s="438"/>
      <c r="W49" s="438"/>
      <c r="X49" s="438"/>
      <c r="Y49" s="438"/>
      <c r="Z49" s="438"/>
      <c r="AA49" s="438"/>
      <c r="AB49" s="438"/>
      <c r="AC49" s="438"/>
      <c r="AD49" s="438"/>
      <c r="AE49" s="438"/>
      <c r="AF49" s="438"/>
      <c r="AG49" s="611"/>
      <c r="AH49" s="439"/>
      <c r="AJ49" s="210">
        <f>IF('Prop DUOS'!$E$69="cents",D49/100,D49)*IF('Prop DUOS'!$E$71="day",T49*'Prop DUOS'!$D$74,T49)</f>
        <v>0</v>
      </c>
      <c r="AK49" s="211">
        <f>IF('Prop DUOS'!F$69="cents",E49/100,E49)*U49</f>
        <v>0</v>
      </c>
      <c r="AL49" s="211">
        <f>IF('Prop DUOS'!G$69="cents",F49/100,F49)*V49</f>
        <v>0</v>
      </c>
      <c r="AM49" s="211">
        <f>IF('Prop DUOS'!H$69="cents",G49/100,G49)*W49</f>
        <v>0</v>
      </c>
      <c r="AN49" s="211">
        <f>IF('Prop DUOS'!I$69="cents",H49/100,H49)*X49</f>
        <v>0</v>
      </c>
      <c r="AO49" s="211">
        <f>IF('Prop DUOS'!J$69="cents",I49/100,I49)*Y49</f>
        <v>0</v>
      </c>
      <c r="AP49" s="211">
        <f>IF('Prop DUOS'!K$69="cents",J49/100,J49)*Z49</f>
        <v>0</v>
      </c>
      <c r="AQ49" s="211">
        <f>IF('Prop DUOS'!L$69="cents",K49/100,K49)*AA49</f>
        <v>0</v>
      </c>
      <c r="AR49" s="211">
        <f>IF('Prop DUOS'!M$69="cents",L49/100,L49)*AB49</f>
        <v>0</v>
      </c>
      <c r="AS49" s="211">
        <f>IF('Prop DUOS'!N$69="cents",M49/100,M49)*AC49</f>
        <v>0</v>
      </c>
      <c r="AT49" s="211">
        <f>IF('Prop DUOS'!O$69="cents",N49/100,N49)*IF('Prop DUOS'!O$71="day",AD49*'Prop DUOS'!$D$74,IF('Prop DUOS'!O$71="month",AD49*12,AD49))</f>
        <v>0</v>
      </c>
      <c r="AU49" s="211">
        <f>IF('Prop DUOS'!P$69="cents",O49/100,O49)*IF('Prop DUOS'!P$71="day",AE49*'Prop DUOS'!$D$74,IF('Prop DUOS'!P$71="month",AE49*12,AE49))</f>
        <v>0</v>
      </c>
      <c r="AV49" s="211">
        <f>IF('Prop DUOS'!Q$69="cents",P49/100,P49)*IF('Prop DUOS'!Q$71="day",AF49*'Prop DUOS'!$D$74,IF('Prop DUOS'!Q$71="month",AF49*12,AF49))</f>
        <v>0</v>
      </c>
      <c r="AW49" s="211">
        <f>IF('Prop DUOS'!R$69="cents",Q49/100,Q49)*IF('Prop DUOS'!R$71="day",AG49*'Prop DUOS'!$D$74,IF('Prop DUOS'!R$71="month",AG49*12,AG49))</f>
        <v>0</v>
      </c>
      <c r="AX49" s="211">
        <f>IF('Prop DUOS'!S$69="cents",R49/100,R49)*IF('Prop DUOS'!S$71="day",AH49*'Prop DUOS'!$D$74,IF('Prop DUOS'!S$71="month",AH49*12,AH49))</f>
        <v>0</v>
      </c>
      <c r="AY49" s="166">
        <f t="shared" si="0"/>
        <v>0</v>
      </c>
    </row>
    <row r="50" spans="2:51" s="158" customFormat="1">
      <c r="B50" s="449"/>
      <c r="C50" s="220"/>
      <c r="D50" s="550"/>
      <c r="E50" s="551"/>
      <c r="F50" s="551"/>
      <c r="G50" s="551"/>
      <c r="H50" s="551"/>
      <c r="I50" s="551"/>
      <c r="J50" s="551"/>
      <c r="K50" s="551"/>
      <c r="L50" s="551"/>
      <c r="M50" s="551"/>
      <c r="N50" s="551"/>
      <c r="O50" s="551"/>
      <c r="P50" s="551"/>
      <c r="Q50" s="622"/>
      <c r="R50" s="552"/>
      <c r="T50" s="437"/>
      <c r="U50" s="438"/>
      <c r="V50" s="438"/>
      <c r="W50" s="438"/>
      <c r="X50" s="438"/>
      <c r="Y50" s="438"/>
      <c r="Z50" s="438"/>
      <c r="AA50" s="438"/>
      <c r="AB50" s="438"/>
      <c r="AC50" s="438"/>
      <c r="AD50" s="438"/>
      <c r="AE50" s="438"/>
      <c r="AF50" s="438"/>
      <c r="AG50" s="611"/>
      <c r="AH50" s="439"/>
      <c r="AJ50" s="210">
        <f>IF('Prop DUOS'!$E$69="cents",D50/100,D50)*IF('Prop DUOS'!$E$71="day",T50*'Prop DUOS'!$D$74,T50)</f>
        <v>0</v>
      </c>
      <c r="AK50" s="211">
        <f>IF('Prop DUOS'!F$69="cents",E50/100,E50)*U50</f>
        <v>0</v>
      </c>
      <c r="AL50" s="211">
        <f>IF('Prop DUOS'!G$69="cents",F50/100,F50)*V50</f>
        <v>0</v>
      </c>
      <c r="AM50" s="211">
        <f>IF('Prop DUOS'!H$69="cents",G50/100,G50)*W50</f>
        <v>0</v>
      </c>
      <c r="AN50" s="211">
        <f>IF('Prop DUOS'!I$69="cents",H50/100,H50)*X50</f>
        <v>0</v>
      </c>
      <c r="AO50" s="211">
        <f>IF('Prop DUOS'!J$69="cents",I50/100,I50)*Y50</f>
        <v>0</v>
      </c>
      <c r="AP50" s="211">
        <f>IF('Prop DUOS'!K$69="cents",J50/100,J50)*Z50</f>
        <v>0</v>
      </c>
      <c r="AQ50" s="211">
        <f>IF('Prop DUOS'!L$69="cents",K50/100,K50)*AA50</f>
        <v>0</v>
      </c>
      <c r="AR50" s="211">
        <f>IF('Prop DUOS'!M$69="cents",L50/100,L50)*AB50</f>
        <v>0</v>
      </c>
      <c r="AS50" s="211">
        <f>IF('Prop DUOS'!N$69="cents",M50/100,M50)*AC50</f>
        <v>0</v>
      </c>
      <c r="AT50" s="211">
        <f>IF('Prop DUOS'!O$69="cents",N50/100,N50)*IF('Prop DUOS'!O$71="day",AD50*'Prop DUOS'!$D$74,IF('Prop DUOS'!O$71="month",AD50*12,AD50))</f>
        <v>0</v>
      </c>
      <c r="AU50" s="211">
        <f>IF('Prop DUOS'!P$69="cents",O50/100,O50)*IF('Prop DUOS'!P$71="day",AE50*'Prop DUOS'!$D$74,IF('Prop DUOS'!P$71="month",AE50*12,AE50))</f>
        <v>0</v>
      </c>
      <c r="AV50" s="211">
        <f>IF('Prop DUOS'!Q$69="cents",P50/100,P50)*IF('Prop DUOS'!Q$71="day",AF50*'Prop DUOS'!$D$74,IF('Prop DUOS'!Q$71="month",AF50*12,AF50))</f>
        <v>0</v>
      </c>
      <c r="AW50" s="211">
        <f>IF('Prop DUOS'!R$69="cents",Q50/100,Q50)*IF('Prop DUOS'!R$71="day",AG50*'Prop DUOS'!$D$74,IF('Prop DUOS'!R$71="month",AG50*12,AG50))</f>
        <v>0</v>
      </c>
      <c r="AX50" s="211">
        <f>IF('Prop DUOS'!S$69="cents",R50/100,R50)*IF('Prop DUOS'!S$71="day",AH50*'Prop DUOS'!$D$74,IF('Prop DUOS'!S$71="month",AH50*12,AH50))</f>
        <v>0</v>
      </c>
      <c r="AY50" s="166">
        <f t="shared" si="0"/>
        <v>0</v>
      </c>
    </row>
    <row r="51" spans="2:51" s="158" customFormat="1">
      <c r="B51" s="449"/>
      <c r="C51" s="220"/>
      <c r="D51" s="550"/>
      <c r="E51" s="551"/>
      <c r="F51" s="551"/>
      <c r="G51" s="551"/>
      <c r="H51" s="551"/>
      <c r="I51" s="551"/>
      <c r="J51" s="551"/>
      <c r="K51" s="551"/>
      <c r="L51" s="551"/>
      <c r="M51" s="551"/>
      <c r="N51" s="551"/>
      <c r="O51" s="551"/>
      <c r="P51" s="551"/>
      <c r="Q51" s="622"/>
      <c r="R51" s="552"/>
      <c r="T51" s="437"/>
      <c r="U51" s="438"/>
      <c r="V51" s="438"/>
      <c r="W51" s="438"/>
      <c r="X51" s="438"/>
      <c r="Y51" s="438"/>
      <c r="Z51" s="438"/>
      <c r="AA51" s="438"/>
      <c r="AB51" s="438"/>
      <c r="AC51" s="438"/>
      <c r="AD51" s="438"/>
      <c r="AE51" s="438"/>
      <c r="AF51" s="438"/>
      <c r="AG51" s="611"/>
      <c r="AH51" s="439"/>
      <c r="AJ51" s="210">
        <f>IF('Prop DUOS'!$E$69="cents",D51/100,D51)*IF('Prop DUOS'!$E$71="day",T51*'Prop DUOS'!$D$74,T51)</f>
        <v>0</v>
      </c>
      <c r="AK51" s="211">
        <f>IF('Prop DUOS'!F$69="cents",E51/100,E51)*U51</f>
        <v>0</v>
      </c>
      <c r="AL51" s="211">
        <f>IF('Prop DUOS'!G$69="cents",F51/100,F51)*V51</f>
        <v>0</v>
      </c>
      <c r="AM51" s="211">
        <f>IF('Prop DUOS'!H$69="cents",G51/100,G51)*W51</f>
        <v>0</v>
      </c>
      <c r="AN51" s="211">
        <f>IF('Prop DUOS'!I$69="cents",H51/100,H51)*X51</f>
        <v>0</v>
      </c>
      <c r="AO51" s="211">
        <f>IF('Prop DUOS'!J$69="cents",I51/100,I51)*Y51</f>
        <v>0</v>
      </c>
      <c r="AP51" s="211">
        <f>IF('Prop DUOS'!K$69="cents",J51/100,J51)*Z51</f>
        <v>0</v>
      </c>
      <c r="AQ51" s="211">
        <f>IF('Prop DUOS'!L$69="cents",K51/100,K51)*AA51</f>
        <v>0</v>
      </c>
      <c r="AR51" s="211">
        <f>IF('Prop DUOS'!M$69="cents",L51/100,L51)*AB51</f>
        <v>0</v>
      </c>
      <c r="AS51" s="211">
        <f>IF('Prop DUOS'!N$69="cents",M51/100,M51)*AC51</f>
        <v>0</v>
      </c>
      <c r="AT51" s="211">
        <f>IF('Prop DUOS'!O$69="cents",N51/100,N51)*IF('Prop DUOS'!O$71="day",AD51*'Prop DUOS'!$D$74,IF('Prop DUOS'!O$71="month",AD51*12,AD51))</f>
        <v>0</v>
      </c>
      <c r="AU51" s="211">
        <f>IF('Prop DUOS'!P$69="cents",O51/100,O51)*IF('Prop DUOS'!P$71="day",AE51*'Prop DUOS'!$D$74,IF('Prop DUOS'!P$71="month",AE51*12,AE51))</f>
        <v>0</v>
      </c>
      <c r="AV51" s="211">
        <f>IF('Prop DUOS'!Q$69="cents",P51/100,P51)*IF('Prop DUOS'!Q$71="day",AF51*'Prop DUOS'!$D$74,IF('Prop DUOS'!Q$71="month",AF51*12,AF51))</f>
        <v>0</v>
      </c>
      <c r="AW51" s="211">
        <f>IF('Prop DUOS'!R$69="cents",Q51/100,Q51)*IF('Prop DUOS'!R$71="day",AG51*'Prop DUOS'!$D$74,IF('Prop DUOS'!R$71="month",AG51*12,AG51))</f>
        <v>0</v>
      </c>
      <c r="AX51" s="211">
        <f>IF('Prop DUOS'!S$69="cents",R51/100,R51)*IF('Prop DUOS'!S$71="day",AH51*'Prop DUOS'!$D$74,IF('Prop DUOS'!S$71="month",AH51*12,AH51))</f>
        <v>0</v>
      </c>
      <c r="AY51" s="166">
        <f t="shared" si="0"/>
        <v>0</v>
      </c>
    </row>
    <row r="52" spans="2:51" s="158" customFormat="1">
      <c r="B52" s="449"/>
      <c r="C52" s="220"/>
      <c r="D52" s="550"/>
      <c r="E52" s="551"/>
      <c r="F52" s="551"/>
      <c r="G52" s="551"/>
      <c r="H52" s="551"/>
      <c r="I52" s="551"/>
      <c r="J52" s="551"/>
      <c r="K52" s="551"/>
      <c r="L52" s="551"/>
      <c r="M52" s="551"/>
      <c r="N52" s="551"/>
      <c r="O52" s="551"/>
      <c r="P52" s="551"/>
      <c r="Q52" s="622"/>
      <c r="R52" s="552"/>
      <c r="T52" s="437"/>
      <c r="U52" s="438"/>
      <c r="V52" s="438"/>
      <c r="W52" s="438"/>
      <c r="X52" s="438"/>
      <c r="Y52" s="438"/>
      <c r="Z52" s="438"/>
      <c r="AA52" s="438"/>
      <c r="AB52" s="438"/>
      <c r="AC52" s="438"/>
      <c r="AD52" s="438"/>
      <c r="AE52" s="438"/>
      <c r="AF52" s="438"/>
      <c r="AG52" s="611"/>
      <c r="AH52" s="439"/>
      <c r="AJ52" s="210">
        <f>IF('Prop DUOS'!$E$69="cents",D52/100,D52)*IF('Prop DUOS'!$E$71="day",T52*'Prop DUOS'!$D$74,T52)</f>
        <v>0</v>
      </c>
      <c r="AK52" s="211">
        <f>IF('Prop DUOS'!F$69="cents",E52/100,E52)*U52</f>
        <v>0</v>
      </c>
      <c r="AL52" s="211">
        <f>IF('Prop DUOS'!G$69="cents",F52/100,F52)*V52</f>
        <v>0</v>
      </c>
      <c r="AM52" s="211">
        <f>IF('Prop DUOS'!H$69="cents",G52/100,G52)*W52</f>
        <v>0</v>
      </c>
      <c r="AN52" s="211">
        <f>IF('Prop DUOS'!I$69="cents",H52/100,H52)*X52</f>
        <v>0</v>
      </c>
      <c r="AO52" s="211">
        <f>IF('Prop DUOS'!J$69="cents",I52/100,I52)*Y52</f>
        <v>0</v>
      </c>
      <c r="AP52" s="211">
        <f>IF('Prop DUOS'!K$69="cents",J52/100,J52)*Z52</f>
        <v>0</v>
      </c>
      <c r="AQ52" s="211">
        <f>IF('Prop DUOS'!L$69="cents",K52/100,K52)*AA52</f>
        <v>0</v>
      </c>
      <c r="AR52" s="211">
        <f>IF('Prop DUOS'!M$69="cents",L52/100,L52)*AB52</f>
        <v>0</v>
      </c>
      <c r="AS52" s="211">
        <f>IF('Prop DUOS'!N$69="cents",M52/100,M52)*AC52</f>
        <v>0</v>
      </c>
      <c r="AT52" s="211">
        <f>IF('Prop DUOS'!O$69="cents",N52/100,N52)*IF('Prop DUOS'!O$71="day",AD52*'Prop DUOS'!$D$74,IF('Prop DUOS'!O$71="month",AD52*12,AD52))</f>
        <v>0</v>
      </c>
      <c r="AU52" s="211">
        <f>IF('Prop DUOS'!P$69="cents",O52/100,O52)*IF('Prop DUOS'!P$71="day",AE52*'Prop DUOS'!$D$74,IF('Prop DUOS'!P$71="month",AE52*12,AE52))</f>
        <v>0</v>
      </c>
      <c r="AV52" s="211">
        <f>IF('Prop DUOS'!Q$69="cents",P52/100,P52)*IF('Prop DUOS'!Q$71="day",AF52*'Prop DUOS'!$D$74,IF('Prop DUOS'!Q$71="month",AF52*12,AF52))</f>
        <v>0</v>
      </c>
      <c r="AW52" s="211">
        <f>IF('Prop DUOS'!R$69="cents",Q52/100,Q52)*IF('Prop DUOS'!R$71="day",AG52*'Prop DUOS'!$D$74,IF('Prop DUOS'!R$71="month",AG52*12,AG52))</f>
        <v>0</v>
      </c>
      <c r="AX52" s="211">
        <f>IF('Prop DUOS'!S$69="cents",R52/100,R52)*IF('Prop DUOS'!S$71="day",AH52*'Prop DUOS'!$D$74,IF('Prop DUOS'!S$71="month",AH52*12,AH52))</f>
        <v>0</v>
      </c>
      <c r="AY52" s="166">
        <f t="shared" si="0"/>
        <v>0</v>
      </c>
    </row>
    <row r="53" spans="2:51" s="158" customFormat="1">
      <c r="B53" s="449"/>
      <c r="C53" s="220"/>
      <c r="D53" s="550"/>
      <c r="E53" s="551"/>
      <c r="F53" s="551"/>
      <c r="G53" s="551"/>
      <c r="H53" s="551"/>
      <c r="I53" s="551"/>
      <c r="J53" s="551"/>
      <c r="K53" s="551"/>
      <c r="L53" s="551"/>
      <c r="M53" s="551"/>
      <c r="N53" s="551"/>
      <c r="O53" s="551"/>
      <c r="P53" s="551"/>
      <c r="Q53" s="622"/>
      <c r="R53" s="552"/>
      <c r="T53" s="437"/>
      <c r="U53" s="438"/>
      <c r="V53" s="438"/>
      <c r="W53" s="438"/>
      <c r="X53" s="438"/>
      <c r="Y53" s="438"/>
      <c r="Z53" s="438"/>
      <c r="AA53" s="438"/>
      <c r="AB53" s="438"/>
      <c r="AC53" s="438"/>
      <c r="AD53" s="438"/>
      <c r="AE53" s="438"/>
      <c r="AF53" s="438"/>
      <c r="AG53" s="611"/>
      <c r="AH53" s="439"/>
      <c r="AJ53" s="210">
        <f>IF('Prop DUOS'!$E$69="cents",D53/100,D53)*IF('Prop DUOS'!$E$71="day",T53*'Prop DUOS'!$D$74,T53)</f>
        <v>0</v>
      </c>
      <c r="AK53" s="211">
        <f>IF('Prop DUOS'!F$69="cents",E53/100,E53)*U53</f>
        <v>0</v>
      </c>
      <c r="AL53" s="211">
        <f>IF('Prop DUOS'!G$69="cents",F53/100,F53)*V53</f>
        <v>0</v>
      </c>
      <c r="AM53" s="211">
        <f>IF('Prop DUOS'!H$69="cents",G53/100,G53)*W53</f>
        <v>0</v>
      </c>
      <c r="AN53" s="211">
        <f>IF('Prop DUOS'!I$69="cents",H53/100,H53)*X53</f>
        <v>0</v>
      </c>
      <c r="AO53" s="211">
        <f>IF('Prop DUOS'!J$69="cents",I53/100,I53)*Y53</f>
        <v>0</v>
      </c>
      <c r="AP53" s="211">
        <f>IF('Prop DUOS'!K$69="cents",J53/100,J53)*Z53</f>
        <v>0</v>
      </c>
      <c r="AQ53" s="211">
        <f>IF('Prop DUOS'!L$69="cents",K53/100,K53)*AA53</f>
        <v>0</v>
      </c>
      <c r="AR53" s="211">
        <f>IF('Prop DUOS'!M$69="cents",L53/100,L53)*AB53</f>
        <v>0</v>
      </c>
      <c r="AS53" s="211">
        <f>IF('Prop DUOS'!N$69="cents",M53/100,M53)*AC53</f>
        <v>0</v>
      </c>
      <c r="AT53" s="211">
        <f>IF('Prop DUOS'!O$69="cents",N53/100,N53)*IF('Prop DUOS'!O$71="day",AD53*'Prop DUOS'!$D$74,IF('Prop DUOS'!O$71="month",AD53*12,AD53))</f>
        <v>0</v>
      </c>
      <c r="AU53" s="211">
        <f>IF('Prop DUOS'!P$69="cents",O53/100,O53)*IF('Prop DUOS'!P$71="day",AE53*'Prop DUOS'!$D$74,IF('Prop DUOS'!P$71="month",AE53*12,AE53))</f>
        <v>0</v>
      </c>
      <c r="AV53" s="211">
        <f>IF('Prop DUOS'!Q$69="cents",P53/100,P53)*IF('Prop DUOS'!Q$71="day",AF53*'Prop DUOS'!$D$74,IF('Prop DUOS'!Q$71="month",AF53*12,AF53))</f>
        <v>0</v>
      </c>
      <c r="AW53" s="211">
        <f>IF('Prop DUOS'!R$69="cents",Q53/100,Q53)*IF('Prop DUOS'!R$71="day",AG53*'Prop DUOS'!$D$74,IF('Prop DUOS'!R$71="month",AG53*12,AG53))</f>
        <v>0</v>
      </c>
      <c r="AX53" s="211">
        <f>IF('Prop DUOS'!S$69="cents",R53/100,R53)*IF('Prop DUOS'!S$71="day",AH53*'Prop DUOS'!$D$74,IF('Prop DUOS'!S$71="month",AH53*12,AH53))</f>
        <v>0</v>
      </c>
      <c r="AY53" s="166">
        <f t="shared" si="0"/>
        <v>0</v>
      </c>
    </row>
    <row r="54" spans="2:51" s="158" customFormat="1">
      <c r="B54" s="449"/>
      <c r="C54" s="220"/>
      <c r="D54" s="550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  <c r="Q54" s="622"/>
      <c r="R54" s="552"/>
      <c r="T54" s="437"/>
      <c r="U54" s="438"/>
      <c r="V54" s="438"/>
      <c r="W54" s="438"/>
      <c r="X54" s="438"/>
      <c r="Y54" s="438"/>
      <c r="Z54" s="438"/>
      <c r="AA54" s="438"/>
      <c r="AB54" s="438"/>
      <c r="AC54" s="438"/>
      <c r="AD54" s="438"/>
      <c r="AE54" s="438"/>
      <c r="AF54" s="438"/>
      <c r="AG54" s="611"/>
      <c r="AH54" s="439"/>
      <c r="AJ54" s="210">
        <f>IF('Prop DUOS'!$E$69="cents",D54/100,D54)*IF('Prop DUOS'!$E$71="day",T54*'Prop DUOS'!$D$74,T54)</f>
        <v>0</v>
      </c>
      <c r="AK54" s="211">
        <f>IF('Prop DUOS'!F$69="cents",E54/100,E54)*U54</f>
        <v>0</v>
      </c>
      <c r="AL54" s="211">
        <f>IF('Prop DUOS'!G$69="cents",F54/100,F54)*V54</f>
        <v>0</v>
      </c>
      <c r="AM54" s="211">
        <f>IF('Prop DUOS'!H$69="cents",G54/100,G54)*W54</f>
        <v>0</v>
      </c>
      <c r="AN54" s="211">
        <f>IF('Prop DUOS'!I$69="cents",H54/100,H54)*X54</f>
        <v>0</v>
      </c>
      <c r="AO54" s="211">
        <f>IF('Prop DUOS'!J$69="cents",I54/100,I54)*Y54</f>
        <v>0</v>
      </c>
      <c r="AP54" s="211">
        <f>IF('Prop DUOS'!K$69="cents",J54/100,J54)*Z54</f>
        <v>0</v>
      </c>
      <c r="AQ54" s="211">
        <f>IF('Prop DUOS'!L$69="cents",K54/100,K54)*AA54</f>
        <v>0</v>
      </c>
      <c r="AR54" s="211">
        <f>IF('Prop DUOS'!M$69="cents",L54/100,L54)*AB54</f>
        <v>0</v>
      </c>
      <c r="AS54" s="211">
        <f>IF('Prop DUOS'!N$69="cents",M54/100,M54)*AC54</f>
        <v>0</v>
      </c>
      <c r="AT54" s="211">
        <f>IF('Prop DUOS'!O$69="cents",N54/100,N54)*IF('Prop DUOS'!O$71="day",AD54*'Prop DUOS'!$D$74,IF('Prop DUOS'!O$71="month",AD54*12,AD54))</f>
        <v>0</v>
      </c>
      <c r="AU54" s="211">
        <f>IF('Prop DUOS'!P$69="cents",O54/100,O54)*IF('Prop DUOS'!P$71="day",AE54*'Prop DUOS'!$D$74,IF('Prop DUOS'!P$71="month",AE54*12,AE54))</f>
        <v>0</v>
      </c>
      <c r="AV54" s="211">
        <f>IF('Prop DUOS'!Q$69="cents",P54/100,P54)*IF('Prop DUOS'!Q$71="day",AF54*'Prop DUOS'!$D$74,IF('Prop DUOS'!Q$71="month",AF54*12,AF54))</f>
        <v>0</v>
      </c>
      <c r="AW54" s="211">
        <f>IF('Prop DUOS'!R$69="cents",Q54/100,Q54)*IF('Prop DUOS'!R$71="day",AG54*'Prop DUOS'!$D$74,IF('Prop DUOS'!R$71="month",AG54*12,AG54))</f>
        <v>0</v>
      </c>
      <c r="AX54" s="211">
        <f>IF('Prop DUOS'!S$69="cents",R54/100,R54)*IF('Prop DUOS'!S$71="day",AH54*'Prop DUOS'!$D$74,IF('Prop DUOS'!S$71="month",AH54*12,AH54))</f>
        <v>0</v>
      </c>
      <c r="AY54" s="166">
        <f t="shared" si="0"/>
        <v>0</v>
      </c>
    </row>
    <row r="55" spans="2:51" s="158" customFormat="1">
      <c r="B55" s="449"/>
      <c r="C55" s="220"/>
      <c r="D55" s="550"/>
      <c r="E55" s="551"/>
      <c r="F55" s="551"/>
      <c r="G55" s="551"/>
      <c r="H55" s="551"/>
      <c r="I55" s="551"/>
      <c r="J55" s="551"/>
      <c r="K55" s="551"/>
      <c r="L55" s="551"/>
      <c r="M55" s="551"/>
      <c r="N55" s="551"/>
      <c r="O55" s="551"/>
      <c r="P55" s="551"/>
      <c r="Q55" s="622"/>
      <c r="R55" s="552"/>
      <c r="T55" s="437"/>
      <c r="U55" s="438"/>
      <c r="V55" s="438"/>
      <c r="W55" s="438"/>
      <c r="X55" s="438"/>
      <c r="Y55" s="438"/>
      <c r="Z55" s="438"/>
      <c r="AA55" s="438"/>
      <c r="AB55" s="438"/>
      <c r="AC55" s="438"/>
      <c r="AD55" s="438"/>
      <c r="AE55" s="438"/>
      <c r="AF55" s="438"/>
      <c r="AG55" s="611"/>
      <c r="AH55" s="439"/>
      <c r="AJ55" s="210">
        <f>IF('Prop DUOS'!$E$69="cents",D55/100,D55)*IF('Prop DUOS'!$E$71="day",T55*'Prop DUOS'!$D$74,T55)</f>
        <v>0</v>
      </c>
      <c r="AK55" s="211">
        <f>IF('Prop DUOS'!F$69="cents",E55/100,E55)*U55</f>
        <v>0</v>
      </c>
      <c r="AL55" s="211">
        <f>IF('Prop DUOS'!G$69="cents",F55/100,F55)*V55</f>
        <v>0</v>
      </c>
      <c r="AM55" s="211">
        <f>IF('Prop DUOS'!H$69="cents",G55/100,G55)*W55</f>
        <v>0</v>
      </c>
      <c r="AN55" s="211">
        <f>IF('Prop DUOS'!I$69="cents",H55/100,H55)*X55</f>
        <v>0</v>
      </c>
      <c r="AO55" s="211">
        <f>IF('Prop DUOS'!J$69="cents",I55/100,I55)*Y55</f>
        <v>0</v>
      </c>
      <c r="AP55" s="211">
        <f>IF('Prop DUOS'!K$69="cents",J55/100,J55)*Z55</f>
        <v>0</v>
      </c>
      <c r="AQ55" s="211">
        <f>IF('Prop DUOS'!L$69="cents",K55/100,K55)*AA55</f>
        <v>0</v>
      </c>
      <c r="AR55" s="211">
        <f>IF('Prop DUOS'!M$69="cents",L55/100,L55)*AB55</f>
        <v>0</v>
      </c>
      <c r="AS55" s="211">
        <f>IF('Prop DUOS'!N$69="cents",M55/100,M55)*AC55</f>
        <v>0</v>
      </c>
      <c r="AT55" s="211">
        <f>IF('Prop DUOS'!O$69="cents",N55/100,N55)*IF('Prop DUOS'!O$71="day",AD55*'Prop DUOS'!$D$74,IF('Prop DUOS'!O$71="month",AD55*12,AD55))</f>
        <v>0</v>
      </c>
      <c r="AU55" s="211">
        <f>IF('Prop DUOS'!P$69="cents",O55/100,O55)*IF('Prop DUOS'!P$71="day",AE55*'Prop DUOS'!$D$74,IF('Prop DUOS'!P$71="month",AE55*12,AE55))</f>
        <v>0</v>
      </c>
      <c r="AV55" s="211">
        <f>IF('Prop DUOS'!Q$69="cents",P55/100,P55)*IF('Prop DUOS'!Q$71="day",AF55*'Prop DUOS'!$D$74,IF('Prop DUOS'!Q$71="month",AF55*12,AF55))</f>
        <v>0</v>
      </c>
      <c r="AW55" s="211">
        <f>IF('Prop DUOS'!R$69="cents",Q55/100,Q55)*IF('Prop DUOS'!R$71="day",AG55*'Prop DUOS'!$D$74,IF('Prop DUOS'!R$71="month",AG55*12,AG55))</f>
        <v>0</v>
      </c>
      <c r="AX55" s="211">
        <f>IF('Prop DUOS'!S$69="cents",R55/100,R55)*IF('Prop DUOS'!S$71="day",AH55*'Prop DUOS'!$D$74,IF('Prop DUOS'!S$71="month",AH55*12,AH55))</f>
        <v>0</v>
      </c>
      <c r="AY55" s="166">
        <f t="shared" si="0"/>
        <v>0</v>
      </c>
    </row>
    <row r="56" spans="2:51" s="158" customFormat="1">
      <c r="B56" s="449"/>
      <c r="C56" s="220"/>
      <c r="D56" s="553"/>
      <c r="E56" s="554"/>
      <c r="F56" s="554"/>
      <c r="G56" s="554"/>
      <c r="H56" s="554"/>
      <c r="I56" s="554"/>
      <c r="J56" s="554"/>
      <c r="K56" s="554"/>
      <c r="L56" s="554"/>
      <c r="M56" s="554"/>
      <c r="N56" s="554"/>
      <c r="O56" s="554"/>
      <c r="P56" s="554"/>
      <c r="Q56" s="623"/>
      <c r="R56" s="555"/>
      <c r="T56" s="437"/>
      <c r="U56" s="438"/>
      <c r="V56" s="438"/>
      <c r="W56" s="438"/>
      <c r="X56" s="438"/>
      <c r="Y56" s="438"/>
      <c r="Z56" s="438"/>
      <c r="AA56" s="438"/>
      <c r="AB56" s="438"/>
      <c r="AC56" s="438"/>
      <c r="AD56" s="438"/>
      <c r="AE56" s="438"/>
      <c r="AF56" s="438"/>
      <c r="AG56" s="611"/>
      <c r="AH56" s="439"/>
      <c r="AJ56" s="210">
        <f>IF('Prop DUOS'!$E$69="cents",D56/100,D56)*IF('Prop DUOS'!$E$71="day",T56*'Prop DUOS'!$D$74,T56)</f>
        <v>0</v>
      </c>
      <c r="AK56" s="211">
        <f>IF('Prop DUOS'!F$69="cents",E56/100,E56)*U56</f>
        <v>0</v>
      </c>
      <c r="AL56" s="211">
        <f>IF('Prop DUOS'!G$69="cents",F56/100,F56)*V56</f>
        <v>0</v>
      </c>
      <c r="AM56" s="211">
        <f>IF('Prop DUOS'!H$69="cents",G56/100,G56)*W56</f>
        <v>0</v>
      </c>
      <c r="AN56" s="211">
        <f>IF('Prop DUOS'!I$69="cents",H56/100,H56)*X56</f>
        <v>0</v>
      </c>
      <c r="AO56" s="211">
        <f>IF('Prop DUOS'!J$69="cents",I56/100,I56)*Y56</f>
        <v>0</v>
      </c>
      <c r="AP56" s="211">
        <f>IF('Prop DUOS'!K$69="cents",J56/100,J56)*Z56</f>
        <v>0</v>
      </c>
      <c r="AQ56" s="211">
        <f>IF('Prop DUOS'!L$69="cents",K56/100,K56)*AA56</f>
        <v>0</v>
      </c>
      <c r="AR56" s="211">
        <f>IF('Prop DUOS'!M$69="cents",L56/100,L56)*AB56</f>
        <v>0</v>
      </c>
      <c r="AS56" s="211">
        <f>IF('Prop DUOS'!N$69="cents",M56/100,M56)*AC56</f>
        <v>0</v>
      </c>
      <c r="AT56" s="211">
        <f>IF('Prop DUOS'!O$69="cents",N56/100,N56)*IF('Prop DUOS'!O$71="day",AD56*'Prop DUOS'!$D$74,IF('Prop DUOS'!O$71="month",AD56*12,AD56))</f>
        <v>0</v>
      </c>
      <c r="AU56" s="211">
        <f>IF('Prop DUOS'!P$69="cents",O56/100,O56)*IF('Prop DUOS'!P$71="day",AE56*'Prop DUOS'!$D$74,IF('Prop DUOS'!P$71="month",AE56*12,AE56))</f>
        <v>0</v>
      </c>
      <c r="AV56" s="211">
        <f>IF('Prop DUOS'!Q$69="cents",P56/100,P56)*IF('Prop DUOS'!Q$71="day",AF56*'Prop DUOS'!$D$74,IF('Prop DUOS'!Q$71="month",AF56*12,AF56))</f>
        <v>0</v>
      </c>
      <c r="AW56" s="211">
        <f>IF('Prop DUOS'!R$69="cents",Q56/100,Q56)*IF('Prop DUOS'!R$71="day",AG56*'Prop DUOS'!$D$74,IF('Prop DUOS'!R$71="month",AG56*12,AG56))</f>
        <v>0</v>
      </c>
      <c r="AX56" s="211">
        <f>IF('Prop DUOS'!S$69="cents",R56/100,R56)*IF('Prop DUOS'!S$71="day",AH56*'Prop DUOS'!$D$74,IF('Prop DUOS'!S$71="month",AH56*12,AH56))</f>
        <v>0</v>
      </c>
      <c r="AY56" s="166">
        <f t="shared" si="0"/>
        <v>0</v>
      </c>
    </row>
    <row r="57" spans="2:51" s="158" customFormat="1">
      <c r="B57" s="449"/>
      <c r="C57" s="220"/>
      <c r="D57" s="553"/>
      <c r="E57" s="554"/>
      <c r="F57" s="554"/>
      <c r="G57" s="554"/>
      <c r="H57" s="554"/>
      <c r="I57" s="554"/>
      <c r="J57" s="554"/>
      <c r="K57" s="554"/>
      <c r="L57" s="554"/>
      <c r="M57" s="554"/>
      <c r="N57" s="554"/>
      <c r="O57" s="554"/>
      <c r="P57" s="554"/>
      <c r="Q57" s="623"/>
      <c r="R57" s="555"/>
      <c r="T57" s="437"/>
      <c r="U57" s="438"/>
      <c r="V57" s="438"/>
      <c r="W57" s="438"/>
      <c r="X57" s="438"/>
      <c r="Y57" s="438"/>
      <c r="Z57" s="438"/>
      <c r="AA57" s="438"/>
      <c r="AB57" s="438"/>
      <c r="AC57" s="438"/>
      <c r="AD57" s="438"/>
      <c r="AE57" s="438"/>
      <c r="AF57" s="438"/>
      <c r="AG57" s="611"/>
      <c r="AH57" s="439"/>
      <c r="AJ57" s="210">
        <f>IF('Prop DUOS'!$E$69="cents",D57/100,D57)*IF('Prop DUOS'!$E$71="day",T57*'Prop DUOS'!$D$74,T57)</f>
        <v>0</v>
      </c>
      <c r="AK57" s="211">
        <f>IF('Prop DUOS'!F$69="cents",E57/100,E57)*U57</f>
        <v>0</v>
      </c>
      <c r="AL57" s="211">
        <f>IF('Prop DUOS'!G$69="cents",F57/100,F57)*V57</f>
        <v>0</v>
      </c>
      <c r="AM57" s="211">
        <f>IF('Prop DUOS'!H$69="cents",G57/100,G57)*W57</f>
        <v>0</v>
      </c>
      <c r="AN57" s="211">
        <f>IF('Prop DUOS'!I$69="cents",H57/100,H57)*X57</f>
        <v>0</v>
      </c>
      <c r="AO57" s="211">
        <f>IF('Prop DUOS'!J$69="cents",I57/100,I57)*Y57</f>
        <v>0</v>
      </c>
      <c r="AP57" s="211">
        <f>IF('Prop DUOS'!K$69="cents",J57/100,J57)*Z57</f>
        <v>0</v>
      </c>
      <c r="AQ57" s="211">
        <f>IF('Prop DUOS'!L$69="cents",K57/100,K57)*AA57</f>
        <v>0</v>
      </c>
      <c r="AR57" s="211">
        <f>IF('Prop DUOS'!M$69="cents",L57/100,L57)*AB57</f>
        <v>0</v>
      </c>
      <c r="AS57" s="211">
        <f>IF('Prop DUOS'!N$69="cents",M57/100,M57)*AC57</f>
        <v>0</v>
      </c>
      <c r="AT57" s="211">
        <f>IF('Prop DUOS'!O$69="cents",N57/100,N57)*IF('Prop DUOS'!O$71="day",AD57*'Prop DUOS'!$D$74,IF('Prop DUOS'!O$71="month",AD57*12,AD57))</f>
        <v>0</v>
      </c>
      <c r="AU57" s="211">
        <f>IF('Prop DUOS'!P$69="cents",O57/100,O57)*IF('Prop DUOS'!P$71="day",AE57*'Prop DUOS'!$D$74,IF('Prop DUOS'!P$71="month",AE57*12,AE57))</f>
        <v>0</v>
      </c>
      <c r="AV57" s="211">
        <f>IF('Prop DUOS'!Q$69="cents",P57/100,P57)*IF('Prop DUOS'!Q$71="day",AF57*'Prop DUOS'!$D$74,IF('Prop DUOS'!Q$71="month",AF57*12,AF57))</f>
        <v>0</v>
      </c>
      <c r="AW57" s="211">
        <f>IF('Prop DUOS'!R$69="cents",Q57/100,Q57)*IF('Prop DUOS'!R$71="day",AG57*'Prop DUOS'!$D$74,IF('Prop DUOS'!R$71="month",AG57*12,AG57))</f>
        <v>0</v>
      </c>
      <c r="AX57" s="211">
        <f>IF('Prop DUOS'!S$69="cents",R57/100,R57)*IF('Prop DUOS'!S$71="day",AH57*'Prop DUOS'!$D$74,IF('Prop DUOS'!S$71="month",AH57*12,AH57))</f>
        <v>0</v>
      </c>
      <c r="AY57" s="166">
        <f t="shared" si="0"/>
        <v>0</v>
      </c>
    </row>
    <row r="58" spans="2:51" s="158" customFormat="1">
      <c r="B58" s="449"/>
      <c r="C58" s="220"/>
      <c r="D58" s="553"/>
      <c r="E58" s="554"/>
      <c r="F58" s="554"/>
      <c r="G58" s="554"/>
      <c r="H58" s="554"/>
      <c r="I58" s="554"/>
      <c r="J58" s="554"/>
      <c r="K58" s="554"/>
      <c r="L58" s="554"/>
      <c r="M58" s="554"/>
      <c r="N58" s="554"/>
      <c r="O58" s="554"/>
      <c r="P58" s="554"/>
      <c r="Q58" s="623"/>
      <c r="R58" s="555"/>
      <c r="T58" s="437"/>
      <c r="U58" s="438"/>
      <c r="V58" s="438"/>
      <c r="W58" s="438"/>
      <c r="X58" s="438"/>
      <c r="Y58" s="438"/>
      <c r="Z58" s="438"/>
      <c r="AA58" s="438"/>
      <c r="AB58" s="438"/>
      <c r="AC58" s="438"/>
      <c r="AD58" s="438"/>
      <c r="AE58" s="438"/>
      <c r="AF58" s="438"/>
      <c r="AG58" s="611"/>
      <c r="AH58" s="439"/>
      <c r="AJ58" s="210">
        <f>IF('Prop DUOS'!$E$69="cents",D58/100,D58)*IF('Prop DUOS'!$E$71="day",T58*'Prop DUOS'!$D$74,T58)</f>
        <v>0</v>
      </c>
      <c r="AK58" s="211">
        <f>IF('Prop DUOS'!F$69="cents",E58/100,E58)*U58</f>
        <v>0</v>
      </c>
      <c r="AL58" s="211">
        <f>IF('Prop DUOS'!G$69="cents",F58/100,F58)*V58</f>
        <v>0</v>
      </c>
      <c r="AM58" s="211">
        <f>IF('Prop DUOS'!H$69="cents",G58/100,G58)*W58</f>
        <v>0</v>
      </c>
      <c r="AN58" s="211">
        <f>IF('Prop DUOS'!I$69="cents",H58/100,H58)*X58</f>
        <v>0</v>
      </c>
      <c r="AO58" s="211">
        <f>IF('Prop DUOS'!J$69="cents",I58/100,I58)*Y58</f>
        <v>0</v>
      </c>
      <c r="AP58" s="211">
        <f>IF('Prop DUOS'!K$69="cents",J58/100,J58)*Z58</f>
        <v>0</v>
      </c>
      <c r="AQ58" s="211">
        <f>IF('Prop DUOS'!L$69="cents",K58/100,K58)*AA58</f>
        <v>0</v>
      </c>
      <c r="AR58" s="211">
        <f>IF('Prop DUOS'!M$69="cents",L58/100,L58)*AB58</f>
        <v>0</v>
      </c>
      <c r="AS58" s="211">
        <f>IF('Prop DUOS'!N$69="cents",M58/100,M58)*AC58</f>
        <v>0</v>
      </c>
      <c r="AT58" s="211">
        <f>IF('Prop DUOS'!O$69="cents",N58/100,N58)*IF('Prop DUOS'!O$71="day",AD58*'Prop DUOS'!$D$74,IF('Prop DUOS'!O$71="month",AD58*12,AD58))</f>
        <v>0</v>
      </c>
      <c r="AU58" s="211">
        <f>IF('Prop DUOS'!P$69="cents",O58/100,O58)*IF('Prop DUOS'!P$71="day",AE58*'Prop DUOS'!$D$74,IF('Prop DUOS'!P$71="month",AE58*12,AE58))</f>
        <v>0</v>
      </c>
      <c r="AV58" s="211">
        <f>IF('Prop DUOS'!Q$69="cents",P58/100,P58)*IF('Prop DUOS'!Q$71="day",AF58*'Prop DUOS'!$D$74,IF('Prop DUOS'!Q$71="month",AF58*12,AF58))</f>
        <v>0</v>
      </c>
      <c r="AW58" s="211">
        <f>IF('Prop DUOS'!R$69="cents",Q58/100,Q58)*IF('Prop DUOS'!R$71="day",AG58*'Prop DUOS'!$D$74,IF('Prop DUOS'!R$71="month",AG58*12,AG58))</f>
        <v>0</v>
      </c>
      <c r="AX58" s="211">
        <f>IF('Prop DUOS'!S$69="cents",R58/100,R58)*IF('Prop DUOS'!S$71="day",AH58*'Prop DUOS'!$D$74,IF('Prop DUOS'!S$71="month",AH58*12,AH58))</f>
        <v>0</v>
      </c>
      <c r="AY58" s="166">
        <f t="shared" si="0"/>
        <v>0</v>
      </c>
    </row>
    <row r="59" spans="2:51" s="158" customFormat="1">
      <c r="B59" s="449"/>
      <c r="C59" s="220"/>
      <c r="D59" s="553"/>
      <c r="E59" s="554"/>
      <c r="F59" s="554"/>
      <c r="G59" s="554"/>
      <c r="H59" s="554"/>
      <c r="I59" s="554"/>
      <c r="J59" s="554"/>
      <c r="K59" s="554"/>
      <c r="L59" s="554"/>
      <c r="M59" s="554"/>
      <c r="N59" s="554"/>
      <c r="O59" s="554"/>
      <c r="P59" s="554"/>
      <c r="Q59" s="623"/>
      <c r="R59" s="555"/>
      <c r="T59" s="437"/>
      <c r="U59" s="438"/>
      <c r="V59" s="438"/>
      <c r="W59" s="438"/>
      <c r="X59" s="438"/>
      <c r="Y59" s="438"/>
      <c r="Z59" s="438"/>
      <c r="AA59" s="438"/>
      <c r="AB59" s="438"/>
      <c r="AC59" s="438"/>
      <c r="AD59" s="438"/>
      <c r="AE59" s="438"/>
      <c r="AF59" s="438"/>
      <c r="AG59" s="611"/>
      <c r="AH59" s="439"/>
      <c r="AJ59" s="210">
        <f>IF('Prop DUOS'!$E$69="cents",D59/100,D59)*IF('Prop DUOS'!$E$71="day",T59*'Prop DUOS'!$D$74,T59)</f>
        <v>0</v>
      </c>
      <c r="AK59" s="211">
        <f>IF('Prop DUOS'!F$69="cents",E59/100,E59)*U59</f>
        <v>0</v>
      </c>
      <c r="AL59" s="211">
        <f>IF('Prop DUOS'!G$69="cents",F59/100,F59)*V59</f>
        <v>0</v>
      </c>
      <c r="AM59" s="211">
        <f>IF('Prop DUOS'!H$69="cents",G59/100,G59)*W59</f>
        <v>0</v>
      </c>
      <c r="AN59" s="211">
        <f>IF('Prop DUOS'!I$69="cents",H59/100,H59)*X59</f>
        <v>0</v>
      </c>
      <c r="AO59" s="211">
        <f>IF('Prop DUOS'!J$69="cents",I59/100,I59)*Y59</f>
        <v>0</v>
      </c>
      <c r="AP59" s="211">
        <f>IF('Prop DUOS'!K$69="cents",J59/100,J59)*Z59</f>
        <v>0</v>
      </c>
      <c r="AQ59" s="211">
        <f>IF('Prop DUOS'!L$69="cents",K59/100,K59)*AA59</f>
        <v>0</v>
      </c>
      <c r="AR59" s="211">
        <f>IF('Prop DUOS'!M$69="cents",L59/100,L59)*AB59</f>
        <v>0</v>
      </c>
      <c r="AS59" s="211">
        <f>IF('Prop DUOS'!N$69="cents",M59/100,M59)*AC59</f>
        <v>0</v>
      </c>
      <c r="AT59" s="211">
        <f>IF('Prop DUOS'!O$69="cents",N59/100,N59)*IF('Prop DUOS'!O$71="day",AD59*'Prop DUOS'!$D$74,IF('Prop DUOS'!O$71="month",AD59*12,AD59))</f>
        <v>0</v>
      </c>
      <c r="AU59" s="211">
        <f>IF('Prop DUOS'!P$69="cents",O59/100,O59)*IF('Prop DUOS'!P$71="day",AE59*'Prop DUOS'!$D$74,IF('Prop DUOS'!P$71="month",AE59*12,AE59))</f>
        <v>0</v>
      </c>
      <c r="AV59" s="211">
        <f>IF('Prop DUOS'!Q$69="cents",P59/100,P59)*IF('Prop DUOS'!Q$71="day",AF59*'Prop DUOS'!$D$74,IF('Prop DUOS'!Q$71="month",AF59*12,AF59))</f>
        <v>0</v>
      </c>
      <c r="AW59" s="211">
        <f>IF('Prop DUOS'!R$69="cents",Q59/100,Q59)*IF('Prop DUOS'!R$71="day",AG59*'Prop DUOS'!$D$74,IF('Prop DUOS'!R$71="month",AG59*12,AG59))</f>
        <v>0</v>
      </c>
      <c r="AX59" s="211">
        <f>IF('Prop DUOS'!S$69="cents",R59/100,R59)*IF('Prop DUOS'!S$71="day",AH59*'Prop DUOS'!$D$74,IF('Prop DUOS'!S$71="month",AH59*12,AH59))</f>
        <v>0</v>
      </c>
      <c r="AY59" s="166">
        <f t="shared" si="0"/>
        <v>0</v>
      </c>
    </row>
    <row r="60" spans="2:51" s="158" customFormat="1">
      <c r="B60" s="449"/>
      <c r="C60" s="220"/>
      <c r="D60" s="553"/>
      <c r="E60" s="554"/>
      <c r="F60" s="554"/>
      <c r="G60" s="554"/>
      <c r="H60" s="554"/>
      <c r="I60" s="554"/>
      <c r="J60" s="554"/>
      <c r="K60" s="554"/>
      <c r="L60" s="554"/>
      <c r="M60" s="554"/>
      <c r="N60" s="554"/>
      <c r="O60" s="554"/>
      <c r="P60" s="554"/>
      <c r="Q60" s="623"/>
      <c r="R60" s="555"/>
      <c r="T60" s="437"/>
      <c r="U60" s="438"/>
      <c r="V60" s="438"/>
      <c r="W60" s="438"/>
      <c r="X60" s="438"/>
      <c r="Y60" s="438"/>
      <c r="Z60" s="438"/>
      <c r="AA60" s="438"/>
      <c r="AB60" s="438"/>
      <c r="AC60" s="438"/>
      <c r="AD60" s="438"/>
      <c r="AE60" s="438"/>
      <c r="AF60" s="438"/>
      <c r="AG60" s="611"/>
      <c r="AH60" s="439"/>
      <c r="AJ60" s="210">
        <f>IF('Prop DUOS'!$E$69="cents",D60/100,D60)*IF('Prop DUOS'!$E$71="day",T60*'Prop DUOS'!$D$74,T60)</f>
        <v>0</v>
      </c>
      <c r="AK60" s="211">
        <f>IF('Prop DUOS'!F$69="cents",E60/100,E60)*U60</f>
        <v>0</v>
      </c>
      <c r="AL60" s="211">
        <f>IF('Prop DUOS'!G$69="cents",F60/100,F60)*V60</f>
        <v>0</v>
      </c>
      <c r="AM60" s="211">
        <f>IF('Prop DUOS'!H$69="cents",G60/100,G60)*W60</f>
        <v>0</v>
      </c>
      <c r="AN60" s="211">
        <f>IF('Prop DUOS'!I$69="cents",H60/100,H60)*X60</f>
        <v>0</v>
      </c>
      <c r="AO60" s="211">
        <f>IF('Prop DUOS'!J$69="cents",I60/100,I60)*Y60</f>
        <v>0</v>
      </c>
      <c r="AP60" s="211">
        <f>IF('Prop DUOS'!K$69="cents",J60/100,J60)*Z60</f>
        <v>0</v>
      </c>
      <c r="AQ60" s="211">
        <f>IF('Prop DUOS'!L$69="cents",K60/100,K60)*AA60</f>
        <v>0</v>
      </c>
      <c r="AR60" s="211">
        <f>IF('Prop DUOS'!M$69="cents",L60/100,L60)*AB60</f>
        <v>0</v>
      </c>
      <c r="AS60" s="211">
        <f>IF('Prop DUOS'!N$69="cents",M60/100,M60)*AC60</f>
        <v>0</v>
      </c>
      <c r="AT60" s="211">
        <f>IF('Prop DUOS'!O$69="cents",N60/100,N60)*IF('Prop DUOS'!O$71="day",AD60*'Prop DUOS'!$D$74,IF('Prop DUOS'!O$71="month",AD60*12,AD60))</f>
        <v>0</v>
      </c>
      <c r="AU60" s="211">
        <f>IF('Prop DUOS'!P$69="cents",O60/100,O60)*IF('Prop DUOS'!P$71="day",AE60*'Prop DUOS'!$D$74,IF('Prop DUOS'!P$71="month",AE60*12,AE60))</f>
        <v>0</v>
      </c>
      <c r="AV60" s="211">
        <f>IF('Prop DUOS'!Q$69="cents",P60/100,P60)*IF('Prop DUOS'!Q$71="day",AF60*'Prop DUOS'!$D$74,IF('Prop DUOS'!Q$71="month",AF60*12,AF60))</f>
        <v>0</v>
      </c>
      <c r="AW60" s="211">
        <f>IF('Prop DUOS'!R$69="cents",Q60/100,Q60)*IF('Prop DUOS'!R$71="day",AG60*'Prop DUOS'!$D$74,IF('Prop DUOS'!R$71="month",AG60*12,AG60))</f>
        <v>0</v>
      </c>
      <c r="AX60" s="211">
        <f>IF('Prop DUOS'!S$69="cents",R60/100,R60)*IF('Prop DUOS'!S$71="day",AH60*'Prop DUOS'!$D$74,IF('Prop DUOS'!S$71="month",AH60*12,AH60))</f>
        <v>0</v>
      </c>
      <c r="AY60" s="166">
        <f t="shared" si="0"/>
        <v>0</v>
      </c>
    </row>
    <row r="61" spans="2:51" s="158" customFormat="1">
      <c r="B61" s="449"/>
      <c r="C61" s="220"/>
      <c r="D61" s="553"/>
      <c r="E61" s="554"/>
      <c r="F61" s="554"/>
      <c r="G61" s="554"/>
      <c r="H61" s="554"/>
      <c r="I61" s="554"/>
      <c r="J61" s="554"/>
      <c r="K61" s="554"/>
      <c r="L61" s="554"/>
      <c r="M61" s="554"/>
      <c r="N61" s="554"/>
      <c r="O61" s="554"/>
      <c r="P61" s="554"/>
      <c r="Q61" s="623"/>
      <c r="R61" s="555"/>
      <c r="T61" s="437"/>
      <c r="U61" s="438"/>
      <c r="V61" s="438"/>
      <c r="W61" s="438"/>
      <c r="X61" s="438"/>
      <c r="Y61" s="438"/>
      <c r="Z61" s="438"/>
      <c r="AA61" s="438"/>
      <c r="AB61" s="438"/>
      <c r="AC61" s="438"/>
      <c r="AD61" s="438"/>
      <c r="AE61" s="438"/>
      <c r="AF61" s="438"/>
      <c r="AG61" s="611"/>
      <c r="AH61" s="439"/>
      <c r="AJ61" s="210">
        <f>IF('Prop DUOS'!$E$69="cents",D61/100,D61)*IF('Prop DUOS'!$E$71="day",T61*'Prop DUOS'!$D$74,T61)</f>
        <v>0</v>
      </c>
      <c r="AK61" s="211">
        <f>IF('Prop DUOS'!F$69="cents",E61/100,E61)*U61</f>
        <v>0</v>
      </c>
      <c r="AL61" s="211">
        <f>IF('Prop DUOS'!G$69="cents",F61/100,F61)*V61</f>
        <v>0</v>
      </c>
      <c r="AM61" s="211">
        <f>IF('Prop DUOS'!H$69="cents",G61/100,G61)*W61</f>
        <v>0</v>
      </c>
      <c r="AN61" s="211">
        <f>IF('Prop DUOS'!I$69="cents",H61/100,H61)*X61</f>
        <v>0</v>
      </c>
      <c r="AO61" s="211">
        <f>IF('Prop DUOS'!J$69="cents",I61/100,I61)*Y61</f>
        <v>0</v>
      </c>
      <c r="AP61" s="211">
        <f>IF('Prop DUOS'!K$69="cents",J61/100,J61)*Z61</f>
        <v>0</v>
      </c>
      <c r="AQ61" s="211">
        <f>IF('Prop DUOS'!L$69="cents",K61/100,K61)*AA61</f>
        <v>0</v>
      </c>
      <c r="AR61" s="211">
        <f>IF('Prop DUOS'!M$69="cents",L61/100,L61)*AB61</f>
        <v>0</v>
      </c>
      <c r="AS61" s="211">
        <f>IF('Prop DUOS'!N$69="cents",M61/100,M61)*AC61</f>
        <v>0</v>
      </c>
      <c r="AT61" s="211">
        <f>IF('Prop DUOS'!O$69="cents",N61/100,N61)*IF('Prop DUOS'!O$71="day",AD61*'Prop DUOS'!$D$74,IF('Prop DUOS'!O$71="month",AD61*12,AD61))</f>
        <v>0</v>
      </c>
      <c r="AU61" s="211">
        <f>IF('Prop DUOS'!P$69="cents",O61/100,O61)*IF('Prop DUOS'!P$71="day",AE61*'Prop DUOS'!$D$74,IF('Prop DUOS'!P$71="month",AE61*12,AE61))</f>
        <v>0</v>
      </c>
      <c r="AV61" s="211">
        <f>IF('Prop DUOS'!Q$69="cents",P61/100,P61)*IF('Prop DUOS'!Q$71="day",AF61*'Prop DUOS'!$D$74,IF('Prop DUOS'!Q$71="month",AF61*12,AF61))</f>
        <v>0</v>
      </c>
      <c r="AW61" s="211">
        <f>IF('Prop DUOS'!R$69="cents",Q61/100,Q61)*IF('Prop DUOS'!R$71="day",AG61*'Prop DUOS'!$D$74,IF('Prop DUOS'!R$71="month",AG61*12,AG61))</f>
        <v>0</v>
      </c>
      <c r="AX61" s="211">
        <f>IF('Prop DUOS'!S$69="cents",R61/100,R61)*IF('Prop DUOS'!S$71="day",AH61*'Prop DUOS'!$D$74,IF('Prop DUOS'!S$71="month",AH61*12,AH61))</f>
        <v>0</v>
      </c>
      <c r="AY61" s="166">
        <f t="shared" si="0"/>
        <v>0</v>
      </c>
    </row>
    <row r="62" spans="2:51" s="158" customFormat="1">
      <c r="B62" s="449"/>
      <c r="C62" s="220"/>
      <c r="D62" s="553"/>
      <c r="E62" s="554"/>
      <c r="F62" s="554"/>
      <c r="G62" s="554"/>
      <c r="H62" s="554"/>
      <c r="I62" s="554"/>
      <c r="J62" s="554"/>
      <c r="K62" s="554"/>
      <c r="L62" s="554"/>
      <c r="M62" s="554"/>
      <c r="N62" s="554"/>
      <c r="O62" s="554"/>
      <c r="P62" s="554"/>
      <c r="Q62" s="623"/>
      <c r="R62" s="555"/>
      <c r="T62" s="437"/>
      <c r="U62" s="438"/>
      <c r="V62" s="438"/>
      <c r="W62" s="438"/>
      <c r="X62" s="438"/>
      <c r="Y62" s="438"/>
      <c r="Z62" s="438"/>
      <c r="AA62" s="438"/>
      <c r="AB62" s="438"/>
      <c r="AC62" s="438"/>
      <c r="AD62" s="438"/>
      <c r="AE62" s="438"/>
      <c r="AF62" s="438"/>
      <c r="AG62" s="611"/>
      <c r="AH62" s="439"/>
      <c r="AJ62" s="210">
        <f>IF('Prop DUOS'!$E$69="cents",D62/100,D62)*IF('Prop DUOS'!$E$71="day",T62*'Prop DUOS'!$D$74,T62)</f>
        <v>0</v>
      </c>
      <c r="AK62" s="211">
        <f>IF('Prop DUOS'!F$69="cents",E62/100,E62)*U62</f>
        <v>0</v>
      </c>
      <c r="AL62" s="211">
        <f>IF('Prop DUOS'!G$69="cents",F62/100,F62)*V62</f>
        <v>0</v>
      </c>
      <c r="AM62" s="211">
        <f>IF('Prop DUOS'!H$69="cents",G62/100,G62)*W62</f>
        <v>0</v>
      </c>
      <c r="AN62" s="211">
        <f>IF('Prop DUOS'!I$69="cents",H62/100,H62)*X62</f>
        <v>0</v>
      </c>
      <c r="AO62" s="211">
        <f>IF('Prop DUOS'!J$69="cents",I62/100,I62)*Y62</f>
        <v>0</v>
      </c>
      <c r="AP62" s="211">
        <f>IF('Prop DUOS'!K$69="cents",J62/100,J62)*Z62</f>
        <v>0</v>
      </c>
      <c r="AQ62" s="211">
        <f>IF('Prop DUOS'!L$69="cents",K62/100,K62)*AA62</f>
        <v>0</v>
      </c>
      <c r="AR62" s="211">
        <f>IF('Prop DUOS'!M$69="cents",L62/100,L62)*AB62</f>
        <v>0</v>
      </c>
      <c r="AS62" s="211">
        <f>IF('Prop DUOS'!N$69="cents",M62/100,M62)*AC62</f>
        <v>0</v>
      </c>
      <c r="AT62" s="211">
        <f>IF('Prop DUOS'!O$69="cents",N62/100,N62)*IF('Prop DUOS'!O$71="day",AD62*'Prop DUOS'!$D$74,IF('Prop DUOS'!O$71="month",AD62*12,AD62))</f>
        <v>0</v>
      </c>
      <c r="AU62" s="211">
        <f>IF('Prop DUOS'!P$69="cents",O62/100,O62)*IF('Prop DUOS'!P$71="day",AE62*'Prop DUOS'!$D$74,IF('Prop DUOS'!P$71="month",AE62*12,AE62))</f>
        <v>0</v>
      </c>
      <c r="AV62" s="211">
        <f>IF('Prop DUOS'!Q$69="cents",P62/100,P62)*IF('Prop DUOS'!Q$71="day",AF62*'Prop DUOS'!$D$74,IF('Prop DUOS'!Q$71="month",AF62*12,AF62))</f>
        <v>0</v>
      </c>
      <c r="AW62" s="211">
        <f>IF('Prop DUOS'!R$69="cents",Q62/100,Q62)*IF('Prop DUOS'!R$71="day",AG62*'Prop DUOS'!$D$74,IF('Prop DUOS'!R$71="month",AG62*12,AG62))</f>
        <v>0</v>
      </c>
      <c r="AX62" s="211">
        <f>IF('Prop DUOS'!S$69="cents",R62/100,R62)*IF('Prop DUOS'!S$71="day",AH62*'Prop DUOS'!$D$74,IF('Prop DUOS'!S$71="month",AH62*12,AH62))</f>
        <v>0</v>
      </c>
      <c r="AY62" s="166">
        <f t="shared" si="0"/>
        <v>0</v>
      </c>
    </row>
    <row r="63" spans="2:51" s="158" customFormat="1">
      <c r="B63" s="449"/>
      <c r="C63" s="220"/>
      <c r="D63" s="553"/>
      <c r="E63" s="554"/>
      <c r="F63" s="554"/>
      <c r="G63" s="554"/>
      <c r="H63" s="554"/>
      <c r="I63" s="554"/>
      <c r="J63" s="554"/>
      <c r="K63" s="554"/>
      <c r="L63" s="554"/>
      <c r="M63" s="554"/>
      <c r="N63" s="554"/>
      <c r="O63" s="554"/>
      <c r="P63" s="554"/>
      <c r="Q63" s="623"/>
      <c r="R63" s="555"/>
      <c r="T63" s="437"/>
      <c r="U63" s="438"/>
      <c r="V63" s="438"/>
      <c r="W63" s="438"/>
      <c r="X63" s="438"/>
      <c r="Y63" s="438"/>
      <c r="Z63" s="438"/>
      <c r="AA63" s="438"/>
      <c r="AB63" s="438"/>
      <c r="AC63" s="438"/>
      <c r="AD63" s="438"/>
      <c r="AE63" s="438"/>
      <c r="AF63" s="438"/>
      <c r="AG63" s="611"/>
      <c r="AH63" s="439"/>
      <c r="AJ63" s="210">
        <f>IF('Prop DUOS'!$E$69="cents",D63/100,D63)*IF('Prop DUOS'!$E$71="day",T63*'Prop DUOS'!$D$74,T63)</f>
        <v>0</v>
      </c>
      <c r="AK63" s="211">
        <f>IF('Prop DUOS'!F$69="cents",E63/100,E63)*U63</f>
        <v>0</v>
      </c>
      <c r="AL63" s="211">
        <f>IF('Prop DUOS'!G$69="cents",F63/100,F63)*V63</f>
        <v>0</v>
      </c>
      <c r="AM63" s="211">
        <f>IF('Prop DUOS'!H$69="cents",G63/100,G63)*W63</f>
        <v>0</v>
      </c>
      <c r="AN63" s="211">
        <f>IF('Prop DUOS'!I$69="cents",H63/100,H63)*X63</f>
        <v>0</v>
      </c>
      <c r="AO63" s="211">
        <f>IF('Prop DUOS'!J$69="cents",I63/100,I63)*Y63</f>
        <v>0</v>
      </c>
      <c r="AP63" s="211">
        <f>IF('Prop DUOS'!K$69="cents",J63/100,J63)*Z63</f>
        <v>0</v>
      </c>
      <c r="AQ63" s="211">
        <f>IF('Prop DUOS'!L$69="cents",K63/100,K63)*AA63</f>
        <v>0</v>
      </c>
      <c r="AR63" s="211">
        <f>IF('Prop DUOS'!M$69="cents",L63/100,L63)*AB63</f>
        <v>0</v>
      </c>
      <c r="AS63" s="211">
        <f>IF('Prop DUOS'!N$69="cents",M63/100,M63)*AC63</f>
        <v>0</v>
      </c>
      <c r="AT63" s="211">
        <f>IF('Prop DUOS'!O$69="cents",N63/100,N63)*IF('Prop DUOS'!O$71="day",AD63*'Prop DUOS'!$D$74,IF('Prop DUOS'!O$71="month",AD63*12,AD63))</f>
        <v>0</v>
      </c>
      <c r="AU63" s="211">
        <f>IF('Prop DUOS'!P$69="cents",O63/100,O63)*IF('Prop DUOS'!P$71="day",AE63*'Prop DUOS'!$D$74,IF('Prop DUOS'!P$71="month",AE63*12,AE63))</f>
        <v>0</v>
      </c>
      <c r="AV63" s="211">
        <f>IF('Prop DUOS'!Q$69="cents",P63/100,P63)*IF('Prop DUOS'!Q$71="day",AF63*'Prop DUOS'!$D$74,IF('Prop DUOS'!Q$71="month",AF63*12,AF63))</f>
        <v>0</v>
      </c>
      <c r="AW63" s="211">
        <f>IF('Prop DUOS'!R$69="cents",Q63/100,Q63)*IF('Prop DUOS'!R$71="day",AG63*'Prop DUOS'!$D$74,IF('Prop DUOS'!R$71="month",AG63*12,AG63))</f>
        <v>0</v>
      </c>
      <c r="AX63" s="211">
        <f>IF('Prop DUOS'!S$69="cents",R63/100,R63)*IF('Prop DUOS'!S$71="day",AH63*'Prop DUOS'!$D$74,IF('Prop DUOS'!S$71="month",AH63*12,AH63))</f>
        <v>0</v>
      </c>
      <c r="AY63" s="166">
        <f t="shared" si="0"/>
        <v>0</v>
      </c>
    </row>
    <row r="64" spans="2:51" s="158" customFormat="1">
      <c r="B64" s="449"/>
      <c r="C64" s="220"/>
      <c r="D64" s="553"/>
      <c r="E64" s="554"/>
      <c r="F64" s="554"/>
      <c r="G64" s="554"/>
      <c r="H64" s="554"/>
      <c r="I64" s="554"/>
      <c r="J64" s="554"/>
      <c r="K64" s="554"/>
      <c r="L64" s="554"/>
      <c r="M64" s="554"/>
      <c r="N64" s="554"/>
      <c r="O64" s="554"/>
      <c r="P64" s="554"/>
      <c r="Q64" s="623"/>
      <c r="R64" s="555"/>
      <c r="T64" s="437"/>
      <c r="U64" s="438"/>
      <c r="V64" s="438"/>
      <c r="W64" s="438"/>
      <c r="X64" s="438"/>
      <c r="Y64" s="438"/>
      <c r="Z64" s="438"/>
      <c r="AA64" s="438"/>
      <c r="AB64" s="438"/>
      <c r="AC64" s="438"/>
      <c r="AD64" s="438"/>
      <c r="AE64" s="438"/>
      <c r="AF64" s="438"/>
      <c r="AG64" s="611"/>
      <c r="AH64" s="439"/>
      <c r="AJ64" s="210">
        <f>IF('Prop DUOS'!$E$69="cents",D64/100,D64)*IF('Prop DUOS'!$E$71="day",T64*'Prop DUOS'!$D$74,T64)</f>
        <v>0</v>
      </c>
      <c r="AK64" s="211">
        <f>IF('Prop DUOS'!F$69="cents",E64/100,E64)*U64</f>
        <v>0</v>
      </c>
      <c r="AL64" s="211">
        <f>IF('Prop DUOS'!G$69="cents",F64/100,F64)*V64</f>
        <v>0</v>
      </c>
      <c r="AM64" s="211">
        <f>IF('Prop DUOS'!H$69="cents",G64/100,G64)*W64</f>
        <v>0</v>
      </c>
      <c r="AN64" s="211">
        <f>IF('Prop DUOS'!I$69="cents",H64/100,H64)*X64</f>
        <v>0</v>
      </c>
      <c r="AO64" s="211">
        <f>IF('Prop DUOS'!J$69="cents",I64/100,I64)*Y64</f>
        <v>0</v>
      </c>
      <c r="AP64" s="211">
        <f>IF('Prop DUOS'!K$69="cents",J64/100,J64)*Z64</f>
        <v>0</v>
      </c>
      <c r="AQ64" s="211">
        <f>IF('Prop DUOS'!L$69="cents",K64/100,K64)*AA64</f>
        <v>0</v>
      </c>
      <c r="AR64" s="211">
        <f>IF('Prop DUOS'!M$69="cents",L64/100,L64)*AB64</f>
        <v>0</v>
      </c>
      <c r="AS64" s="211">
        <f>IF('Prop DUOS'!N$69="cents",M64/100,M64)*AC64</f>
        <v>0</v>
      </c>
      <c r="AT64" s="211">
        <f>IF('Prop DUOS'!O$69="cents",N64/100,N64)*IF('Prop DUOS'!O$71="day",AD64*'Prop DUOS'!$D$74,IF('Prop DUOS'!O$71="month",AD64*12,AD64))</f>
        <v>0</v>
      </c>
      <c r="AU64" s="211">
        <f>IF('Prop DUOS'!P$69="cents",O64/100,O64)*IF('Prop DUOS'!P$71="day",AE64*'Prop DUOS'!$D$74,IF('Prop DUOS'!P$71="month",AE64*12,AE64))</f>
        <v>0</v>
      </c>
      <c r="AV64" s="211">
        <f>IF('Prop DUOS'!Q$69="cents",P64/100,P64)*IF('Prop DUOS'!Q$71="day",AF64*'Prop DUOS'!$D$74,IF('Prop DUOS'!Q$71="month",AF64*12,AF64))</f>
        <v>0</v>
      </c>
      <c r="AW64" s="211">
        <f>IF('Prop DUOS'!R$69="cents",Q64/100,Q64)*IF('Prop DUOS'!R$71="day",AG64*'Prop DUOS'!$D$74,IF('Prop DUOS'!R$71="month",AG64*12,AG64))</f>
        <v>0</v>
      </c>
      <c r="AX64" s="211">
        <f>IF('Prop DUOS'!S$69="cents",R64/100,R64)*IF('Prop DUOS'!S$71="day",AH64*'Prop DUOS'!$D$74,IF('Prop DUOS'!S$71="month",AH64*12,AH64))</f>
        <v>0</v>
      </c>
      <c r="AY64" s="166">
        <f t="shared" si="0"/>
        <v>0</v>
      </c>
    </row>
    <row r="65" spans="2:51" s="158" customFormat="1">
      <c r="B65" s="449"/>
      <c r="C65" s="220"/>
      <c r="D65" s="553"/>
      <c r="E65" s="554"/>
      <c r="F65" s="554"/>
      <c r="G65" s="554"/>
      <c r="H65" s="554"/>
      <c r="I65" s="554"/>
      <c r="J65" s="554"/>
      <c r="K65" s="554"/>
      <c r="L65" s="554"/>
      <c r="M65" s="554"/>
      <c r="N65" s="554"/>
      <c r="O65" s="554"/>
      <c r="P65" s="554"/>
      <c r="Q65" s="623"/>
      <c r="R65" s="555"/>
      <c r="T65" s="437"/>
      <c r="U65" s="438"/>
      <c r="V65" s="438"/>
      <c r="W65" s="438"/>
      <c r="X65" s="438"/>
      <c r="Y65" s="438"/>
      <c r="Z65" s="438"/>
      <c r="AA65" s="438"/>
      <c r="AB65" s="438"/>
      <c r="AC65" s="438"/>
      <c r="AD65" s="438"/>
      <c r="AE65" s="438"/>
      <c r="AF65" s="438"/>
      <c r="AG65" s="611"/>
      <c r="AH65" s="439"/>
      <c r="AJ65" s="210">
        <f>IF('Prop DUOS'!$E$69="cents",D65/100,D65)*IF('Prop DUOS'!$E$71="day",T65*'Prop DUOS'!$D$74,T65)</f>
        <v>0</v>
      </c>
      <c r="AK65" s="211">
        <f>IF('Prop DUOS'!F$69="cents",E65/100,E65)*U65</f>
        <v>0</v>
      </c>
      <c r="AL65" s="211">
        <f>IF('Prop DUOS'!G$69="cents",F65/100,F65)*V65</f>
        <v>0</v>
      </c>
      <c r="AM65" s="211">
        <f>IF('Prop DUOS'!H$69="cents",G65/100,G65)*W65</f>
        <v>0</v>
      </c>
      <c r="AN65" s="211">
        <f>IF('Prop DUOS'!I$69="cents",H65/100,H65)*X65</f>
        <v>0</v>
      </c>
      <c r="AO65" s="211">
        <f>IF('Prop DUOS'!J$69="cents",I65/100,I65)*Y65</f>
        <v>0</v>
      </c>
      <c r="AP65" s="211">
        <f>IF('Prop DUOS'!K$69="cents",J65/100,J65)*Z65</f>
        <v>0</v>
      </c>
      <c r="AQ65" s="211">
        <f>IF('Prop DUOS'!L$69="cents",K65/100,K65)*AA65</f>
        <v>0</v>
      </c>
      <c r="AR65" s="211">
        <f>IF('Prop DUOS'!M$69="cents",L65/100,L65)*AB65</f>
        <v>0</v>
      </c>
      <c r="AS65" s="211">
        <f>IF('Prop DUOS'!N$69="cents",M65/100,M65)*AC65</f>
        <v>0</v>
      </c>
      <c r="AT65" s="211">
        <f>IF('Prop DUOS'!O$69="cents",N65/100,N65)*IF('Prop DUOS'!O$71="day",AD65*'Prop DUOS'!$D$74,IF('Prop DUOS'!O$71="month",AD65*12,AD65))</f>
        <v>0</v>
      </c>
      <c r="AU65" s="211">
        <f>IF('Prop DUOS'!P$69="cents",O65/100,O65)*IF('Prop DUOS'!P$71="day",AE65*'Prop DUOS'!$D$74,IF('Prop DUOS'!P$71="month",AE65*12,AE65))</f>
        <v>0</v>
      </c>
      <c r="AV65" s="211">
        <f>IF('Prop DUOS'!Q$69="cents",P65/100,P65)*IF('Prop DUOS'!Q$71="day",AF65*'Prop DUOS'!$D$74,IF('Prop DUOS'!Q$71="month",AF65*12,AF65))</f>
        <v>0</v>
      </c>
      <c r="AW65" s="211">
        <f>IF('Prop DUOS'!R$69="cents",Q65/100,Q65)*IF('Prop DUOS'!R$71="day",AG65*'Prop DUOS'!$D$74,IF('Prop DUOS'!R$71="month",AG65*12,AG65))</f>
        <v>0</v>
      </c>
      <c r="AX65" s="211">
        <f>IF('Prop DUOS'!S$69="cents",R65/100,R65)*IF('Prop DUOS'!S$71="day",AH65*'Prop DUOS'!$D$74,IF('Prop DUOS'!S$71="month",AH65*12,AH65))</f>
        <v>0</v>
      </c>
      <c r="AY65" s="166">
        <f t="shared" si="0"/>
        <v>0</v>
      </c>
    </row>
    <row r="66" spans="2:51" s="158" customFormat="1" ht="13.5" thickBot="1">
      <c r="B66" s="716"/>
      <c r="C66" s="224"/>
      <c r="D66" s="556"/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557"/>
      <c r="Q66" s="624"/>
      <c r="R66" s="558"/>
      <c r="T66" s="465"/>
      <c r="U66" s="466"/>
      <c r="V66" s="466"/>
      <c r="W66" s="466"/>
      <c r="X66" s="466"/>
      <c r="Y66" s="466"/>
      <c r="Z66" s="466"/>
      <c r="AA66" s="466"/>
      <c r="AB66" s="466"/>
      <c r="AC66" s="466"/>
      <c r="AD66" s="466"/>
      <c r="AE66" s="466"/>
      <c r="AF66" s="466"/>
      <c r="AG66" s="625"/>
      <c r="AH66" s="467"/>
      <c r="AJ66" s="215">
        <f>IF('Prop DUOS'!$E$69="cents",D66/100,D66)*IF('Prop DUOS'!$E$71="day",T66*'Prop DUOS'!$D$74,T66)</f>
        <v>0</v>
      </c>
      <c r="AK66" s="216">
        <f>IF('Prop DUOS'!F$69="cents",E66/100,E66)*U66</f>
        <v>0</v>
      </c>
      <c r="AL66" s="216">
        <f>IF('Prop DUOS'!G$69="cents",F66/100,F66)*V66</f>
        <v>0</v>
      </c>
      <c r="AM66" s="216">
        <f>IF('Prop DUOS'!H$69="cents",G66/100,G66)*W66</f>
        <v>0</v>
      </c>
      <c r="AN66" s="216">
        <f>IF('Prop DUOS'!I$69="cents",H66/100,H66)*X66</f>
        <v>0</v>
      </c>
      <c r="AO66" s="216">
        <f>IF('Prop DUOS'!J$69="cents",I66/100,I66)*Y66</f>
        <v>0</v>
      </c>
      <c r="AP66" s="216">
        <f>IF('Prop DUOS'!K$69="cents",J66/100,J66)*Z66</f>
        <v>0</v>
      </c>
      <c r="AQ66" s="216">
        <f>IF('Prop DUOS'!L$69="cents",K66/100,K66)*AA66</f>
        <v>0</v>
      </c>
      <c r="AR66" s="216">
        <f>IF('Prop DUOS'!M$69="cents",L66/100,L66)*AB66</f>
        <v>0</v>
      </c>
      <c r="AS66" s="216">
        <f>IF('Prop DUOS'!N$69="cents",M66/100,M66)*AC66</f>
        <v>0</v>
      </c>
      <c r="AT66" s="216">
        <f>IF('Prop DUOS'!O$69="cents",N66/100,N66)*IF('Prop DUOS'!O$71="day",AD66*'Prop DUOS'!$D$74,IF('Prop DUOS'!O$71="month",AD66*12,AD66))</f>
        <v>0</v>
      </c>
      <c r="AU66" s="216">
        <f>IF('Prop DUOS'!P$69="cents",O66/100,O66)*IF('Prop DUOS'!P$71="day",AE66*'Prop DUOS'!$D$74,IF('Prop DUOS'!P$71="month",AE66*12,AE66))</f>
        <v>0</v>
      </c>
      <c r="AV66" s="216">
        <f>IF('Prop DUOS'!Q$69="cents",P66/100,P66)*IF('Prop DUOS'!Q$71="day",AF66*'Prop DUOS'!$D$74,IF('Prop DUOS'!Q$71="month",AF66*12,AF66))</f>
        <v>0</v>
      </c>
      <c r="AW66" s="216">
        <f>IF('Prop DUOS'!R$69="cents",Q66/100,Q66)*IF('Prop DUOS'!R$71="day",AG66*'Prop DUOS'!$D$74,IF('Prop DUOS'!R$71="month",AG66*12,AG66))</f>
        <v>0</v>
      </c>
      <c r="AX66" s="216">
        <f>IF('Prop DUOS'!S$69="cents",R66/100,R66)*IF('Prop DUOS'!S$71="day",AH66*'Prop DUOS'!$D$74,IF('Prop DUOS'!S$71="month",AH66*12,AH66))</f>
        <v>0</v>
      </c>
      <c r="AY66" s="169">
        <f t="shared" si="0"/>
        <v>0</v>
      </c>
    </row>
    <row r="67" spans="2:51" ht="13.5" thickBot="1">
      <c r="B67" s="103"/>
      <c r="C67" s="70"/>
      <c r="T67" s="104">
        <f t="shared" ref="T67:AC67" si="1">SUM(T7:T66)</f>
        <v>766963.09069204866</v>
      </c>
      <c r="U67" s="104">
        <f t="shared" si="1"/>
        <v>665702463.90841091</v>
      </c>
      <c r="V67" s="104">
        <f t="shared" si="1"/>
        <v>9379608.41650513</v>
      </c>
      <c r="W67" s="104">
        <f t="shared" si="1"/>
        <v>593303532.52327466</v>
      </c>
      <c r="X67" s="104">
        <f t="shared" si="1"/>
        <v>738171061.31989205</v>
      </c>
      <c r="Y67" s="104">
        <f t="shared" si="1"/>
        <v>0</v>
      </c>
      <c r="Z67" s="104">
        <f t="shared" si="1"/>
        <v>578055496.1339345</v>
      </c>
      <c r="AA67" s="104">
        <f t="shared" si="1"/>
        <v>1123247601.5772774</v>
      </c>
      <c r="AB67" s="104"/>
      <c r="AC67" s="104">
        <f t="shared" si="1"/>
        <v>0</v>
      </c>
      <c r="AD67" s="104">
        <f t="shared" ref="AD67:AP67" si="2">SUM(AD7:AD66)</f>
        <v>1170782.0580771735</v>
      </c>
      <c r="AE67" s="104">
        <f t="shared" si="2"/>
        <v>430049.13928453001</v>
      </c>
      <c r="AF67" s="104">
        <f t="shared" si="2"/>
        <v>112209.30173034966</v>
      </c>
      <c r="AG67" s="104">
        <f t="shared" ref="AG67" si="3">SUM(AG7:AG66)</f>
        <v>100803.30834531946</v>
      </c>
      <c r="AH67" s="104">
        <f t="shared" si="2"/>
        <v>0</v>
      </c>
      <c r="AJ67" s="104">
        <f t="shared" si="2"/>
        <v>14381166.75500728</v>
      </c>
      <c r="AK67" s="104">
        <f t="shared" si="2"/>
        <v>38060908.541947447</v>
      </c>
      <c r="AL67" s="104">
        <f t="shared" si="2"/>
        <v>325045.8781502588</v>
      </c>
      <c r="AM67" s="104">
        <f t="shared" si="2"/>
        <v>14441828.815208577</v>
      </c>
      <c r="AN67" s="104">
        <f t="shared" si="2"/>
        <v>42132089.789470606</v>
      </c>
      <c r="AO67" s="104">
        <f t="shared" si="2"/>
        <v>0</v>
      </c>
      <c r="AP67" s="104">
        <f t="shared" si="2"/>
        <v>14659271.130258428</v>
      </c>
      <c r="AQ67" s="104">
        <f t="shared" ref="AQ67:AY67" si="4">SUM(AQ7:AQ66)</f>
        <v>12187678.629071152</v>
      </c>
      <c r="AR67" s="104">
        <f t="shared" ref="AR67" si="5">SUM(AR7:AR66)</f>
        <v>422297.15948936203</v>
      </c>
      <c r="AS67" s="104">
        <f t="shared" si="4"/>
        <v>0</v>
      </c>
      <c r="AT67" s="104">
        <f t="shared" si="4"/>
        <v>23640164.704826966</v>
      </c>
      <c r="AU67" s="104">
        <f t="shared" si="4"/>
        <v>12894106.347393481</v>
      </c>
      <c r="AV67" s="104">
        <f t="shared" si="4"/>
        <v>6611879.1686954526</v>
      </c>
      <c r="AW67" s="104">
        <f t="shared" ref="AW67:AX67" si="6">SUM(AW7:AW66)</f>
        <v>3946942.6369263767</v>
      </c>
      <c r="AX67" s="104">
        <f t="shared" si="6"/>
        <v>0</v>
      </c>
      <c r="AY67" s="104">
        <f t="shared" si="4"/>
        <v>183703379.55644539</v>
      </c>
    </row>
    <row r="68" spans="2:51" ht="13.5" thickTop="1">
      <c r="B68" s="103"/>
      <c r="C68" s="70"/>
      <c r="Z68" s="804" t="s">
        <v>139</v>
      </c>
      <c r="AA68" s="804"/>
      <c r="AB68" s="714"/>
      <c r="AC68" s="378">
        <f>SUM(U67:AC67)/1000000</f>
        <v>3707.8597638792944</v>
      </c>
    </row>
    <row r="69" spans="2:51">
      <c r="B69" s="103"/>
      <c r="C69" s="70"/>
      <c r="AY69" s="106"/>
    </row>
    <row r="70" spans="2:51">
      <c r="B70" s="103"/>
      <c r="C70" s="70"/>
    </row>
    <row r="71" spans="2:51">
      <c r="B71" s="103"/>
      <c r="C71" s="70"/>
    </row>
    <row r="72" spans="2:51">
      <c r="B72" s="103"/>
      <c r="C72" s="70"/>
    </row>
    <row r="73" spans="2:51">
      <c r="B73" s="103"/>
      <c r="C73" s="70"/>
    </row>
    <row r="74" spans="2:51">
      <c r="B74" s="103"/>
      <c r="C74" s="70"/>
    </row>
    <row r="75" spans="2:51">
      <c r="B75" s="103"/>
      <c r="C75" s="70"/>
    </row>
    <row r="76" spans="2:51">
      <c r="B76" s="103"/>
      <c r="C76" s="70"/>
    </row>
    <row r="77" spans="2:51">
      <c r="B77" s="103"/>
      <c r="C77" s="70"/>
    </row>
    <row r="78" spans="2:51">
      <c r="B78" s="103"/>
      <c r="C78" s="70"/>
    </row>
    <row r="79" spans="2:51">
      <c r="B79" s="103"/>
      <c r="C79" s="70"/>
    </row>
    <row r="80" spans="2:51">
      <c r="B80" s="103"/>
      <c r="C80" s="70"/>
    </row>
    <row r="81" spans="2:34">
      <c r="B81" s="103"/>
      <c r="C81" s="70"/>
    </row>
    <row r="82" spans="2:34">
      <c r="B82" s="103"/>
      <c r="C82" s="70"/>
    </row>
    <row r="83" spans="2:34">
      <c r="B83" s="103"/>
      <c r="C83" s="70"/>
    </row>
    <row r="84" spans="2:34">
      <c r="B84" s="103"/>
      <c r="C84" s="70"/>
    </row>
    <row r="85" spans="2:34">
      <c r="B85" s="103"/>
      <c r="C85" s="70"/>
    </row>
    <row r="86" spans="2:34">
      <c r="B86" s="103"/>
      <c r="C86" s="70"/>
    </row>
    <row r="87" spans="2:34">
      <c r="B87" s="103"/>
      <c r="C87" s="70"/>
    </row>
    <row r="88" spans="2:34">
      <c r="B88" s="103"/>
      <c r="C88" s="70"/>
    </row>
    <row r="89" spans="2:34">
      <c r="B89" s="103"/>
      <c r="C89" s="70"/>
    </row>
    <row r="90" spans="2:34">
      <c r="B90" s="103"/>
      <c r="C90" s="70"/>
    </row>
    <row r="91" spans="2:34">
      <c r="B91" s="103"/>
      <c r="C91" s="70"/>
    </row>
    <row r="92" spans="2:34">
      <c r="B92" s="103"/>
      <c r="C92" s="70"/>
    </row>
    <row r="93" spans="2:34">
      <c r="B93" s="103"/>
      <c r="C93" s="70"/>
      <c r="T93" s="717"/>
      <c r="AD93" s="106"/>
      <c r="AE93" s="106"/>
      <c r="AF93" s="106"/>
      <c r="AG93" s="106"/>
      <c r="AH93" s="106"/>
    </row>
    <row r="94" spans="2:34">
      <c r="B94" s="103"/>
      <c r="C94" s="70"/>
      <c r="T94" s="717"/>
      <c r="AD94" s="106"/>
      <c r="AE94" s="106"/>
      <c r="AF94" s="106"/>
      <c r="AG94" s="106"/>
      <c r="AH94" s="106"/>
    </row>
    <row r="95" spans="2:34">
      <c r="B95" s="103"/>
      <c r="C95" s="70"/>
    </row>
    <row r="96" spans="2:34">
      <c r="B96" s="103"/>
      <c r="C96" s="70"/>
    </row>
    <row r="97" spans="2:3">
      <c r="B97" s="103"/>
      <c r="C97" s="70"/>
    </row>
    <row r="98" spans="2:3">
      <c r="B98" s="103"/>
      <c r="C98" s="70"/>
    </row>
    <row r="99" spans="2:3">
      <c r="B99" s="103"/>
      <c r="C99" s="70"/>
    </row>
    <row r="100" spans="2:3">
      <c r="B100" s="103"/>
      <c r="C100" s="70"/>
    </row>
    <row r="101" spans="2:3">
      <c r="B101" s="103"/>
      <c r="C101" s="70"/>
    </row>
    <row r="102" spans="2:3">
      <c r="B102" s="103"/>
      <c r="C102" s="70"/>
    </row>
    <row r="103" spans="2:3">
      <c r="B103" s="103"/>
      <c r="C103" s="70"/>
    </row>
  </sheetData>
  <mergeCells count="1">
    <mergeCell ref="Z68:AA68"/>
  </mergeCells>
  <printOptions horizontalCentered="1"/>
  <pageMargins left="0.15748031496062992" right="0.15748031496062992" top="0.39370078740157483" bottom="0.39370078740157483" header="0.11811023622047245" footer="0.11811023622047245"/>
  <pageSetup paperSize="9" scale="40" orientation="landscape" r:id="rId1"/>
  <headerFooter alignWithMargins="0">
    <oddHeader>&amp;R&amp;"Arial,Bold Italic"&amp;8Printed:&amp;"Arial,Regular"&amp;10 &amp;8&amp;D &amp;T</oddHeader>
    <oddFooter>&amp;L&amp;"Arial,Bold Italic"&amp;8File:&amp;"Arial,Regular"&amp;10 &amp;8&amp;F&amp;10 &amp;"Arial,Bold Italic"&amp;8Worksheet:&amp;"Arial,Regular"&amp;10 &amp;8&amp;A&amp;R&amp;"Arial,Bold Italic"&amp;8Page:&amp;"Arial,Regular"&amp;10 &amp;8&amp;P&amp;10 &amp;"Arial,Bold Italic"&amp;8of&amp;"Arial,Regular"&amp;10 &amp;8&amp;N</oddFooter>
  </headerFooter>
  <colBreaks count="1" manualBreakCount="1">
    <brk id="2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Pricing TAM</vt:lpstr>
      <vt:lpstr>Mechanisms</vt:lpstr>
      <vt:lpstr>Input</vt:lpstr>
      <vt:lpstr>SA v A costs</vt:lpstr>
      <vt:lpstr>Trial tariffs</vt:lpstr>
      <vt:lpstr>Dist.</vt:lpstr>
      <vt:lpstr>Side constraints</vt:lpstr>
      <vt:lpstr>Prop DUOS</vt:lpstr>
      <vt:lpstr>t-1 DUOS</vt:lpstr>
      <vt:lpstr>DPPC</vt:lpstr>
      <vt:lpstr>Prop TUOS</vt:lpstr>
      <vt:lpstr>t-1 TUOS</vt:lpstr>
      <vt:lpstr>JSA</vt:lpstr>
      <vt:lpstr>Prop JUOS</vt:lpstr>
      <vt:lpstr>t-1 JUOS</vt:lpstr>
      <vt:lpstr>Indicative t</vt:lpstr>
      <vt:lpstr>Indicative t+1...</vt:lpstr>
      <vt:lpstr>Output prices</vt:lpstr>
      <vt:lpstr>Mechanisms!_ftn2</vt:lpstr>
      <vt:lpstr>Mechanisms!_ftn3</vt:lpstr>
      <vt:lpstr>Mechanisms!_ftn4</vt:lpstr>
      <vt:lpstr>Mechanisms!_ftn5</vt:lpstr>
      <vt:lpstr>Mechanisms!_ftn6</vt:lpstr>
      <vt:lpstr>Mechanisms!_ftn7</vt:lpstr>
      <vt:lpstr>Mechanisms!_ftn8</vt:lpstr>
      <vt:lpstr>Mechanisms!_ftnref2</vt:lpstr>
      <vt:lpstr>Mechanisms!_ftnref3</vt:lpstr>
      <vt:lpstr>Mechanisms!_ftnref6</vt:lpstr>
      <vt:lpstr>Mechanisms!_ftnref8</vt:lpstr>
      <vt:lpstr>'Indicative 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2021-06-09T23:12:54Z</dcterms:created>
  <dcterms:modified xsi:type="dcterms:W3CDTF">2021-06-09T23:13:11Z</dcterms:modified>
</cp:coreProperties>
</file>