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C:\Users\semull\AppData\Roaming\iManage\Work\Recent\AER22006011 - Determination - Waratah Super Battery (Non-Contestable)\"/>
    </mc:Choice>
  </mc:AlternateContent>
  <xr:revisionPtr revIDLastSave="0" documentId="13_ncr:1_{41914746-4B4F-40D1-AD34-937378E42E88}" xr6:coauthVersionLast="47" xr6:coauthVersionMax="47" xr10:uidLastSave="{00000000-0000-0000-0000-000000000000}"/>
  <bookViews>
    <workbookView xWindow="-110" yWindow="-110" windowWidth="19420" windowHeight="10420" tabRatio="847" xr2:uid="{00000000-000D-0000-FFFF-FFFF00000000}"/>
  </bookViews>
  <sheets>
    <sheet name="Cover" sheetId="27" r:id="rId1"/>
    <sheet name="TOC" sheetId="28" r:id="rId2"/>
    <sheet name="Input_CPI" sheetId="79" r:id="rId3"/>
    <sheet name="Input_Data" sheetId="34" r:id="rId4"/>
    <sheet name="Calc_Returns" sheetId="49" r:id="rId5"/>
    <sheet name="Output_PTRM" sheetId="78" r:id="rId6"/>
    <sheet name="Lookup" sheetId="4" r:id="rId7"/>
    <sheet name="Checks" sheetId="25" r:id="rId8"/>
  </sheets>
  <definedNames>
    <definedName name="Beta">Input_Data!$J$119</definedName>
    <definedName name="Days_In_Wk">Lookup!$D$29</definedName>
    <definedName name="Days_In_Yr">Lookup!$D$30</definedName>
    <definedName name="Dollars">Lookup!$D$44</definedName>
    <definedName name="End_year">Lookup!$F$65</definedName>
    <definedName name="Error">Lookup!$D$34</definedName>
    <definedName name="Factor">Lookup!$D$47</definedName>
    <definedName name="Gamma">Input_Data!$J$120</definedName>
    <definedName name="Half">Lookup!$D$31</definedName>
    <definedName name="Inflation">Calc_Returns!$J$92</definedName>
    <definedName name="Kilometres">Lookup!$D$51</definedName>
    <definedName name="Leverage">Input_Data!$J$121</definedName>
    <definedName name="LU_Basis">Lookup!$D$56:$D$59</definedName>
    <definedName name="LU_Source">Lookup!$D$70:$D$71</definedName>
    <definedName name="LU_Timing">Lookup!$D$63:$D$66</definedName>
    <definedName name="LU_Timing_Value">Lookup!$E$63:$E$66</definedName>
    <definedName name="LU_Units">Lookup!$D$43:$D$52</definedName>
    <definedName name="Mid_year">Lookup!$D$64</definedName>
    <definedName name="Millions">Lookup!$D$45</definedName>
    <definedName name="Model_Name">Cover!$B$3</definedName>
    <definedName name="Model_Start_Date">Lookup!$E$10</definedName>
    <definedName name="MRP">Input_Data!$J$118</definedName>
    <definedName name="Mths_In_Mth">Lookup!$D$25</definedName>
    <definedName name="Mths_In_Qtr">Lookup!$D$26</definedName>
    <definedName name="Mths_In_Yr">Lookup!$D$28</definedName>
    <definedName name="NA">Lookup!$D$33</definedName>
    <definedName name="No">Lookup!$D$39</definedName>
    <definedName name="Nominal">Lookup!$D$59</definedName>
    <definedName name="Number">Lookup!$D$48</definedName>
    <definedName name="Ok">Lookup!$D$32</definedName>
    <definedName name="Percent">Lookup!$D$43</definedName>
    <definedName name="Qtrs_In_Yr">Lookup!$D$27</definedName>
    <definedName name="Real2018">Lookup!$D$56</definedName>
    <definedName name="Real2019">Lookup!$D$57</definedName>
    <definedName name="RFR">Calc_Returns!$R$70</definedName>
    <definedName name="ROD">Calc_Returns!$J$94</definedName>
    <definedName name="ROE">Calc_Returns!$J$93</definedName>
    <definedName name="Start_year">Lookup!$D$63</definedName>
    <definedName name="Thousands">Lookup!$D$46</definedName>
    <definedName name="Title_Msg">Checks!$H$10</definedName>
    <definedName name="Weight_New_Debt">Input_Data!$J$109</definedName>
    <definedName name="Yes">Lookup!$D$38</definedName>
    <definedName name="Yes_No">Lookup!$D$38:$D$39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78" l="1"/>
  <c r="J22" i="78"/>
  <c r="K50" i="78"/>
  <c r="J50" i="78"/>
  <c r="H50" i="78"/>
  <c r="G50" i="78"/>
  <c r="F50" i="78"/>
  <c r="K46" i="78"/>
  <c r="J46" i="78"/>
  <c r="K45" i="78"/>
  <c r="J45" i="78"/>
  <c r="H46" i="78"/>
  <c r="G46" i="78"/>
  <c r="F46" i="78"/>
  <c r="H45" i="78"/>
  <c r="G45" i="78"/>
  <c r="F45" i="78"/>
  <c r="K48" i="78"/>
  <c r="J48" i="78"/>
  <c r="M102" i="34"/>
  <c r="K99" i="34"/>
  <c r="L99" i="34"/>
  <c r="H48" i="78"/>
  <c r="G48" i="78"/>
  <c r="F48" i="78"/>
  <c r="K44" i="78"/>
  <c r="K42" i="78"/>
  <c r="J44" i="78"/>
  <c r="H44" i="78"/>
  <c r="G44" i="78"/>
  <c r="F44" i="78"/>
  <c r="H42" i="78"/>
  <c r="G42" i="78"/>
  <c r="F42" i="78"/>
  <c r="E42" i="78"/>
  <c r="J42" i="78"/>
  <c r="M19" i="49"/>
  <c r="M20" i="49" s="1"/>
  <c r="M21" i="49" s="1"/>
  <c r="M22" i="49" s="1"/>
  <c r="M23" i="49" s="1"/>
  <c r="M24" i="49" s="1"/>
  <c r="M25" i="49" s="1"/>
  <c r="M26" i="49" s="1"/>
  <c r="M27" i="49" s="1"/>
  <c r="M28" i="49" s="1"/>
  <c r="M29" i="49" s="1"/>
  <c r="M30" i="49" s="1"/>
  <c r="M31" i="49" s="1"/>
  <c r="M32" i="49" s="1"/>
  <c r="M33" i="49" s="1"/>
  <c r="M34" i="49" s="1"/>
  <c r="M35" i="49" s="1"/>
  <c r="M36" i="49" s="1"/>
  <c r="M37" i="49" s="1"/>
  <c r="M38" i="49" s="1"/>
  <c r="K20" i="49"/>
  <c r="K21" i="49"/>
  <c r="K22" i="49"/>
  <c r="K23" i="49"/>
  <c r="K24" i="49"/>
  <c r="K25" i="49"/>
  <c r="K26" i="49"/>
  <c r="K27" i="49"/>
  <c r="K28" i="49"/>
  <c r="K29" i="49"/>
  <c r="K30" i="49"/>
  <c r="K31" i="49"/>
  <c r="K32" i="49"/>
  <c r="K33" i="49"/>
  <c r="K34" i="49"/>
  <c r="K35" i="49"/>
  <c r="K36" i="49"/>
  <c r="K37" i="49"/>
  <c r="K38" i="49"/>
  <c r="N20" i="49"/>
  <c r="N21" i="49"/>
  <c r="N22" i="49"/>
  <c r="N23" i="49"/>
  <c r="N24" i="49"/>
  <c r="N25" i="49"/>
  <c r="N26" i="49"/>
  <c r="N27" i="49"/>
  <c r="N28" i="49"/>
  <c r="N29" i="49"/>
  <c r="N30" i="49"/>
  <c r="N31" i="49"/>
  <c r="N32" i="49"/>
  <c r="N33" i="49"/>
  <c r="N34" i="49"/>
  <c r="N35" i="49"/>
  <c r="N36" i="49"/>
  <c r="N37" i="49"/>
  <c r="N38" i="49"/>
  <c r="N19" i="49"/>
  <c r="K19" i="49"/>
  <c r="D20" i="49"/>
  <c r="D21" i="49"/>
  <c r="P21" i="49" s="1"/>
  <c r="D22" i="49"/>
  <c r="P22" i="49" s="1"/>
  <c r="D23" i="49"/>
  <c r="P23" i="49" s="1"/>
  <c r="D24" i="49"/>
  <c r="D25" i="49"/>
  <c r="P25" i="49" s="1"/>
  <c r="D26" i="49"/>
  <c r="D27" i="49"/>
  <c r="D28" i="49"/>
  <c r="D29" i="49"/>
  <c r="P29" i="49" s="1"/>
  <c r="D30" i="49"/>
  <c r="P30" i="49" s="1"/>
  <c r="D31" i="49"/>
  <c r="P31" i="49" s="1"/>
  <c r="D32" i="49"/>
  <c r="D33" i="49"/>
  <c r="P33" i="49" s="1"/>
  <c r="D34" i="49"/>
  <c r="D35" i="49"/>
  <c r="D36" i="49"/>
  <c r="D37" i="49"/>
  <c r="P37" i="49" s="1"/>
  <c r="D38" i="49"/>
  <c r="P38" i="49" s="1"/>
  <c r="D19" i="49"/>
  <c r="J19" i="49"/>
  <c r="J20" i="49" s="1"/>
  <c r="J21" i="49" s="1"/>
  <c r="J22" i="49" s="1"/>
  <c r="J23" i="49" s="1"/>
  <c r="J24" i="49" s="1"/>
  <c r="J25" i="49" s="1"/>
  <c r="J26" i="49" s="1"/>
  <c r="J27" i="49" s="1"/>
  <c r="J28" i="49" s="1"/>
  <c r="J29" i="49" s="1"/>
  <c r="J30" i="49" s="1"/>
  <c r="J31" i="49" s="1"/>
  <c r="J32" i="49" s="1"/>
  <c r="J33" i="49" s="1"/>
  <c r="J34" i="49" s="1"/>
  <c r="J35" i="49" s="1"/>
  <c r="J36" i="49" s="1"/>
  <c r="J37" i="49" s="1"/>
  <c r="J38" i="49" s="1"/>
  <c r="M16" i="49"/>
  <c r="J16" i="49"/>
  <c r="C14" i="49"/>
  <c r="H40" i="49"/>
  <c r="F40" i="49"/>
  <c r="H38" i="49"/>
  <c r="F38" i="49"/>
  <c r="H37" i="49"/>
  <c r="F37" i="49"/>
  <c r="H36" i="49"/>
  <c r="F36" i="49"/>
  <c r="P36" i="49"/>
  <c r="H35" i="49"/>
  <c r="F35" i="49"/>
  <c r="P35" i="49"/>
  <c r="H34" i="49"/>
  <c r="F34" i="49"/>
  <c r="P34" i="49"/>
  <c r="H33" i="49"/>
  <c r="F33" i="49"/>
  <c r="H32" i="49"/>
  <c r="F32" i="49"/>
  <c r="P32" i="49"/>
  <c r="H31" i="49"/>
  <c r="F31" i="49"/>
  <c r="H30" i="49"/>
  <c r="F30" i="49"/>
  <c r="H29" i="49"/>
  <c r="F29" i="49"/>
  <c r="H28" i="49"/>
  <c r="F28" i="49"/>
  <c r="P28" i="49"/>
  <c r="H27" i="49"/>
  <c r="F27" i="49"/>
  <c r="P27" i="49"/>
  <c r="H26" i="49"/>
  <c r="F26" i="49"/>
  <c r="P26" i="49"/>
  <c r="H25" i="49"/>
  <c r="F25" i="49"/>
  <c r="H24" i="49"/>
  <c r="F24" i="49"/>
  <c r="P24" i="49"/>
  <c r="H23" i="49"/>
  <c r="F23" i="49"/>
  <c r="H22" i="49"/>
  <c r="F22" i="49"/>
  <c r="H21" i="49"/>
  <c r="F21" i="49"/>
  <c r="H20" i="49"/>
  <c r="F20" i="49"/>
  <c r="P20" i="49"/>
  <c r="H19" i="49"/>
  <c r="F19" i="49"/>
  <c r="P19" i="49"/>
  <c r="H17" i="49"/>
  <c r="G17" i="49"/>
  <c r="F17" i="49"/>
  <c r="E17" i="49"/>
  <c r="C44" i="49"/>
  <c r="H59" i="34"/>
  <c r="G59" i="34"/>
  <c r="F59" i="34"/>
  <c r="H58" i="34"/>
  <c r="G58" i="34"/>
  <c r="F58" i="34"/>
  <c r="H57" i="34"/>
  <c r="G57" i="34"/>
  <c r="F57" i="34"/>
  <c r="H56" i="34"/>
  <c r="G56" i="34"/>
  <c r="F56" i="34"/>
  <c r="H55" i="34"/>
  <c r="G55" i="34"/>
  <c r="F55" i="34"/>
  <c r="H54" i="34"/>
  <c r="G54" i="34"/>
  <c r="F54" i="34"/>
  <c r="H53" i="34"/>
  <c r="G53" i="34"/>
  <c r="F53" i="34"/>
  <c r="H52" i="34"/>
  <c r="G52" i="34"/>
  <c r="F52" i="34"/>
  <c r="H51" i="34"/>
  <c r="G51" i="34"/>
  <c r="F51" i="34"/>
  <c r="H50" i="34"/>
  <c r="G50" i="34"/>
  <c r="F50" i="34"/>
  <c r="H49" i="34"/>
  <c r="G49" i="34"/>
  <c r="F49" i="34"/>
  <c r="H48" i="34"/>
  <c r="G48" i="34"/>
  <c r="F48" i="34"/>
  <c r="H47" i="34"/>
  <c r="G47" i="34"/>
  <c r="F47" i="34"/>
  <c r="H46" i="34"/>
  <c r="G46" i="34"/>
  <c r="F46" i="34"/>
  <c r="H45" i="34"/>
  <c r="G45" i="34"/>
  <c r="F45" i="34"/>
  <c r="H44" i="34"/>
  <c r="G44" i="34"/>
  <c r="F44" i="34"/>
  <c r="E44" i="34"/>
  <c r="E45" i="34" s="1"/>
  <c r="E46" i="34" s="1"/>
  <c r="E47" i="34" s="1"/>
  <c r="E48" i="34" s="1"/>
  <c r="E49" i="34" s="1"/>
  <c r="E50" i="34" s="1"/>
  <c r="E51" i="34" s="1"/>
  <c r="E52" i="34" s="1"/>
  <c r="E53" i="34" s="1"/>
  <c r="E54" i="34" s="1"/>
  <c r="E55" i="34" s="1"/>
  <c r="E56" i="34" s="1"/>
  <c r="E57" i="34" s="1"/>
  <c r="E58" i="34" s="1"/>
  <c r="E59" i="34" s="1"/>
  <c r="H43" i="34"/>
  <c r="G43" i="34"/>
  <c r="F43" i="34"/>
  <c r="E43" i="34"/>
  <c r="H42" i="34"/>
  <c r="G42" i="34"/>
  <c r="F42" i="34"/>
  <c r="H41" i="34"/>
  <c r="G41" i="34"/>
  <c r="F41" i="34"/>
  <c r="H40" i="34"/>
  <c r="G40" i="34"/>
  <c r="F40" i="34"/>
  <c r="H35" i="34"/>
  <c r="G35" i="34"/>
  <c r="H34" i="34"/>
  <c r="G34" i="34"/>
  <c r="Q19" i="49" l="1"/>
  <c r="R19" i="49" s="1"/>
  <c r="Q21" i="49"/>
  <c r="R21" i="49" s="1"/>
  <c r="Q28" i="49"/>
  <c r="R28" i="49" s="1"/>
  <c r="Q25" i="49"/>
  <c r="R25" i="49" s="1"/>
  <c r="Q32" i="49"/>
  <c r="R32" i="49" s="1"/>
  <c r="Q35" i="49"/>
  <c r="R35" i="49" s="1"/>
  <c r="Q38" i="49"/>
  <c r="R38" i="49" s="1"/>
  <c r="Q20" i="49"/>
  <c r="R20" i="49" s="1"/>
  <c r="Q23" i="49"/>
  <c r="R23" i="49" s="1"/>
  <c r="Q26" i="49"/>
  <c r="R26" i="49" s="1"/>
  <c r="Q37" i="49"/>
  <c r="R37" i="49" s="1"/>
  <c r="Q33" i="49"/>
  <c r="R33" i="49" s="1"/>
  <c r="Q31" i="49"/>
  <c r="R31" i="49" s="1"/>
  <c r="Q34" i="49"/>
  <c r="R34" i="49" s="1"/>
  <c r="Q22" i="49"/>
  <c r="R22" i="49" s="1"/>
  <c r="Q29" i="49"/>
  <c r="R29" i="49" s="1"/>
  <c r="Q36" i="49"/>
  <c r="R36" i="49" s="1"/>
  <c r="Q24" i="49"/>
  <c r="R24" i="49" s="1"/>
  <c r="Q27" i="49"/>
  <c r="R27" i="49" s="1"/>
  <c r="Q30" i="49"/>
  <c r="R30" i="49" s="1"/>
  <c r="R40" i="49" l="1"/>
  <c r="M31" i="79" l="1"/>
  <c r="M33" i="79"/>
  <c r="M9" i="79"/>
  <c r="L9" i="79"/>
  <c r="K9" i="79"/>
  <c r="J9" i="79"/>
  <c r="I9" i="79"/>
  <c r="I16" i="4"/>
  <c r="J16" i="4"/>
  <c r="K16" i="4"/>
  <c r="L16" i="4"/>
  <c r="M16" i="4"/>
  <c r="I14" i="4"/>
  <c r="I15" i="4"/>
  <c r="J14" i="4"/>
  <c r="J15" i="4"/>
  <c r="K14" i="4"/>
  <c r="K15" i="4"/>
  <c r="L14" i="4"/>
  <c r="L15" i="4"/>
  <c r="M14" i="4"/>
  <c r="M15" i="4"/>
  <c r="M17" i="4"/>
  <c r="M8" i="79"/>
  <c r="L17" i="4"/>
  <c r="L8" i="79"/>
  <c r="K17" i="4"/>
  <c r="K8" i="79"/>
  <c r="J17" i="4"/>
  <c r="J8" i="79"/>
  <c r="I17" i="4"/>
  <c r="I8" i="79"/>
  <c r="M7" i="79"/>
  <c r="L7" i="79"/>
  <c r="K7" i="79"/>
  <c r="J7" i="79"/>
  <c r="I7" i="79"/>
  <c r="M6" i="79"/>
  <c r="L6" i="79"/>
  <c r="K6" i="79"/>
  <c r="J6" i="79"/>
  <c r="I6" i="79"/>
  <c r="M5" i="79"/>
  <c r="L5" i="79"/>
  <c r="K5" i="79"/>
  <c r="J5" i="79"/>
  <c r="I5" i="79"/>
  <c r="D49" i="49"/>
  <c r="P49" i="49" s="1"/>
  <c r="J49" i="49"/>
  <c r="M49" i="49"/>
  <c r="M50" i="49" s="1"/>
  <c r="M51" i="49" s="1"/>
  <c r="M52" i="49" s="1"/>
  <c r="M53" i="49" s="1"/>
  <c r="M54" i="49" s="1"/>
  <c r="M55" i="49" s="1"/>
  <c r="M56" i="49" s="1"/>
  <c r="M57" i="49" s="1"/>
  <c r="M58" i="49" s="1"/>
  <c r="M59" i="49" s="1"/>
  <c r="M60" i="49" s="1"/>
  <c r="M61" i="49" s="1"/>
  <c r="M62" i="49" s="1"/>
  <c r="M63" i="49" s="1"/>
  <c r="M64" i="49" s="1"/>
  <c r="M65" i="49" s="1"/>
  <c r="M66" i="49" s="1"/>
  <c r="M67" i="49" s="1"/>
  <c r="M68" i="49" s="1"/>
  <c r="N49" i="49"/>
  <c r="K49" i="49"/>
  <c r="D50" i="49"/>
  <c r="P50" i="49" s="1"/>
  <c r="J50" i="49"/>
  <c r="J51" i="49" s="1"/>
  <c r="J52" i="49" s="1"/>
  <c r="J53" i="49" s="1"/>
  <c r="J54" i="49" s="1"/>
  <c r="J55" i="49" s="1"/>
  <c r="J56" i="49" s="1"/>
  <c r="J57" i="49" s="1"/>
  <c r="J58" i="49" s="1"/>
  <c r="J59" i="49" s="1"/>
  <c r="J60" i="49" s="1"/>
  <c r="J61" i="49" s="1"/>
  <c r="J62" i="49" s="1"/>
  <c r="J63" i="49" s="1"/>
  <c r="J64" i="49" s="1"/>
  <c r="J65" i="49" s="1"/>
  <c r="J66" i="49" s="1"/>
  <c r="J67" i="49" s="1"/>
  <c r="J68" i="49" s="1"/>
  <c r="N50" i="49"/>
  <c r="K50" i="49"/>
  <c r="D51" i="49"/>
  <c r="P51" i="49" s="1"/>
  <c r="N51" i="49"/>
  <c r="K51" i="49"/>
  <c r="D52" i="49"/>
  <c r="P52" i="49" s="1"/>
  <c r="N52" i="49"/>
  <c r="K52" i="49"/>
  <c r="D53" i="49"/>
  <c r="P53" i="49" s="1"/>
  <c r="N53" i="49"/>
  <c r="K53" i="49"/>
  <c r="D54" i="49"/>
  <c r="P54" i="49" s="1"/>
  <c r="N54" i="49"/>
  <c r="K54" i="49"/>
  <c r="D55" i="49"/>
  <c r="P55" i="49" s="1"/>
  <c r="N55" i="49"/>
  <c r="K55" i="49"/>
  <c r="D56" i="49"/>
  <c r="P56" i="49" s="1"/>
  <c r="N56" i="49"/>
  <c r="K56" i="49"/>
  <c r="D57" i="49"/>
  <c r="P57" i="49" s="1"/>
  <c r="N57" i="49"/>
  <c r="K57" i="49"/>
  <c r="D58" i="49"/>
  <c r="P58" i="49" s="1"/>
  <c r="N58" i="49"/>
  <c r="K58" i="49"/>
  <c r="D59" i="49"/>
  <c r="P59" i="49" s="1"/>
  <c r="N59" i="49"/>
  <c r="K59" i="49"/>
  <c r="D60" i="49"/>
  <c r="P60" i="49" s="1"/>
  <c r="N60" i="49"/>
  <c r="K60" i="49"/>
  <c r="D61" i="49"/>
  <c r="P61" i="49" s="1"/>
  <c r="N61" i="49"/>
  <c r="K61" i="49"/>
  <c r="D62" i="49"/>
  <c r="P62" i="49" s="1"/>
  <c r="N62" i="49"/>
  <c r="K62" i="49"/>
  <c r="D63" i="49"/>
  <c r="P63" i="49" s="1"/>
  <c r="N63" i="49"/>
  <c r="K63" i="49"/>
  <c r="D64" i="49"/>
  <c r="P64" i="49" s="1"/>
  <c r="N64" i="49"/>
  <c r="K64" i="49"/>
  <c r="D65" i="49"/>
  <c r="P65" i="49" s="1"/>
  <c r="N65" i="49"/>
  <c r="K65" i="49"/>
  <c r="D66" i="49"/>
  <c r="P66" i="49" s="1"/>
  <c r="N66" i="49"/>
  <c r="K66" i="49"/>
  <c r="D67" i="49"/>
  <c r="P67" i="49" s="1"/>
  <c r="N67" i="49"/>
  <c r="K67" i="49"/>
  <c r="D68" i="49"/>
  <c r="P68" i="49" s="1"/>
  <c r="N68" i="49"/>
  <c r="K68" i="49"/>
  <c r="H92" i="34"/>
  <c r="G92" i="34"/>
  <c r="F92" i="34"/>
  <c r="E76" i="34"/>
  <c r="E77" i="34" s="1"/>
  <c r="E78" i="34" s="1"/>
  <c r="E79" i="34" s="1"/>
  <c r="E80" i="34" s="1"/>
  <c r="E81" i="34" s="1"/>
  <c r="E82" i="34" s="1"/>
  <c r="E83" i="34" s="1"/>
  <c r="E84" i="34" s="1"/>
  <c r="E85" i="34" s="1"/>
  <c r="E86" i="34" s="1"/>
  <c r="E87" i="34" s="1"/>
  <c r="E88" i="34" s="1"/>
  <c r="E89" i="34" s="1"/>
  <c r="E90" i="34" s="1"/>
  <c r="E91" i="34" s="1"/>
  <c r="E92" i="34" s="1"/>
  <c r="H91" i="34"/>
  <c r="G91" i="34"/>
  <c r="F91" i="34"/>
  <c r="H90" i="34"/>
  <c r="G90" i="34"/>
  <c r="F90" i="34"/>
  <c r="H89" i="34"/>
  <c r="G89" i="34"/>
  <c r="F89" i="34"/>
  <c r="H88" i="34"/>
  <c r="G88" i="34"/>
  <c r="F88" i="34"/>
  <c r="H87" i="34"/>
  <c r="G87" i="34"/>
  <c r="F87" i="34"/>
  <c r="H86" i="34"/>
  <c r="G86" i="34"/>
  <c r="F86" i="34"/>
  <c r="H85" i="34"/>
  <c r="G85" i="34"/>
  <c r="F85" i="34"/>
  <c r="H84" i="34"/>
  <c r="G84" i="34"/>
  <c r="F84" i="34"/>
  <c r="H83" i="34"/>
  <c r="G83" i="34"/>
  <c r="F83" i="34"/>
  <c r="H82" i="34"/>
  <c r="G82" i="34"/>
  <c r="F82" i="34"/>
  <c r="H81" i="34"/>
  <c r="G81" i="34"/>
  <c r="F81" i="34"/>
  <c r="H80" i="34"/>
  <c r="G80" i="34"/>
  <c r="F80" i="34"/>
  <c r="H79" i="34"/>
  <c r="G79" i="34"/>
  <c r="F79" i="34"/>
  <c r="H78" i="34"/>
  <c r="G78" i="34"/>
  <c r="F78" i="34"/>
  <c r="H77" i="34"/>
  <c r="G77" i="34"/>
  <c r="F77" i="34"/>
  <c r="H76" i="34"/>
  <c r="G76" i="34"/>
  <c r="F76" i="34"/>
  <c r="H75" i="34"/>
  <c r="G75" i="34"/>
  <c r="F75" i="34"/>
  <c r="H74" i="34"/>
  <c r="G74" i="34"/>
  <c r="F74" i="34"/>
  <c r="H73" i="34"/>
  <c r="G73" i="34"/>
  <c r="F73" i="34"/>
  <c r="H68" i="34"/>
  <c r="G68" i="34"/>
  <c r="H67" i="34"/>
  <c r="G67" i="34"/>
  <c r="D78" i="49"/>
  <c r="J78" i="49" s="1"/>
  <c r="D79" i="49"/>
  <c r="J79" i="49" s="1"/>
  <c r="K80" i="49"/>
  <c r="K83" i="49"/>
  <c r="L80" i="49"/>
  <c r="L83" i="49"/>
  <c r="M80" i="49"/>
  <c r="M83" i="49"/>
  <c r="N80" i="49"/>
  <c r="N83" i="49"/>
  <c r="L19" i="4"/>
  <c r="M10" i="34"/>
  <c r="M99" i="34" s="1"/>
  <c r="I21" i="79"/>
  <c r="J18" i="34" s="1"/>
  <c r="J33" i="79"/>
  <c r="L33" i="79"/>
  <c r="L21" i="79"/>
  <c r="M19" i="34"/>
  <c r="N19" i="34" s="1"/>
  <c r="H26" i="78"/>
  <c r="G26" i="78"/>
  <c r="F26" i="78"/>
  <c r="N18" i="78"/>
  <c r="H51" i="49"/>
  <c r="F51" i="49"/>
  <c r="H50" i="49"/>
  <c r="F50" i="49"/>
  <c r="D18" i="25"/>
  <c r="D10" i="28"/>
  <c r="K33" i="79"/>
  <c r="I33" i="79"/>
  <c r="H33" i="79"/>
  <c r="G33" i="79"/>
  <c r="F33" i="79"/>
  <c r="D33" i="79"/>
  <c r="H31" i="79"/>
  <c r="G31" i="79"/>
  <c r="F31" i="79"/>
  <c r="H30" i="79"/>
  <c r="G30" i="79"/>
  <c r="F30" i="79"/>
  <c r="H28" i="79"/>
  <c r="G28" i="79"/>
  <c r="F28" i="79"/>
  <c r="E28" i="79"/>
  <c r="J21" i="79"/>
  <c r="K18" i="34" s="1"/>
  <c r="K21" i="79"/>
  <c r="D21" i="79"/>
  <c r="H21" i="79"/>
  <c r="G21" i="79"/>
  <c r="F21" i="79"/>
  <c r="H19" i="79"/>
  <c r="G19" i="79"/>
  <c r="F19" i="79"/>
  <c r="H18" i="79"/>
  <c r="G18" i="79"/>
  <c r="F18" i="79"/>
  <c r="H16" i="79"/>
  <c r="G16" i="79"/>
  <c r="F16" i="79"/>
  <c r="E16" i="79"/>
  <c r="H10" i="79"/>
  <c r="G10" i="79"/>
  <c r="F10" i="79"/>
  <c r="E10" i="79"/>
  <c r="B10" i="79"/>
  <c r="B9" i="79"/>
  <c r="B8" i="79"/>
  <c r="B7" i="79"/>
  <c r="B6" i="79"/>
  <c r="B5" i="79"/>
  <c r="B4" i="79"/>
  <c r="B3" i="79"/>
  <c r="A1" i="79"/>
  <c r="H18" i="25"/>
  <c r="J33" i="78"/>
  <c r="J35" i="78"/>
  <c r="J36" i="78"/>
  <c r="J37" i="78"/>
  <c r="J83" i="49"/>
  <c r="H109" i="34"/>
  <c r="F109" i="34"/>
  <c r="H107" i="34"/>
  <c r="H102" i="34"/>
  <c r="F102" i="34"/>
  <c r="H85" i="49"/>
  <c r="F85" i="49"/>
  <c r="H83" i="49"/>
  <c r="G83" i="49"/>
  <c r="F83" i="49"/>
  <c r="H80" i="49"/>
  <c r="F80" i="49"/>
  <c r="H79" i="49"/>
  <c r="F79" i="49"/>
  <c r="H75" i="49"/>
  <c r="G75" i="49"/>
  <c r="F75" i="49"/>
  <c r="E75" i="49"/>
  <c r="H78" i="49"/>
  <c r="F78" i="49"/>
  <c r="H94" i="49"/>
  <c r="F52" i="49"/>
  <c r="H52" i="49"/>
  <c r="H54" i="49"/>
  <c r="F54" i="49"/>
  <c r="H53" i="49"/>
  <c r="F53" i="49"/>
  <c r="D19" i="25"/>
  <c r="D21" i="25"/>
  <c r="H92" i="49"/>
  <c r="F92" i="49"/>
  <c r="H19" i="34"/>
  <c r="G19" i="34"/>
  <c r="F19" i="34"/>
  <c r="F70" i="49"/>
  <c r="H93" i="49"/>
  <c r="F93" i="49"/>
  <c r="F94" i="49"/>
  <c r="H90" i="49"/>
  <c r="G90" i="49"/>
  <c r="F90" i="49"/>
  <c r="E90" i="49"/>
  <c r="H70" i="49"/>
  <c r="H47" i="49"/>
  <c r="G47" i="49"/>
  <c r="F47" i="49"/>
  <c r="E47" i="49"/>
  <c r="H68" i="49"/>
  <c r="F68" i="49"/>
  <c r="H67" i="49"/>
  <c r="F67" i="49"/>
  <c r="H66" i="49"/>
  <c r="F66" i="49"/>
  <c r="H65" i="49"/>
  <c r="F65" i="49"/>
  <c r="H64" i="49"/>
  <c r="F64" i="49"/>
  <c r="H63" i="49"/>
  <c r="F63" i="49"/>
  <c r="H62" i="49"/>
  <c r="F62" i="49"/>
  <c r="H61" i="49"/>
  <c r="F61" i="49"/>
  <c r="H60" i="49"/>
  <c r="F60" i="49"/>
  <c r="H59" i="49"/>
  <c r="F59" i="49"/>
  <c r="H58" i="49"/>
  <c r="F58" i="49"/>
  <c r="H57" i="49"/>
  <c r="F57" i="49"/>
  <c r="H56" i="49"/>
  <c r="F56" i="49"/>
  <c r="H55" i="49"/>
  <c r="F55" i="49"/>
  <c r="H49" i="49"/>
  <c r="F49" i="49"/>
  <c r="M46" i="49"/>
  <c r="J46" i="49"/>
  <c r="N9" i="78"/>
  <c r="H24" i="78"/>
  <c r="G24" i="78"/>
  <c r="F24" i="78"/>
  <c r="H22" i="78"/>
  <c r="G22" i="78"/>
  <c r="F22" i="78"/>
  <c r="H21" i="78"/>
  <c r="G21" i="78"/>
  <c r="F21" i="78"/>
  <c r="H20" i="78"/>
  <c r="G20" i="78"/>
  <c r="F20" i="78"/>
  <c r="H18" i="78"/>
  <c r="G18" i="78"/>
  <c r="F18" i="78"/>
  <c r="J34" i="78"/>
  <c r="H37" i="78"/>
  <c r="G37" i="78"/>
  <c r="F37" i="78"/>
  <c r="H36" i="78"/>
  <c r="G36" i="78"/>
  <c r="F36" i="78"/>
  <c r="H35" i="78"/>
  <c r="G35" i="78"/>
  <c r="F35" i="78"/>
  <c r="H34" i="78"/>
  <c r="G34" i="78"/>
  <c r="F34" i="78"/>
  <c r="H33" i="78"/>
  <c r="G33" i="78"/>
  <c r="F33" i="78"/>
  <c r="H31" i="78"/>
  <c r="G31" i="78"/>
  <c r="F31" i="78"/>
  <c r="E31" i="78"/>
  <c r="H16" i="78"/>
  <c r="G16" i="78"/>
  <c r="F16" i="78"/>
  <c r="E16" i="78"/>
  <c r="H99" i="34"/>
  <c r="H120" i="34"/>
  <c r="F120" i="34"/>
  <c r="H132" i="34"/>
  <c r="F132" i="34"/>
  <c r="H131" i="34"/>
  <c r="F131" i="34"/>
  <c r="H130" i="34"/>
  <c r="F130" i="34"/>
  <c r="H129" i="34"/>
  <c r="F129" i="34"/>
  <c r="H126" i="34"/>
  <c r="H128" i="34"/>
  <c r="F128" i="34"/>
  <c r="H121" i="34"/>
  <c r="F121" i="34"/>
  <c r="H119" i="34"/>
  <c r="F119" i="34"/>
  <c r="H118" i="34"/>
  <c r="F118" i="34"/>
  <c r="H116" i="34"/>
  <c r="D12" i="28"/>
  <c r="H10" i="78"/>
  <c r="G10" i="78"/>
  <c r="F10" i="78"/>
  <c r="E10" i="78"/>
  <c r="B10" i="78"/>
  <c r="M9" i="78"/>
  <c r="L9" i="78"/>
  <c r="K9" i="78"/>
  <c r="J9" i="78"/>
  <c r="B9" i="78"/>
  <c r="B8" i="78"/>
  <c r="B7" i="78"/>
  <c r="B6" i="78"/>
  <c r="B5" i="78"/>
  <c r="B4" i="78"/>
  <c r="B3" i="78"/>
  <c r="D13" i="28"/>
  <c r="D20" i="25"/>
  <c r="H10" i="49"/>
  <c r="G10" i="49"/>
  <c r="F10" i="49"/>
  <c r="E10" i="49"/>
  <c r="B10" i="49"/>
  <c r="N9" i="49"/>
  <c r="M9" i="49"/>
  <c r="L9" i="49"/>
  <c r="K9" i="49"/>
  <c r="J9" i="49"/>
  <c r="B9" i="49"/>
  <c r="B8" i="49"/>
  <c r="B7" i="49"/>
  <c r="B6" i="49"/>
  <c r="B5" i="49"/>
  <c r="B4" i="49"/>
  <c r="B3" i="49"/>
  <c r="A1" i="49"/>
  <c r="D11" i="28"/>
  <c r="H18" i="34"/>
  <c r="G18" i="34"/>
  <c r="F18" i="34"/>
  <c r="H16" i="34"/>
  <c r="G16" i="34"/>
  <c r="F16" i="34"/>
  <c r="E16" i="34"/>
  <c r="H10" i="34"/>
  <c r="G10" i="34"/>
  <c r="F10" i="34"/>
  <c r="E10" i="34"/>
  <c r="B10" i="34"/>
  <c r="Q9" i="34"/>
  <c r="P9" i="34"/>
  <c r="O9" i="34"/>
  <c r="N9" i="34"/>
  <c r="M9" i="34"/>
  <c r="L9" i="34"/>
  <c r="K9" i="34"/>
  <c r="J9" i="34"/>
  <c r="B9" i="34"/>
  <c r="B8" i="34"/>
  <c r="B7" i="34"/>
  <c r="B6" i="34"/>
  <c r="B5" i="34"/>
  <c r="B4" i="34"/>
  <c r="B3" i="34"/>
  <c r="D58" i="4"/>
  <c r="E66" i="4"/>
  <c r="D66" i="4"/>
  <c r="D52" i="4"/>
  <c r="B3" i="25"/>
  <c r="B3" i="4"/>
  <c r="D18" i="28"/>
  <c r="D17" i="28"/>
  <c r="B6" i="28"/>
  <c r="B4" i="28"/>
  <c r="B4" i="25"/>
  <c r="B4" i="4"/>
  <c r="A1" i="78"/>
  <c r="H21" i="25" s="1"/>
  <c r="A1" i="34"/>
  <c r="H19" i="25" s="1"/>
  <c r="L19" i="34"/>
  <c r="J7" i="34"/>
  <c r="K7" i="34"/>
  <c r="L7" i="34"/>
  <c r="J5" i="34"/>
  <c r="M7" i="34"/>
  <c r="J7" i="49"/>
  <c r="J7" i="78"/>
  <c r="J6" i="34"/>
  <c r="K7" i="78"/>
  <c r="K7" i="49"/>
  <c r="N7" i="34"/>
  <c r="N16" i="4"/>
  <c r="J8" i="34"/>
  <c r="I19" i="4"/>
  <c r="O16" i="4"/>
  <c r="L7" i="49"/>
  <c r="O7" i="34"/>
  <c r="L7" i="78"/>
  <c r="K5" i="34"/>
  <c r="M7" i="49"/>
  <c r="M7" i="78"/>
  <c r="P7" i="34"/>
  <c r="P16" i="4"/>
  <c r="K6" i="34"/>
  <c r="J10" i="34"/>
  <c r="J16" i="34" s="1"/>
  <c r="I10" i="79"/>
  <c r="I16" i="79"/>
  <c r="I28" i="79"/>
  <c r="L5" i="34"/>
  <c r="N7" i="78"/>
  <c r="N7" i="49"/>
  <c r="Q7" i="34"/>
  <c r="K8" i="34"/>
  <c r="J19" i="4"/>
  <c r="L6" i="34"/>
  <c r="J10" i="79"/>
  <c r="K10" i="34"/>
  <c r="K16" i="34" s="1"/>
  <c r="L8" i="34"/>
  <c r="K19" i="4"/>
  <c r="J16" i="79"/>
  <c r="J28" i="79"/>
  <c r="J5" i="49"/>
  <c r="J5" i="78"/>
  <c r="M5" i="34"/>
  <c r="M6" i="34"/>
  <c r="J6" i="49"/>
  <c r="J6" i="78"/>
  <c r="K10" i="79"/>
  <c r="L10" i="34"/>
  <c r="L16" i="34"/>
  <c r="K28" i="79"/>
  <c r="K16" i="79"/>
  <c r="N5" i="34"/>
  <c r="K5" i="49"/>
  <c r="K5" i="78"/>
  <c r="J8" i="49"/>
  <c r="M8" i="34"/>
  <c r="J8" i="78"/>
  <c r="J10" i="78"/>
  <c r="J10" i="49"/>
  <c r="J90" i="49" s="1"/>
  <c r="L10" i="79"/>
  <c r="K6" i="49"/>
  <c r="N6" i="34"/>
  <c r="K6" i="78"/>
  <c r="N14" i="4"/>
  <c r="N15" i="4"/>
  <c r="L5" i="78"/>
  <c r="O5" i="34"/>
  <c r="L5" i="49"/>
  <c r="K8" i="49"/>
  <c r="M19" i="4"/>
  <c r="N8" i="34"/>
  <c r="K8" i="78"/>
  <c r="L28" i="79"/>
  <c r="L16" i="79"/>
  <c r="J16" i="78"/>
  <c r="M10" i="79"/>
  <c r="M28" i="79"/>
  <c r="K10" i="49"/>
  <c r="K90" i="49" s="1"/>
  <c r="N10" i="34"/>
  <c r="N16" i="34" s="1"/>
  <c r="K10" i="78"/>
  <c r="K16" i="78" s="1"/>
  <c r="L6" i="78"/>
  <c r="N17" i="4"/>
  <c r="O6" i="34"/>
  <c r="L6" i="49"/>
  <c r="O14" i="4"/>
  <c r="K75" i="49"/>
  <c r="O15" i="4"/>
  <c r="M5" i="49"/>
  <c r="M5" i="78"/>
  <c r="P5" i="34"/>
  <c r="N19" i="4"/>
  <c r="O8" i="34"/>
  <c r="L8" i="78"/>
  <c r="L8" i="49"/>
  <c r="O10" i="34"/>
  <c r="O16" i="34" s="1"/>
  <c r="L10" i="49"/>
  <c r="L10" i="78"/>
  <c r="L16" i="78" s="1"/>
  <c r="O17" i="4"/>
  <c r="P6" i="34"/>
  <c r="M6" i="49"/>
  <c r="M6" i="78"/>
  <c r="P14" i="4"/>
  <c r="N5" i="78"/>
  <c r="P15" i="4"/>
  <c r="N5" i="49"/>
  <c r="Q5" i="34"/>
  <c r="L75" i="49"/>
  <c r="L90" i="49"/>
  <c r="P8" i="34"/>
  <c r="M8" i="78"/>
  <c r="O19" i="4"/>
  <c r="M8" i="49"/>
  <c r="M10" i="49"/>
  <c r="M90" i="49" s="1"/>
  <c r="M10" i="78"/>
  <c r="M16" i="78" s="1"/>
  <c r="P10" i="34"/>
  <c r="P16" i="34"/>
  <c r="P17" i="4"/>
  <c r="N6" i="78"/>
  <c r="Q6" i="34"/>
  <c r="N6" i="49"/>
  <c r="N8" i="78"/>
  <c r="P19" i="4"/>
  <c r="Q8" i="34"/>
  <c r="N8" i="49"/>
  <c r="N10" i="49"/>
  <c r="N75" i="49" s="1"/>
  <c r="Q10" i="34"/>
  <c r="Q16" i="34" s="1"/>
  <c r="N10" i="78"/>
  <c r="N16" i="78" s="1"/>
  <c r="J31" i="78" l="1"/>
  <c r="H20" i="25"/>
  <c r="H23" i="25" s="1"/>
  <c r="H8" i="25" s="1"/>
  <c r="H10" i="25" s="1"/>
  <c r="B2" i="78" s="1"/>
  <c r="M75" i="49"/>
  <c r="N90" i="49"/>
  <c r="J75" i="49"/>
  <c r="J80" i="49"/>
  <c r="J85" i="49" s="1"/>
  <c r="K85" i="49" s="1"/>
  <c r="K18" i="78"/>
  <c r="O19" i="34"/>
  <c r="L18" i="78" s="1"/>
  <c r="P19" i="34"/>
  <c r="M18" i="78" s="1"/>
  <c r="Q51" i="49"/>
  <c r="R51" i="49" s="1"/>
  <c r="Q65" i="49"/>
  <c r="R65" i="49" s="1"/>
  <c r="Q55" i="49"/>
  <c r="R55" i="49" s="1"/>
  <c r="Q54" i="49"/>
  <c r="R54" i="49" s="1"/>
  <c r="Q60" i="49"/>
  <c r="R60" i="49" s="1"/>
  <c r="Q66" i="49"/>
  <c r="R66" i="49" s="1"/>
  <c r="Q49" i="49"/>
  <c r="R49" i="49" s="1"/>
  <c r="Q50" i="49"/>
  <c r="R50" i="49" s="1"/>
  <c r="J18" i="78"/>
  <c r="Q61" i="49"/>
  <c r="R61" i="49" s="1"/>
  <c r="M16" i="34"/>
  <c r="Q56" i="49"/>
  <c r="R56" i="49" s="1"/>
  <c r="Q57" i="49"/>
  <c r="R57" i="49" s="1"/>
  <c r="Q52" i="49"/>
  <c r="R52" i="49" s="1"/>
  <c r="Q67" i="49"/>
  <c r="R67" i="49" s="1"/>
  <c r="Q62" i="49"/>
  <c r="R62" i="49" s="1"/>
  <c r="Q68" i="49"/>
  <c r="R68" i="49" s="1"/>
  <c r="Q63" i="49"/>
  <c r="R63" i="49" s="1"/>
  <c r="Q58" i="49"/>
  <c r="R58" i="49" s="1"/>
  <c r="Q53" i="49"/>
  <c r="R53" i="49" s="1"/>
  <c r="Q64" i="49"/>
  <c r="R64" i="49" s="1"/>
  <c r="Q59" i="49"/>
  <c r="R59" i="49" s="1"/>
  <c r="J94" i="49" l="1"/>
  <c r="J24" i="78" s="1"/>
  <c r="B2" i="4"/>
  <c r="B2" i="79"/>
  <c r="B2" i="28"/>
  <c r="B2" i="34"/>
  <c r="B2" i="49"/>
  <c r="B2" i="25"/>
  <c r="J92" i="49" a="1"/>
  <c r="J92" i="49" s="1"/>
  <c r="R70" i="49"/>
  <c r="J93" i="49" s="1"/>
  <c r="J20" i="78" s="1"/>
  <c r="J26" i="78" s="1"/>
  <c r="K94" i="49"/>
  <c r="K24" i="78" s="1"/>
  <c r="L85" i="49"/>
  <c r="K26" i="78" l="1"/>
  <c r="M85" i="49"/>
  <c r="L94" i="49"/>
  <c r="L24" i="78" s="1"/>
  <c r="L26" i="78" s="1"/>
  <c r="M94" i="49" l="1"/>
  <c r="M24" i="78" s="1"/>
  <c r="M26" i="78" s="1"/>
  <c r="N85" i="49"/>
  <c r="N94" i="49" s="1"/>
  <c r="N24" i="78" s="1"/>
  <c r="N26"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Grace-Webb</author>
  </authors>
  <commentList>
    <comment ref="Q17" authorId="0" shapeId="0" xr:uid="{14B7E26A-A79F-4BD3-8062-51E1423EA34C}">
      <text>
        <r>
          <rPr>
            <b/>
            <sz val="9"/>
            <color indexed="81"/>
            <rFont val="Tahoma"/>
            <family val="2"/>
          </rPr>
          <t>Note:</t>
        </r>
        <r>
          <rPr>
            <sz val="9"/>
            <color indexed="81"/>
            <rFont val="Tahoma"/>
            <family val="2"/>
          </rPr>
          <t xml:space="preserve">
Semi-annual yield calculated by interpolating the yield on the bonds that fall either side of the target date</t>
        </r>
      </text>
    </comment>
    <comment ref="Q47" authorId="0" shapeId="0" xr:uid="{00000000-0006-0000-0500-000001000000}">
      <text>
        <r>
          <rPr>
            <b/>
            <sz val="9"/>
            <color indexed="81"/>
            <rFont val="Tahoma"/>
            <family val="2"/>
          </rPr>
          <t>Note:</t>
        </r>
        <r>
          <rPr>
            <sz val="9"/>
            <color indexed="81"/>
            <rFont val="Tahoma"/>
            <family val="2"/>
          </rPr>
          <t xml:space="preserve">
Semi-annual yield calculated by interpolating the yield on the bonds that fall either side of the target date</t>
        </r>
      </text>
    </comment>
  </commentList>
</comments>
</file>

<file path=xl/sharedStrings.xml><?xml version="1.0" encoding="utf-8"?>
<sst xmlns="http://schemas.openxmlformats.org/spreadsheetml/2006/main" count="461" uniqueCount="202">
  <si>
    <t>General Model Constant</t>
  </si>
  <si>
    <t>Name</t>
  </si>
  <si>
    <t>Mths_In_Mth</t>
  </si>
  <si>
    <t>Mths_In_Qtr</t>
  </si>
  <si>
    <t>Mths_In_Yr</t>
  </si>
  <si>
    <t>Heading 1</t>
  </si>
  <si>
    <t>Ok</t>
  </si>
  <si>
    <t>Error</t>
  </si>
  <si>
    <t>Half</t>
  </si>
  <si>
    <t>Yes</t>
  </si>
  <si>
    <t>No</t>
  </si>
  <si>
    <t>Yes_No</t>
  </si>
  <si>
    <t>Error Checks</t>
  </si>
  <si>
    <t>Days_In_Wk</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</si>
  <si>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</si>
  <si>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</si>
  <si>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</si>
  <si>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</si>
  <si>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</si>
  <si>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</si>
  <si>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</si>
  <si>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</si>
  <si>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</si>
  <si>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</si>
  <si>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</si>
  <si>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</si>
  <si>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</si>
  <si>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</si>
  <si>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</si>
  <si>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</si>
  <si>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</si>
  <si>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</si>
  <si>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</si>
  <si>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</si>
  <si>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</si>
  <si>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</si>
  <si>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</si>
  <si>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</si>
  <si>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</si>
  <si>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</si>
  <si>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</si>
  <si>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</si>
  <si>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</si>
  <si>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</si>
  <si>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</si>
  <si>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</si>
  <si>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</si>
  <si>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Total Errors</t>
  </si>
  <si>
    <t>Table of Contents</t>
  </si>
  <si>
    <t>Appendix</t>
  </si>
  <si>
    <t>Go to Cover Sheet</t>
  </si>
  <si>
    <t>Period Counter</t>
  </si>
  <si>
    <t>Period Start Date</t>
  </si>
  <si>
    <t>Period End Date</t>
  </si>
  <si>
    <t>Model Start Date</t>
  </si>
  <si>
    <t>Periodicity Inputs</t>
  </si>
  <si>
    <t>Time Series Headings</t>
  </si>
  <si>
    <t>Year</t>
  </si>
  <si>
    <t>Period Type</t>
  </si>
  <si>
    <t>Actual</t>
  </si>
  <si>
    <t>Forecast</t>
  </si>
  <si>
    <t>Regulatory Year</t>
  </si>
  <si>
    <t>Source</t>
  </si>
  <si>
    <t>Unit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</si>
  <si>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</si>
  <si>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</si>
  <si>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</si>
  <si>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</si>
  <si>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</si>
  <si>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</si>
  <si>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</si>
  <si>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</si>
  <si>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</si>
  <si>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</si>
  <si>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</si>
  <si>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</si>
  <si>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</si>
  <si>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</si>
  <si>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</si>
  <si>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</si>
  <si>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</si>
  <si>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</si>
  <si>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</si>
  <si>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</si>
  <si>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</si>
  <si>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</si>
  <si>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</si>
  <si>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Category Heading</t>
  </si>
  <si>
    <t>Calculated</t>
  </si>
  <si>
    <t>Not Applicable</t>
  </si>
  <si>
    <t>GWh</t>
  </si>
  <si>
    <t>MWh</t>
  </si>
  <si>
    <t>Number</t>
  </si>
  <si>
    <t>Km</t>
  </si>
  <si>
    <t>Kilometres</t>
  </si>
  <si>
    <t>Disclaimer:</t>
  </si>
  <si>
    <t>CPI Assumptions</t>
  </si>
  <si>
    <t>RBA</t>
  </si>
  <si>
    <t>Real $2019</t>
  </si>
  <si>
    <t>Real$2019</t>
  </si>
  <si>
    <t>Debt Raising Costs</t>
  </si>
  <si>
    <t>Inflation</t>
  </si>
  <si>
    <t>Bond details</t>
  </si>
  <si>
    <t>Bond 1</t>
  </si>
  <si>
    <t>Bond 2</t>
  </si>
  <si>
    <t>Issue ID</t>
  </si>
  <si>
    <t>Maturity</t>
  </si>
  <si>
    <t>Date</t>
  </si>
  <si>
    <t>Yields by date</t>
  </si>
  <si>
    <t>Yield</t>
  </si>
  <si>
    <t>Parameter assumptions</t>
  </si>
  <si>
    <t>Value</t>
  </si>
  <si>
    <t>Parameter</t>
  </si>
  <si>
    <t>Market risk premium</t>
  </si>
  <si>
    <t>AER</t>
  </si>
  <si>
    <t>Equity beta</t>
  </si>
  <si>
    <t>Leverage</t>
  </si>
  <si>
    <t>Return on equity</t>
  </si>
  <si>
    <t>Return on equity and debt</t>
  </si>
  <si>
    <t>Debt and equity raising costs</t>
  </si>
  <si>
    <t>Imputation Credit Payout Ratio</t>
  </si>
  <si>
    <t>Subsequent Equity Raising Costs</t>
  </si>
  <si>
    <t>Dividend Reinvestment Plan Costs</t>
  </si>
  <si>
    <t>Dividend Reinvestment Plan Take Up</t>
  </si>
  <si>
    <t>Value of imputation credits</t>
  </si>
  <si>
    <t>Prevailing market data</t>
  </si>
  <si>
    <t>Forecast inflation</t>
  </si>
  <si>
    <t>PTRM inputs</t>
  </si>
  <si>
    <t>Cost of Capital</t>
  </si>
  <si>
    <t>Debt and Equity Raising Costs – Transaction Costs (per cent)</t>
  </si>
  <si>
    <t>Inflation Rate</t>
  </si>
  <si>
    <t>Return on Equity</t>
  </si>
  <si>
    <t>Value of Imputation Credits (gamma)</t>
  </si>
  <si>
    <t>Proportion of Debt Funding</t>
  </si>
  <si>
    <t>Risk-free rate</t>
  </si>
  <si>
    <t>Interpolated</t>
  </si>
  <si>
    <t>Bond yield</t>
  </si>
  <si>
    <t>Annualised</t>
  </si>
  <si>
    <t>Risk-free rate estimate</t>
  </si>
  <si>
    <t>Rate of return estimates</t>
  </si>
  <si>
    <t>Return on debt</t>
  </si>
  <si>
    <t>Trailing Average Portfolio Return on Debt</t>
  </si>
  <si>
    <t>Actual inflation</t>
  </si>
  <si>
    <t>ABS</t>
  </si>
  <si>
    <t>Actual and forecasts</t>
  </si>
  <si>
    <t>Rate of return inputs</t>
  </si>
  <si>
    <t>Rate of return calculations</t>
  </si>
  <si>
    <t>Inputs to PTRM</t>
  </si>
  <si>
    <r>
      <rPr>
        <b/>
        <sz val="10"/>
        <color theme="1"/>
        <rFont val="Helvetica"/>
      </rPr>
      <t>Note</t>
    </r>
    <r>
      <rPr>
        <sz val="10"/>
        <color theme="1"/>
        <rFont val="Helvetica"/>
        <family val="2"/>
      </rPr>
      <t>: Actual inflation based on movement in CPI from June to June quarter</t>
    </r>
  </si>
  <si>
    <t>Weights</t>
  </si>
  <si>
    <t>Main Model</t>
  </si>
  <si>
    <t xml:space="preserve">▲ Glide path ▲ </t>
  </si>
  <si>
    <t>▲ Mid-point of the RBA's inflation target range</t>
  </si>
  <si>
    <t>Return on Debt</t>
  </si>
  <si>
    <t>Annual observations</t>
  </si>
  <si>
    <t>Adopted</t>
  </si>
  <si>
    <t>New observation</t>
  </si>
  <si>
    <t>Trailing average</t>
  </si>
  <si>
    <t>Estimated</t>
  </si>
  <si>
    <t>Trailing average return on debt</t>
  </si>
  <si>
    <t>Gigawatt Hours</t>
  </si>
  <si>
    <t>Megawatt Hours</t>
  </si>
  <si>
    <t>LU_Source</t>
  </si>
  <si>
    <t>Annual observation</t>
  </si>
  <si>
    <t>Weight applied to new observations</t>
  </si>
  <si>
    <t>Commonwealth Government Securities (Table F16)</t>
  </si>
  <si>
    <t>Estimate</t>
  </si>
  <si>
    <t>CPI inputs</t>
  </si>
  <si>
    <t>CPI Profiles</t>
  </si>
  <si>
    <t>Unlagged - June to June</t>
  </si>
  <si>
    <t>Lagged - Dec to Dec</t>
  </si>
  <si>
    <t>Nominal vanilla WACC</t>
  </si>
  <si>
    <t>(Dec 2022)</t>
  </si>
  <si>
    <t>Period Source Type</t>
  </si>
  <si>
    <t>TGD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TGD will not be liable to any person for any loss or damage of any kind arising out of or in any way connected with the use of this model (including negligence).   The references to TGD in this disclaimer includes their respective directors, officers, employees, contractors, advisers or agents.</t>
  </si>
  <si>
    <t>(Dec 2023)</t>
  </si>
  <si>
    <t xml:space="preserve">▲       RBA forecast      ▲ </t>
  </si>
  <si>
    <t>Placeholder actual CPI ▲</t>
  </si>
  <si>
    <t>(Dec 2024)</t>
  </si>
  <si>
    <t>(Dec 2025)</t>
  </si>
  <si>
    <t>Transgrid</t>
  </si>
  <si>
    <t>◄ Placeholder based on return on debt observation for first year of the 2023-28 period.</t>
  </si>
  <si>
    <t>TB165</t>
  </si>
  <si>
    <t>TB140</t>
  </si>
  <si>
    <t>The purpose of this model is to provide rate of return outputs which are required as part of the Waratah Super Battery Non Contestable Project revenue proposal.</t>
  </si>
  <si>
    <t>Rate of Return Model - Transgrid (TGD) - Waratah Super Battery</t>
  </si>
  <si>
    <t>This model is confidential information of, and is owned by, Transgrid ABN/ACN 70 250 995 390 (TGD).  It may not be disclosed to, or used or relied on by, any person without the consent of TGD.</t>
  </si>
  <si>
    <r>
      <rPr>
        <b/>
        <sz val="10"/>
        <color theme="1"/>
        <rFont val="Helvetica"/>
      </rPr>
      <t>Note</t>
    </r>
    <r>
      <rPr>
        <sz val="10"/>
        <color theme="1"/>
        <rFont val="Helvetica"/>
        <family val="2"/>
      </rPr>
      <t>: Actual inflation based on movement in CPI from December to December quarter</t>
    </r>
    <r>
      <rPr>
        <sz val="10"/>
        <color theme="1"/>
        <rFont val="Helvetica"/>
      </rPr>
      <t xml:space="preserve"> where the value in FY22 represents the movement between Dec 20 to Dec 21</t>
    </r>
  </si>
  <si>
    <t>◄ As per the Final Decision for the 2023-28 revenue determination.</t>
  </si>
  <si>
    <t>TB158</t>
  </si>
  <si>
    <t>TB163</t>
  </si>
  <si>
    <t>2022-23 Risk-Free Rate</t>
  </si>
  <si>
    <t>2023-24 and 2024-25 Risk-Free Rate</t>
  </si>
  <si>
    <t>Return on Debt Observation</t>
  </si>
  <si>
    <t>Risk-free Rate</t>
  </si>
  <si>
    <t>MRP</t>
  </si>
  <si>
    <t>Equity Beta</t>
  </si>
  <si>
    <t>Cost of Capital Inputs for Pre-Period Costs</t>
  </si>
  <si>
    <t>Observations</t>
  </si>
  <si>
    <r>
      <rPr>
        <b/>
        <sz val="10"/>
        <color theme="1"/>
        <rFont val="Helvetica"/>
      </rPr>
      <t>Source</t>
    </r>
    <r>
      <rPr>
        <sz val="10"/>
        <color theme="1"/>
        <rFont val="Helvetica"/>
        <family val="2"/>
      </rPr>
      <t>: RBA statement on monetary policy, May 2023</t>
    </r>
  </si>
  <si>
    <r>
      <rPr>
        <b/>
        <sz val="10"/>
        <color theme="1"/>
        <rFont val="Helvetica"/>
      </rPr>
      <t>Source</t>
    </r>
    <r>
      <rPr>
        <sz val="10"/>
        <color theme="1"/>
        <rFont val="Helvetica"/>
        <family val="2"/>
      </rPr>
      <t>: ABS (TABLES 3 and 4. CPI: Groups, Weighted Average of Eight Capital Cities, Index Numbers and Percentage Changes, A2325846C); RBA statement on monetary policy, May 2023</t>
    </r>
    <r>
      <rPr>
        <sz val="10"/>
        <color theme="1"/>
        <rFont val="Helvetica"/>
      </rPr>
      <t>, Appendix A</t>
    </r>
  </si>
  <si>
    <t>Placeholder actual CPI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</si>
</sst>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0.00%_);\(#,##0.00%\);_(&quot;-&quot;_)"/>
    <numFmt numFmtId="176" formatCode="_-* #,##0_-;\-* #,##0_-;_-* &quot;-&quot;??_-;_-@_-"/>
  </numFmts>
  <fonts count="48" x14ac:knownFonts="1">
    <font>
      <sz val="8"/>
      <color rgb="FFFF0066"/>
      <name val="Helvetica"/>
      <family val="2"/>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sz val="10"/>
      <name val="Helvetica"/>
      <family val="2"/>
    </font>
    <font>
      <b/>
      <sz val="10"/>
      <color theme="1"/>
      <name val="Helvetica"/>
    </font>
    <font>
      <b/>
      <sz val="10"/>
      <name val="Helvetica"/>
      <family val="2"/>
    </font>
    <font>
      <sz val="10"/>
      <color theme="1"/>
      <name val="Helvetica"/>
    </font>
    <font>
      <sz val="8"/>
      <color rgb="FFFF0066"/>
      <name val="Helvetica"/>
      <family val="2"/>
    </font>
    <font>
      <b/>
      <sz val="8"/>
      <color indexed="8"/>
      <name val="Arial"/>
      <family val="2"/>
    </font>
    <font>
      <i/>
      <sz val="8"/>
      <color indexed="8"/>
      <name val="Arial"/>
      <family val="2"/>
    </font>
    <font>
      <sz val="8"/>
      <color indexed="8"/>
      <name val="Arial"/>
      <family val="2"/>
    </font>
    <font>
      <b/>
      <sz val="9"/>
      <color indexed="81"/>
      <name val="Tahoma"/>
      <family val="2"/>
    </font>
    <font>
      <sz val="9"/>
      <color indexed="81"/>
      <name val="Tahoma"/>
      <family val="2"/>
    </font>
    <font>
      <sz val="10"/>
      <color rgb="FFFF0000"/>
      <name val="Helvetica"/>
      <family val="2"/>
    </font>
    <font>
      <i/>
      <sz val="8"/>
      <name val="Helvetica"/>
    </font>
    <font>
      <sz val="10"/>
      <color theme="4"/>
      <name val="Helvetica"/>
    </font>
    <font>
      <sz val="8"/>
      <color rgb="FFFF0000"/>
      <name val="Helvetica"/>
      <family val="2"/>
    </font>
    <font>
      <b/>
      <i/>
      <sz val="10"/>
      <color theme="4"/>
      <name val="Helvetica"/>
    </font>
  </fonts>
  <fills count="19">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auto="1"/>
      </right>
      <top/>
      <bottom/>
      <diagonal/>
    </border>
    <border>
      <left/>
      <right style="dotted">
        <color auto="1"/>
      </right>
      <top/>
      <bottom style="thin">
        <color auto="1"/>
      </bottom>
      <diagonal/>
    </border>
    <border>
      <left/>
      <right/>
      <top style="thin">
        <color theme="0"/>
      </top>
      <bottom/>
      <diagonal/>
    </border>
    <border>
      <left/>
      <right style="dotted">
        <color auto="1"/>
      </right>
      <top style="thin">
        <color auto="1"/>
      </top>
      <bottom/>
      <diagonal/>
    </border>
    <border>
      <left/>
      <right/>
      <top style="dotted">
        <color auto="1"/>
      </top>
      <bottom/>
      <diagonal/>
    </border>
    <border>
      <left style="dotted">
        <color auto="1"/>
      </left>
      <right/>
      <top/>
      <bottom style="thin">
        <color auto="1"/>
      </bottom>
      <diagonal/>
    </border>
    <border>
      <left style="dotted">
        <color auto="1"/>
      </left>
      <right/>
      <top/>
      <bottom style="thin">
        <color theme="0"/>
      </bottom>
      <diagonal/>
    </border>
    <border>
      <left/>
      <right style="dotted">
        <color auto="1"/>
      </right>
      <top/>
      <bottom style="thin">
        <color theme="0"/>
      </bottom>
      <diagonal/>
    </border>
    <border>
      <left/>
      <right/>
      <top/>
      <bottom style="dotted">
        <color auto="1"/>
      </bottom>
      <diagonal/>
    </border>
  </borders>
  <cellStyleXfs count="57">
    <xf numFmtId="0" fontId="0" fillId="0" borderId="0"/>
    <xf numFmtId="168" fontId="2" fillId="0" borderId="0" applyFill="0" applyBorder="0" applyProtection="0">
      <alignment vertical="center"/>
    </xf>
    <xf numFmtId="0" fontId="6" fillId="0" borderId="0" applyNumberFormat="0" applyFill="0" applyBorder="0" applyAlignment="0" applyProtection="0"/>
    <xf numFmtId="0" fontId="32" fillId="11" borderId="0" applyBorder="0">
      <alignment horizontal="left" vertical="center"/>
    </xf>
    <xf numFmtId="0" fontId="1" fillId="3" borderId="0" applyProtection="0">
      <alignment vertical="center"/>
    </xf>
    <xf numFmtId="0" fontId="3" fillId="0" borderId="0" applyFill="0" applyProtection="0">
      <alignment vertical="center"/>
    </xf>
    <xf numFmtId="0" fontId="2" fillId="0" borderId="0" applyFill="0" applyBorder="0" applyProtection="0">
      <alignment vertical="center"/>
    </xf>
    <xf numFmtId="0" fontId="4" fillId="0" borderId="5" applyNumberFormat="0" applyFill="0" applyAlignment="0" applyProtection="0"/>
    <xf numFmtId="0" fontId="28" fillId="12" borderId="4">
      <alignment horizontal="left" vertical="center"/>
      <protection locked="0"/>
    </xf>
    <xf numFmtId="164" fontId="27" fillId="0" borderId="0" applyFill="0" applyBorder="0">
      <alignment horizontal="center" vertical="center"/>
    </xf>
    <xf numFmtId="164" fontId="28" fillId="2" borderId="4">
      <alignment horizontal="center" vertical="center"/>
      <protection locked="0"/>
    </xf>
    <xf numFmtId="170" fontId="27" fillId="0" borderId="0" applyFill="0" applyBorder="0">
      <alignment horizontal="center" vertical="center"/>
    </xf>
    <xf numFmtId="170" fontId="28" fillId="12" borderId="4">
      <alignment horizontal="center" vertical="center"/>
      <protection locked="0"/>
    </xf>
    <xf numFmtId="165" fontId="27" fillId="0" borderId="0" applyFill="0" applyBorder="0">
      <alignment horizontal="right" vertical="center"/>
    </xf>
    <xf numFmtId="165" fontId="28" fillId="12" borderId="4">
      <alignment horizontal="right" vertical="center"/>
      <protection locked="0"/>
    </xf>
    <xf numFmtId="167" fontId="27" fillId="0" borderId="0" applyFill="0" applyBorder="0">
      <alignment horizontal="right" vertical="center"/>
    </xf>
    <xf numFmtId="167" fontId="28" fillId="12" borderId="4">
      <alignment horizontal="right" vertical="center"/>
      <protection locked="0"/>
    </xf>
    <xf numFmtId="166" fontId="27" fillId="0" borderId="0" applyFill="0" applyBorder="0">
      <alignment horizontal="right" vertical="center"/>
    </xf>
    <xf numFmtId="166" fontId="28" fillId="12" borderId="4">
      <alignment horizontal="right" vertical="center"/>
      <protection locked="0"/>
    </xf>
    <xf numFmtId="168" fontId="28" fillId="12" borderId="4">
      <alignment horizontal="right" vertical="center"/>
      <protection locked="0"/>
    </xf>
    <xf numFmtId="0" fontId="24" fillId="0" borderId="0" applyFill="0" applyBorder="0">
      <alignment horizontal="left" vertical="center"/>
    </xf>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6" applyNumberFormat="0" applyAlignment="0" applyProtection="0"/>
    <xf numFmtId="0" fontId="11" fillId="8" borderId="7" applyNumberFormat="0" applyAlignment="0" applyProtection="0"/>
    <xf numFmtId="0" fontId="12" fillId="8" borderId="6" applyNumberFormat="0" applyAlignment="0" applyProtection="0"/>
    <xf numFmtId="0" fontId="13" fillId="0" borderId="8" applyNumberFormat="0" applyFill="0" applyAlignment="0" applyProtection="0"/>
    <xf numFmtId="0" fontId="14" fillId="9" borderId="9" applyNumberFormat="0" applyAlignment="0" applyProtection="0"/>
    <xf numFmtId="0" fontId="15" fillId="0" borderId="0" applyNumberFormat="0" applyFill="0" applyBorder="0" applyAlignment="0" applyProtection="0"/>
    <xf numFmtId="0" fontId="2" fillId="10" borderId="10" applyNumberFormat="0" applyFont="0" applyAlignment="0" applyProtection="0"/>
    <xf numFmtId="0" fontId="16" fillId="0" borderId="0" applyNumberFormat="0" applyFill="0" applyBorder="0" applyAlignment="0" applyProtection="0"/>
    <xf numFmtId="0" fontId="17" fillId="0" borderId="0" applyNumberFormat="0" applyFill="0" applyBorder="0">
      <alignment horizontal="left" vertical="center"/>
    </xf>
    <xf numFmtId="0" fontId="18" fillId="0" borderId="0" applyFill="0" applyBorder="0">
      <alignment vertical="center"/>
    </xf>
    <xf numFmtId="0" fontId="29" fillId="0" borderId="0" applyFill="0" applyBorder="0">
      <alignment horizontal="left" vertical="center"/>
    </xf>
    <xf numFmtId="0" fontId="35" fillId="0" borderId="0" applyFill="0" applyBorder="0">
      <alignment horizontal="left" vertical="center"/>
    </xf>
    <xf numFmtId="0" fontId="28" fillId="0" borderId="0" applyFill="0" applyBorder="0">
      <alignment horizontal="left" vertical="center"/>
    </xf>
    <xf numFmtId="0" fontId="27" fillId="0" borderId="0" applyFill="0" applyBorder="0">
      <alignment vertical="center"/>
    </xf>
    <xf numFmtId="0" fontId="31" fillId="15" borderId="0" applyBorder="0">
      <alignment horizontal="left" vertical="center"/>
    </xf>
    <xf numFmtId="0" fontId="30" fillId="15" borderId="0" applyBorder="0">
      <alignment horizontal="left" vertical="center"/>
    </xf>
    <xf numFmtId="171" fontId="27" fillId="0" borderId="0" applyFill="0" applyBorder="0">
      <alignment horizontal="right" vertical="center"/>
    </xf>
    <xf numFmtId="0" fontId="23" fillId="0" borderId="0">
      <alignment horizontal="right" vertical="center"/>
    </xf>
    <xf numFmtId="0" fontId="20" fillId="13" borderId="0">
      <alignment horizontal="left" indent="3"/>
    </xf>
    <xf numFmtId="0" fontId="20" fillId="14" borderId="0">
      <alignment horizontal="left" indent="3"/>
    </xf>
    <xf numFmtId="173" fontId="5" fillId="0" borderId="0">
      <alignment horizontal="center" vertical="center"/>
    </xf>
    <xf numFmtId="174" fontId="22" fillId="12" borderId="4">
      <alignment horizontal="center" vertical="center"/>
      <protection locked="0"/>
    </xf>
    <xf numFmtId="174" fontId="5" fillId="0" borderId="0"/>
    <xf numFmtId="165" fontId="28" fillId="0" borderId="0" applyFill="0" applyBorder="0">
      <alignment horizontal="right" vertical="center"/>
    </xf>
    <xf numFmtId="170" fontId="28" fillId="0" borderId="0" applyFill="0" applyBorder="0">
      <alignment horizontal="center" vertical="center"/>
    </xf>
    <xf numFmtId="171" fontId="28" fillId="0" borderId="0" applyFill="0" applyBorder="0">
      <alignment horizontal="right" vertical="center"/>
    </xf>
    <xf numFmtId="166" fontId="28" fillId="0" borderId="0" applyFill="0" applyBorder="0">
      <alignment horizontal="right" vertical="center"/>
    </xf>
    <xf numFmtId="167" fontId="28" fillId="0" borderId="0" applyFill="0" applyBorder="0">
      <alignment horizontal="right" vertical="center"/>
    </xf>
    <xf numFmtId="164" fontId="28" fillId="0" borderId="0" applyFill="0" applyBorder="0">
      <alignment horizontal="center" vertical="center"/>
    </xf>
    <xf numFmtId="0" fontId="28" fillId="16" borderId="4">
      <alignment horizontal="center" vertical="center"/>
      <protection locked="0"/>
    </xf>
    <xf numFmtId="0" fontId="5" fillId="17" borderId="0"/>
    <xf numFmtId="165" fontId="33" fillId="3" borderId="4">
      <alignment horizontal="right" vertical="center"/>
      <protection locked="0"/>
    </xf>
    <xf numFmtId="9" fontId="37" fillId="0" borderId="0" applyFont="0" applyFill="0" applyBorder="0" applyAlignment="0" applyProtection="0"/>
  </cellStyleXfs>
  <cellXfs count="112">
    <xf numFmtId="0" fontId="0" fillId="0" borderId="0" xfId="0"/>
    <xf numFmtId="0" fontId="0" fillId="0" borderId="0" xfId="0" applyAlignment="1">
      <alignment horizontal="left"/>
    </xf>
    <xf numFmtId="0" fontId="32" fillId="11" borderId="0" xfId="3">
      <alignment horizontal="left" vertical="center"/>
    </xf>
    <xf numFmtId="0" fontId="24" fillId="0" borderId="0" xfId="20">
      <alignment horizontal="left" vertical="center"/>
    </xf>
    <xf numFmtId="0" fontId="29" fillId="0" borderId="0" xfId="34">
      <alignment horizontal="left" vertical="center"/>
    </xf>
    <xf numFmtId="0" fontId="35" fillId="0" borderId="0" xfId="35" applyFill="1">
      <alignment horizontal="left" vertical="center"/>
    </xf>
    <xf numFmtId="0" fontId="28" fillId="0" borderId="0" xfId="36">
      <alignment horizontal="left" vertical="center"/>
    </xf>
    <xf numFmtId="0" fontId="27" fillId="0" borderId="0" xfId="37">
      <alignment vertical="center"/>
    </xf>
    <xf numFmtId="0" fontId="31" fillId="15" borderId="0" xfId="38">
      <alignment horizontal="left" vertical="center"/>
    </xf>
    <xf numFmtId="0" fontId="29" fillId="0" borderId="0" xfId="34" applyFill="1">
      <alignment horizontal="left" vertical="center"/>
    </xf>
    <xf numFmtId="0" fontId="27" fillId="0" borderId="0" xfId="37" applyFill="1">
      <alignment vertical="center"/>
    </xf>
    <xf numFmtId="0" fontId="28" fillId="0" borderId="0" xfId="36" applyFill="1">
      <alignment horizontal="left" vertical="center"/>
    </xf>
    <xf numFmtId="0" fontId="28" fillId="0" borderId="1" xfId="36" applyBorder="1" applyAlignment="1">
      <alignment horizontal="center" vertical="center"/>
    </xf>
    <xf numFmtId="0" fontId="19" fillId="0" borderId="0" xfId="37" applyFont="1" applyFill="1">
      <alignment vertical="center"/>
    </xf>
    <xf numFmtId="0" fontId="28" fillId="0" borderId="0" xfId="36" applyAlignment="1">
      <alignment horizontal="right" vertical="center"/>
    </xf>
    <xf numFmtId="0" fontId="29" fillId="0" borderId="0" xfId="34" applyAlignment="1">
      <alignment horizontal="center" vertical="center"/>
    </xf>
    <xf numFmtId="0" fontId="0" fillId="0" borderId="0" xfId="0" applyAlignment="1">
      <alignment horizontal="center"/>
    </xf>
    <xf numFmtId="0" fontId="28" fillId="0" borderId="0" xfId="36" applyAlignment="1">
      <alignment horizontal="center" vertical="center"/>
    </xf>
    <xf numFmtId="4" fontId="0" fillId="0" borderId="0" xfId="0" applyNumberFormat="1"/>
    <xf numFmtId="172" fontId="0" fillId="0" borderId="0" xfId="0" applyNumberFormat="1"/>
    <xf numFmtId="0" fontId="25" fillId="0" borderId="0" xfId="37" applyFont="1" applyFill="1">
      <alignment vertical="center"/>
    </xf>
    <xf numFmtId="169" fontId="27" fillId="0" borderId="0" xfId="13" applyNumberFormat="1">
      <alignment horizontal="right" vertical="center"/>
    </xf>
    <xf numFmtId="173" fontId="5" fillId="0" borderId="3" xfId="44" applyBorder="1" applyAlignment="1">
      <alignment horizontal="center"/>
    </xf>
    <xf numFmtId="0" fontId="27"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11" xfId="0" applyBorder="1"/>
    <xf numFmtId="0" fontId="28" fillId="0" borderId="0" xfId="36" applyBorder="1">
      <alignment horizontal="left" vertical="center"/>
    </xf>
    <xf numFmtId="0" fontId="29" fillId="0" borderId="0" xfId="34" applyBorder="1" applyAlignment="1">
      <alignment horizontal="center" vertical="center"/>
    </xf>
    <xf numFmtId="0" fontId="35" fillId="0" borderId="0" xfId="35" applyBorder="1" applyAlignment="1">
      <alignment horizontal="center" vertical="center"/>
    </xf>
    <xf numFmtId="0" fontId="20" fillId="11" borderId="0" xfId="3" applyFont="1" applyBorder="1" applyAlignment="1">
      <alignment horizontal="center" vertical="center"/>
    </xf>
    <xf numFmtId="0" fontId="21"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8" fillId="12" borderId="4" xfId="8" applyAlignment="1">
      <alignment horizontal="center" vertical="center"/>
      <protection locked="0"/>
    </xf>
    <xf numFmtId="0" fontId="29" fillId="0" borderId="0" xfId="34" applyFill="1" applyBorder="1" applyAlignment="1">
      <alignment vertical="center"/>
    </xf>
    <xf numFmtId="0" fontId="26" fillId="0" borderId="0" xfId="3" applyFont="1" applyFill="1">
      <alignment horizontal="left" vertical="center"/>
    </xf>
    <xf numFmtId="0" fontId="17" fillId="0" borderId="0" xfId="32" applyBorder="1">
      <alignment horizontal="left" vertical="center"/>
    </xf>
    <xf numFmtId="0" fontId="17" fillId="0" borderId="0" xfId="32">
      <alignment horizontal="left" vertical="center"/>
    </xf>
    <xf numFmtId="0" fontId="17" fillId="0" borderId="0" xfId="32" applyAlignment="1">
      <alignment horizontal="center" vertical="center"/>
    </xf>
    <xf numFmtId="0" fontId="5" fillId="17" borderId="0" xfId="54"/>
    <xf numFmtId="0" fontId="28" fillId="16" borderId="4" xfId="53">
      <alignment horizontal="center" vertical="center"/>
      <protection locked="0"/>
    </xf>
    <xf numFmtId="165" fontId="28" fillId="3" borderId="4" xfId="14" applyFill="1">
      <alignment horizontal="right" vertical="center"/>
      <protection locked="0"/>
    </xf>
    <xf numFmtId="0" fontId="17" fillId="0" borderId="0" xfId="32" applyFill="1">
      <alignment horizontal="left" vertical="center"/>
    </xf>
    <xf numFmtId="170" fontId="28" fillId="0" borderId="1" xfId="48" applyBorder="1">
      <alignment horizontal="center" vertical="center"/>
    </xf>
    <xf numFmtId="170" fontId="27" fillId="0" borderId="0" xfId="11" applyAlignment="1">
      <alignment horizontal="right" vertical="center"/>
    </xf>
    <xf numFmtId="0" fontId="35" fillId="0" borderId="0" xfId="35" applyAlignment="1">
      <alignment horizontal="right" vertical="center"/>
    </xf>
    <xf numFmtId="0" fontId="35" fillId="0" borderId="0" xfId="35" applyAlignment="1">
      <alignment horizontal="center" vertical="center"/>
    </xf>
    <xf numFmtId="170" fontId="27" fillId="0" borderId="0" xfId="11">
      <alignment horizontal="center" vertical="center"/>
    </xf>
    <xf numFmtId="169" fontId="27" fillId="0" borderId="0" xfId="13" applyNumberFormat="1" applyAlignment="1">
      <alignment horizontal="center" vertical="center"/>
    </xf>
    <xf numFmtId="0" fontId="27" fillId="0" borderId="0" xfId="37" applyAlignment="1">
      <alignment horizontal="center" vertical="center"/>
    </xf>
    <xf numFmtId="0" fontId="35" fillId="0" borderId="2" xfId="35" applyBorder="1" applyAlignment="1">
      <alignment horizontal="center" vertical="center"/>
    </xf>
    <xf numFmtId="165" fontId="27" fillId="0" borderId="0" xfId="13" applyFill="1" applyAlignment="1">
      <alignment horizontal="center" vertical="center"/>
    </xf>
    <xf numFmtId="0" fontId="35" fillId="0" borderId="3" xfId="35" applyFill="1" applyBorder="1" applyAlignment="1">
      <alignment horizontal="center" vertical="center"/>
    </xf>
    <xf numFmtId="0" fontId="28" fillId="0" borderId="0" xfId="36" applyFill="1" applyAlignment="1">
      <alignment horizontal="center" vertical="center"/>
    </xf>
    <xf numFmtId="173" fontId="5" fillId="0" borderId="0" xfId="44">
      <alignment horizontal="center" vertical="center"/>
    </xf>
    <xf numFmtId="0" fontId="35" fillId="0" borderId="0" xfId="35" applyAlignment="1">
      <alignment horizontal="center" vertical="center" wrapText="1"/>
    </xf>
    <xf numFmtId="0" fontId="35" fillId="0" borderId="2" xfId="35" applyBorder="1" applyAlignment="1">
      <alignment horizontal="center" vertical="center" wrapText="1"/>
    </xf>
    <xf numFmtId="0" fontId="35" fillId="0" borderId="2" xfId="35" applyBorder="1">
      <alignment horizontal="left" vertical="center"/>
    </xf>
    <xf numFmtId="0" fontId="35" fillId="0" borderId="3" xfId="35" applyFill="1" applyBorder="1">
      <alignment horizontal="left" vertical="center"/>
    </xf>
    <xf numFmtId="0" fontId="27" fillId="0" borderId="0" xfId="37" applyFill="1" applyAlignment="1">
      <alignment horizontal="center" vertical="center"/>
    </xf>
    <xf numFmtId="0" fontId="36" fillId="0" borderId="0" xfId="37" applyFont="1">
      <alignment vertical="center"/>
    </xf>
    <xf numFmtId="20" fontId="0" fillId="0" borderId="0" xfId="0" quotePrefix="1" applyNumberFormat="1"/>
    <xf numFmtId="0" fontId="0" fillId="0" borderId="17" xfId="0" applyBorder="1"/>
    <xf numFmtId="0" fontId="35" fillId="0" borderId="18" xfId="35" applyBorder="1" applyAlignment="1">
      <alignment horizontal="center" vertical="center" wrapText="1"/>
    </xf>
    <xf numFmtId="175" fontId="28" fillId="3" borderId="4" xfId="16" applyNumberFormat="1" applyFill="1" applyAlignment="1">
      <alignment horizontal="center" vertical="center"/>
      <protection locked="0"/>
    </xf>
    <xf numFmtId="165" fontId="27" fillId="0" borderId="0" xfId="13" applyFill="1" applyBorder="1" applyAlignment="1">
      <alignment horizontal="center" vertical="center"/>
    </xf>
    <xf numFmtId="176" fontId="38" fillId="0" borderId="0" xfId="0" applyNumberFormat="1" applyFont="1"/>
    <xf numFmtId="176" fontId="39" fillId="0" borderId="0" xfId="0" applyNumberFormat="1" applyFont="1" applyAlignment="1">
      <alignment horizontal="center"/>
    </xf>
    <xf numFmtId="176" fontId="40" fillId="0" borderId="0" xfId="0" applyNumberFormat="1" applyFont="1"/>
    <xf numFmtId="176" fontId="39" fillId="0" borderId="0" xfId="0" applyNumberFormat="1" applyFont="1" applyAlignment="1">
      <alignment horizontal="left"/>
    </xf>
    <xf numFmtId="14" fontId="27" fillId="0" borderId="0" xfId="37" applyNumberFormat="1" applyAlignment="1">
      <alignment horizontal="left" vertical="center"/>
    </xf>
    <xf numFmtId="14" fontId="28" fillId="3" borderId="4" xfId="16" applyNumberFormat="1" applyFill="1" applyAlignment="1">
      <alignment horizontal="center" vertical="center"/>
      <protection locked="0"/>
    </xf>
    <xf numFmtId="0" fontId="27" fillId="0" borderId="0" xfId="37" applyAlignment="1">
      <alignment horizontal="left" vertical="center"/>
    </xf>
    <xf numFmtId="10" fontId="27" fillId="0" borderId="0" xfId="56" applyNumberFormat="1" applyFont="1" applyFill="1" applyAlignment="1">
      <alignment horizontal="center" vertical="center"/>
    </xf>
    <xf numFmtId="176" fontId="40" fillId="0" borderId="0" xfId="0" applyNumberFormat="1" applyFont="1" applyAlignment="1">
      <alignment horizontal="center"/>
    </xf>
    <xf numFmtId="10" fontId="27" fillId="0" borderId="0" xfId="56" applyNumberFormat="1" applyFont="1" applyFill="1" applyBorder="1" applyAlignment="1">
      <alignment horizontal="center" vertical="center"/>
    </xf>
    <xf numFmtId="14" fontId="27" fillId="0" borderId="0" xfId="13" applyNumberFormat="1" applyFill="1" applyBorder="1" applyAlignment="1">
      <alignment horizontal="center" vertical="center"/>
    </xf>
    <xf numFmtId="10" fontId="34" fillId="0" borderId="3" xfId="56" applyNumberFormat="1" applyFont="1" applyFill="1" applyBorder="1" applyAlignment="1">
      <alignment horizontal="center" vertical="center"/>
    </xf>
    <xf numFmtId="10" fontId="0" fillId="0" borderId="0" xfId="56" applyNumberFormat="1" applyFont="1"/>
    <xf numFmtId="10" fontId="0" fillId="0" borderId="0" xfId="56" applyNumberFormat="1" applyFont="1" applyFill="1"/>
    <xf numFmtId="0" fontId="43" fillId="0" borderId="0" xfId="36" applyFont="1" applyFill="1" applyBorder="1">
      <alignment horizontal="left" vertical="center"/>
    </xf>
    <xf numFmtId="175" fontId="43" fillId="3" borderId="4" xfId="16" applyNumberFormat="1" applyFont="1" applyFill="1" applyAlignment="1">
      <alignment horizontal="center" vertical="center"/>
      <protection locked="0"/>
    </xf>
    <xf numFmtId="0" fontId="27" fillId="0" borderId="0" xfId="37" applyAlignment="1">
      <alignment horizontal="left" vertical="center" indent="2"/>
    </xf>
    <xf numFmtId="0" fontId="27" fillId="0" borderId="0" xfId="37" applyFill="1" applyAlignment="1">
      <alignment horizontal="left" vertical="center" indent="1"/>
    </xf>
    <xf numFmtId="10" fontId="34" fillId="0" borderId="20" xfId="56" applyNumberFormat="1" applyFont="1" applyFill="1" applyBorder="1" applyAlignment="1">
      <alignment horizontal="center" vertical="center"/>
    </xf>
    <xf numFmtId="0" fontId="27" fillId="0" borderId="21" xfId="37" applyFill="1" applyBorder="1" applyAlignment="1">
      <alignment horizontal="left" vertical="center" indent="1"/>
    </xf>
    <xf numFmtId="0" fontId="27" fillId="0" borderId="21" xfId="37" applyFill="1" applyBorder="1" applyAlignment="1">
      <alignment horizontal="center" vertical="center"/>
    </xf>
    <xf numFmtId="0" fontId="27" fillId="0" borderId="21" xfId="37" applyBorder="1" applyAlignment="1">
      <alignment horizontal="center" vertical="center"/>
    </xf>
    <xf numFmtId="10" fontId="27" fillId="0" borderId="21" xfId="56" applyNumberFormat="1" applyFont="1" applyFill="1" applyBorder="1" applyAlignment="1">
      <alignment horizontal="center" vertical="center"/>
    </xf>
    <xf numFmtId="170" fontId="28" fillId="3" borderId="4" xfId="12" applyFill="1" applyAlignment="1">
      <alignment horizontal="left" vertical="center"/>
      <protection locked="0"/>
    </xf>
    <xf numFmtId="0" fontId="43" fillId="17" borderId="19" xfId="37" applyFont="1" applyFill="1" applyBorder="1" applyAlignment="1">
      <alignment horizontal="center" vertical="center"/>
    </xf>
    <xf numFmtId="0" fontId="34" fillId="0" borderId="0" xfId="37" applyFont="1">
      <alignment vertical="center"/>
    </xf>
    <xf numFmtId="0" fontId="34" fillId="0" borderId="0" xfId="37" applyFont="1" applyFill="1" applyAlignment="1">
      <alignment horizontal="center" vertical="center"/>
    </xf>
    <xf numFmtId="0" fontId="34" fillId="0" borderId="0" xfId="37" applyFont="1" applyAlignment="1">
      <alignment horizontal="center" vertical="center"/>
    </xf>
    <xf numFmtId="175" fontId="34" fillId="0" borderId="0" xfId="15" applyNumberFormat="1" applyFont="1" applyAlignment="1">
      <alignment horizontal="center" vertical="center"/>
    </xf>
    <xf numFmtId="0" fontId="44" fillId="0" borderId="0" xfId="0" applyFont="1" applyAlignment="1">
      <alignment horizontal="center"/>
    </xf>
    <xf numFmtId="0" fontId="5" fillId="0" borderId="0" xfId="0" applyFont="1"/>
    <xf numFmtId="0" fontId="35" fillId="0" borderId="22" xfId="35" applyBorder="1" applyAlignment="1">
      <alignment horizontal="center" vertical="center" wrapText="1"/>
    </xf>
    <xf numFmtId="0" fontId="0" fillId="0" borderId="23" xfId="0" applyBorder="1"/>
    <xf numFmtId="0" fontId="0" fillId="0" borderId="24" xfId="0" applyBorder="1"/>
    <xf numFmtId="10" fontId="27" fillId="0" borderId="25" xfId="56" applyNumberFormat="1" applyFont="1" applyFill="1" applyBorder="1" applyAlignment="1">
      <alignment horizontal="center" vertical="center"/>
    </xf>
    <xf numFmtId="0" fontId="46" fillId="0" borderId="0" xfId="0" applyFont="1"/>
    <xf numFmtId="0" fontId="47" fillId="18" borderId="0" xfId="38" applyFont="1" applyFill="1">
      <alignment horizontal="left" vertical="center"/>
    </xf>
    <xf numFmtId="0" fontId="46" fillId="0" borderId="0" xfId="0" applyFont="1" applyAlignment="1">
      <alignment horizontal="right" indent="3"/>
    </xf>
    <xf numFmtId="0" fontId="28" fillId="0" borderId="0" xfId="36" applyFill="1" applyAlignment="1">
      <alignment horizontal="left" vertical="top" wrapText="1"/>
    </xf>
    <xf numFmtId="0" fontId="45" fillId="0" borderId="0" xfId="34" applyFont="1" applyFill="1">
      <alignment horizontal="left" vertical="center"/>
    </xf>
    <xf numFmtId="0" fontId="27" fillId="0" borderId="19" xfId="37" applyBorder="1" applyAlignment="1">
      <alignment horizontal="center" vertical="center"/>
    </xf>
    <xf numFmtId="0" fontId="35" fillId="0" borderId="2" xfId="35" applyBorder="1" applyAlignment="1">
      <alignment horizontal="center" vertical="center"/>
    </xf>
  </cellXfs>
  <cellStyles count="57">
    <cellStyle name="Bad" xfId="22" builtinId="27" hidden="1"/>
    <cellStyle name="Calculation" xfId="26" builtinId="22" hidden="1"/>
    <cellStyle name="Check Cell" xfId="28" builtinId="23" hidden="1"/>
    <cellStyle name="Check RedRedGreen" xfId="44" xr:uid="{00000000-0005-0000-0000-000003000000}"/>
    <cellStyle name="Currency" xfId="1" builtinId="4" hidden="1" customBuiltin="1"/>
    <cellStyle name="Currency" xfId="40" xr:uid="{00000000-0005-0000-0000-000005000000}"/>
    <cellStyle name="Currency Assumptions" xfId="19" xr:uid="{00000000-0005-0000-0000-000006000000}"/>
    <cellStyle name="Currency Input" xfId="49" xr:uid="{00000000-0005-0000-0000-000007000000}"/>
    <cellStyle name="Date" xfId="11" xr:uid="{00000000-0005-0000-0000-000008000000}"/>
    <cellStyle name="Date Assumptions" xfId="12" xr:uid="{00000000-0005-0000-0000-000009000000}"/>
    <cellStyle name="Date Input" xfId="48" xr:uid="{00000000-0005-0000-0000-00000A000000}"/>
    <cellStyle name="Dropdown" xfId="53" xr:uid="{00000000-0005-0000-0000-00000B000000}"/>
    <cellStyle name="Explanatory Text" xfId="31" builtinId="53" hidden="1"/>
    <cellStyle name="External Link" xfId="55" xr:uid="{00000000-0005-0000-0000-00000D000000}"/>
    <cellStyle name="Good" xfId="21" builtinId="26" hidden="1"/>
    <cellStyle name="Heading 1" xfId="3" builtinId="16" customBuiltin="1"/>
    <cellStyle name="Heading 2" xfId="4" builtinId="17" hidden="1" customBuiltin="1"/>
    <cellStyle name="Heading 2 Input" xfId="38" xr:uid="{00000000-0005-0000-0000-000011000000}"/>
    <cellStyle name="Heading 2 Output" xfId="39" xr:uid="{00000000-0005-0000-0000-000012000000}"/>
    <cellStyle name="Heading 3" xfId="5" builtinId="18" hidden="1" customBuiltin="1"/>
    <cellStyle name="Heading 3 Input" xfId="34" xr:uid="{00000000-0005-0000-0000-000014000000}"/>
    <cellStyle name="Heading 3 Output" xfId="35" xr:uid="{00000000-0005-0000-0000-000015000000}"/>
    <cellStyle name="Heading 4" xfId="6" builtinId="19" hidden="1" customBuiltin="1"/>
    <cellStyle name="Heading 4 Assumptions" xfId="8" xr:uid="{00000000-0005-0000-0000-000017000000}"/>
    <cellStyle name="Heading 4 Input" xfId="36" xr:uid="{00000000-0005-0000-0000-000018000000}"/>
    <cellStyle name="Heading 4 Output" xfId="37" xr:uid="{00000000-0005-0000-0000-000019000000}"/>
    <cellStyle name="Hyperlink" xfId="32" builtinId="8" customBuiltin="1"/>
    <cellStyle name="Input" xfId="24" builtinId="20" hidden="1"/>
    <cellStyle name="Line Item Modifier" xfId="41" xr:uid="{00000000-0005-0000-0000-00001C000000}"/>
    <cellStyle name="Linked Cell" xfId="27" builtinId="24" hidden="1"/>
    <cellStyle name="Multiple" xfId="17" xr:uid="{00000000-0005-0000-0000-00001E000000}"/>
    <cellStyle name="Multiple Assumptions" xfId="18" xr:uid="{00000000-0005-0000-0000-00001F000000}"/>
    <cellStyle name="Multiple Input" xfId="50" xr:uid="{00000000-0005-0000-0000-000020000000}"/>
    <cellStyle name="Neutral" xfId="23" builtinId="28" hidden="1"/>
    <cellStyle name="Normal" xfId="0" builtinId="0" customBuiltin="1"/>
    <cellStyle name="Not Applicable" xfId="54" xr:uid="{00000000-0005-0000-0000-000023000000}"/>
    <cellStyle name="Note" xfId="30" builtinId="10" hidden="1"/>
    <cellStyle name="Number" xfId="13" xr:uid="{00000000-0005-0000-0000-000025000000}"/>
    <cellStyle name="Number Assumptions" xfId="14" xr:uid="{00000000-0005-0000-0000-000026000000}"/>
    <cellStyle name="Number Input" xfId="47" xr:uid="{00000000-0005-0000-0000-000027000000}"/>
    <cellStyle name="Output" xfId="25" builtinId="21" hidden="1"/>
    <cellStyle name="Percent" xfId="56" builtinId="5"/>
    <cellStyle name="Percentage" xfId="15" xr:uid="{00000000-0005-0000-0000-00002A000000}"/>
    <cellStyle name="Percentage Assumptions" xfId="16" xr:uid="{00000000-0005-0000-0000-00002B000000}"/>
    <cellStyle name="Percentage Input" xfId="51" xr:uid="{00000000-0005-0000-0000-00002C000000}"/>
    <cellStyle name="Sheet Title Input" xfId="20" xr:uid="{00000000-0005-0000-0000-00002D000000}"/>
    <cellStyle name="Sheet Title Output" xfId="33" xr:uid="{00000000-0005-0000-0000-00002E000000}"/>
    <cellStyle name="Table Header 1" xfId="42" xr:uid="{00000000-0005-0000-0000-00002F000000}"/>
    <cellStyle name="Table Header 2" xfId="43" xr:uid="{00000000-0005-0000-0000-000030000000}"/>
    <cellStyle name="Title" xfId="2" builtinId="15" hidden="1"/>
    <cellStyle name="Total" xfId="7" builtinId="25" hidden="1"/>
    <cellStyle name="Trigger Assumption GreenRedGrey" xfId="45" xr:uid="{00000000-0005-0000-0000-000033000000}"/>
    <cellStyle name="Trigger GreenRedGrey" xfId="46" xr:uid="{00000000-0005-0000-0000-000034000000}"/>
    <cellStyle name="Warning Text" xfId="29" builtinId="11" hidden="1"/>
    <cellStyle name="Year" xfId="9" xr:uid="{00000000-0005-0000-0000-000036000000}"/>
    <cellStyle name="Year Assumptions" xfId="10" xr:uid="{00000000-0005-0000-0000-000037000000}"/>
    <cellStyle name="Year Input" xfId="52" xr:uid="{00000000-0005-0000-0000-000038000000}"/>
  </cellStyles>
  <dxfs count="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0066"/>
      <color rgb="FF139C00"/>
      <color rgb="FF42628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ustomXml" Target="../customXml/item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customXml" Target="../customXml/item4.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customXml" Target="../customXml/item3.xml" Id="rId1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2.xml" Id="rId14" /><Relationship Type="http://schemas.openxmlformats.org/officeDocument/2006/relationships/customXml" Target="/customXML/item5.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4</xdr:col>
      <xdr:colOff>220063</xdr:colOff>
      <xdr:row>8</xdr:row>
      <xdr:rowOff>94952</xdr:rowOff>
    </xdr:to>
    <xdr:pic>
      <xdr:nvPicPr>
        <xdr:cNvPr id="2" name="Picture 1">
          <a:extLst>
            <a:ext uri="{FF2B5EF4-FFF2-40B4-BE49-F238E27FC236}">
              <a16:creationId xmlns:a16="http://schemas.microsoft.com/office/drawing/2014/main" id="{FC78D469-161E-4E0B-9F42-8B575C52C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809625"/>
          <a:ext cx="1283053" cy="5235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4"/>
  <sheetViews>
    <sheetView showGridLines="0" tabSelected="1" zoomScaleNormal="100" workbookViewId="0">
      <selection activeCell="L4" sqref="L4"/>
    </sheetView>
  </sheetViews>
  <sheetFormatPr defaultColWidth="9.33203125" defaultRowHeight="10" x14ac:dyDescent="0.2"/>
  <cols>
    <col min="2" max="3" width="5.77734375" customWidth="1"/>
    <col min="4" max="4" width="12.77734375" customWidth="1"/>
    <col min="6" max="13" width="10.77734375" customWidth="1"/>
  </cols>
  <sheetData>
    <row r="1" spans="2:15" ht="11.25" customHeight="1" x14ac:dyDescent="0.2"/>
    <row r="2" spans="2:15" ht="11.25" customHeight="1" x14ac:dyDescent="0.2"/>
    <row r="3" spans="2:15" ht="19" x14ac:dyDescent="0.2">
      <c r="B3" s="3" t="s">
        <v>185</v>
      </c>
    </row>
    <row r="4" spans="2:15" ht="11.25" customHeight="1" x14ac:dyDescent="0.2"/>
    <row r="5" spans="2:15" ht="11.25" customHeight="1" x14ac:dyDescent="0.2">
      <c r="N5" s="65"/>
      <c r="O5" s="65"/>
    </row>
    <row r="6" spans="2:15" ht="11.25" customHeight="1" x14ac:dyDescent="0.2">
      <c r="N6" s="65"/>
      <c r="O6" s="65"/>
    </row>
    <row r="7" spans="2:15" ht="11.25" customHeight="1" x14ac:dyDescent="0.2">
      <c r="N7" s="65"/>
      <c r="O7" s="65"/>
    </row>
    <row r="8" spans="2:15" ht="11.25" customHeight="1" x14ac:dyDescent="0.2"/>
    <row r="11" spans="2:15" ht="13" x14ac:dyDescent="0.2">
      <c r="C11" s="38" t="s">
        <v>28</v>
      </c>
      <c r="E11" s="84"/>
      <c r="F11" s="11" t="s">
        <v>180</v>
      </c>
    </row>
    <row r="13" spans="2:15" ht="13" x14ac:dyDescent="0.2">
      <c r="C13" s="9" t="s">
        <v>29</v>
      </c>
    </row>
    <row r="14" spans="2:15" ht="12.5" x14ac:dyDescent="0.2">
      <c r="C14" s="11" t="s">
        <v>184</v>
      </c>
    </row>
    <row r="16" spans="2:15" ht="13" x14ac:dyDescent="0.2">
      <c r="C16" s="9" t="s">
        <v>36</v>
      </c>
    </row>
    <row r="18" spans="3:13" x14ac:dyDescent="0.2">
      <c r="C18" s="24"/>
      <c r="D18" s="25"/>
      <c r="E18" s="25"/>
      <c r="F18" s="25"/>
      <c r="G18" s="25"/>
      <c r="H18" s="25"/>
      <c r="I18" s="25"/>
      <c r="J18" s="25"/>
      <c r="K18" s="25"/>
      <c r="L18" s="25"/>
      <c r="M18" s="26"/>
    </row>
    <row r="19" spans="3:13" ht="12.5" x14ac:dyDescent="0.2">
      <c r="C19" s="27"/>
      <c r="D19" s="37" t="s">
        <v>14</v>
      </c>
      <c r="F19" s="29" t="s">
        <v>25</v>
      </c>
      <c r="M19" s="28"/>
    </row>
    <row r="20" spans="3:13" ht="12.5" x14ac:dyDescent="0.2">
      <c r="C20" s="27"/>
      <c r="D20" s="44" t="s">
        <v>43</v>
      </c>
      <c r="F20" s="29" t="s">
        <v>38</v>
      </c>
      <c r="M20" s="28"/>
    </row>
    <row r="21" spans="3:13" ht="13" x14ac:dyDescent="0.2">
      <c r="C21" s="27"/>
      <c r="D21" s="30" t="s">
        <v>20</v>
      </c>
      <c r="F21" s="29" t="s">
        <v>22</v>
      </c>
      <c r="M21" s="28"/>
    </row>
    <row r="22" spans="3:13" ht="13" x14ac:dyDescent="0.2">
      <c r="C22" s="27"/>
      <c r="D22" s="31" t="s">
        <v>21</v>
      </c>
      <c r="F22" s="29" t="s">
        <v>23</v>
      </c>
      <c r="M22" s="28"/>
    </row>
    <row r="23" spans="3:13" ht="12.5" x14ac:dyDescent="0.2">
      <c r="C23" s="27"/>
      <c r="D23" s="32" t="s">
        <v>5</v>
      </c>
      <c r="F23" s="29" t="s">
        <v>26</v>
      </c>
      <c r="M23" s="28"/>
    </row>
    <row r="24" spans="3:13" ht="12.5" x14ac:dyDescent="0.2">
      <c r="C24" s="27"/>
      <c r="D24" s="33" t="s">
        <v>24</v>
      </c>
      <c r="F24" s="29" t="s">
        <v>27</v>
      </c>
      <c r="M24" s="28"/>
    </row>
    <row r="25" spans="3:13" ht="12.5" x14ac:dyDescent="0.2">
      <c r="C25" s="27"/>
      <c r="D25" s="43"/>
      <c r="F25" s="29" t="s">
        <v>37</v>
      </c>
      <c r="M25" s="28"/>
    </row>
    <row r="26" spans="3:13" ht="12.5" x14ac:dyDescent="0.2">
      <c r="C26" s="27"/>
      <c r="D26" s="42" t="s">
        <v>44</v>
      </c>
      <c r="F26" s="29" t="s">
        <v>39</v>
      </c>
      <c r="M26" s="28"/>
    </row>
    <row r="27" spans="3:13" ht="12.5" x14ac:dyDescent="0.2">
      <c r="C27" s="27"/>
      <c r="D27" s="58">
        <v>0</v>
      </c>
      <c r="F27" s="29" t="s">
        <v>40</v>
      </c>
      <c r="M27" s="28"/>
    </row>
    <row r="28" spans="3:13" ht="12.5" x14ac:dyDescent="0.2">
      <c r="C28" s="27"/>
      <c r="D28" s="58">
        <v>1</v>
      </c>
      <c r="F28" s="29" t="s">
        <v>41</v>
      </c>
      <c r="M28" s="28"/>
    </row>
    <row r="29" spans="3:13" ht="12.5" x14ac:dyDescent="0.2">
      <c r="C29" s="27"/>
      <c r="D29" s="45"/>
      <c r="F29" s="29" t="s">
        <v>42</v>
      </c>
      <c r="M29" s="28"/>
    </row>
    <row r="30" spans="3:13" x14ac:dyDescent="0.2">
      <c r="C30" s="34"/>
      <c r="D30" s="35"/>
      <c r="E30" s="35"/>
      <c r="F30" s="35"/>
      <c r="G30" s="35"/>
      <c r="H30" s="35"/>
      <c r="I30" s="35"/>
      <c r="J30" s="35"/>
      <c r="K30" s="35"/>
      <c r="L30" s="35"/>
      <c r="M30" s="36"/>
    </row>
    <row r="32" spans="3:13" ht="13" x14ac:dyDescent="0.2">
      <c r="C32" s="9" t="s">
        <v>95</v>
      </c>
      <c r="D32" s="40"/>
    </row>
    <row r="33" spans="3:24" ht="12.5" x14ac:dyDescent="0.2">
      <c r="C33" s="109" t="s">
        <v>186</v>
      </c>
      <c r="D33" s="109"/>
      <c r="E33" s="109"/>
      <c r="F33" s="109"/>
      <c r="G33" s="109"/>
      <c r="H33" s="109"/>
      <c r="I33" s="109"/>
      <c r="J33" s="109"/>
      <c r="K33" s="109"/>
      <c r="L33" s="109"/>
      <c r="M33" s="109"/>
      <c r="N33" s="109"/>
      <c r="O33" s="109"/>
      <c r="P33" s="109"/>
      <c r="Q33" s="109"/>
      <c r="R33" s="109"/>
      <c r="S33" s="109"/>
      <c r="T33" s="109"/>
      <c r="U33" s="109"/>
      <c r="V33" s="109"/>
      <c r="W33" s="109"/>
      <c r="X33" s="109"/>
    </row>
    <row r="34" spans="3:24" ht="81" customHeight="1" x14ac:dyDescent="0.2">
      <c r="C34" s="108" t="s">
        <v>174</v>
      </c>
      <c r="D34" s="108"/>
      <c r="E34" s="108"/>
      <c r="F34" s="108"/>
      <c r="G34" s="108"/>
      <c r="H34" s="108"/>
      <c r="I34" s="108"/>
      <c r="J34" s="108"/>
      <c r="K34" s="108"/>
      <c r="L34" s="108"/>
      <c r="M34" s="108"/>
      <c r="N34" s="108"/>
      <c r="O34" s="108"/>
      <c r="P34" s="108"/>
      <c r="Q34" s="108"/>
      <c r="R34" s="108"/>
      <c r="S34" s="108"/>
      <c r="T34" s="108"/>
      <c r="U34" s="108"/>
      <c r="V34" s="108"/>
      <c r="W34" s="108"/>
      <c r="X34" s="108"/>
    </row>
  </sheetData>
  <mergeCells count="2">
    <mergeCell ref="C34:X34"/>
    <mergeCell ref="C33:X33"/>
  </mergeCells>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
  <sheetViews>
    <sheetView showGridLines="0" zoomScaleNormal="100" workbookViewId="0">
      <pane xSplit="1" ySplit="4" topLeftCell="B5" activePane="bottomRight" state="frozen"/>
      <selection activeCell="C24" sqref="C24"/>
      <selection pane="topRight" activeCell="C24" sqref="C24"/>
      <selection pane="bottomLeft" activeCell="C24" sqref="C24"/>
      <selection pane="bottomRight" activeCell="B5" sqref="B5"/>
    </sheetView>
  </sheetViews>
  <sheetFormatPr defaultColWidth="0" defaultRowHeight="10" x14ac:dyDescent="0.2"/>
  <cols>
    <col min="1" max="3" width="2.77734375" customWidth="1"/>
    <col min="4" max="4" width="43.77734375" customWidth="1"/>
    <col min="5" max="9" width="10.77734375" customWidth="1"/>
    <col min="10" max="15" width="10.77734375" hidden="1" customWidth="1"/>
    <col min="16" max="16384" width="9.33203125" hidden="1"/>
  </cols>
  <sheetData>
    <row r="1" spans="2:5" ht="19" x14ac:dyDescent="0.2">
      <c r="B1" s="3" t="s">
        <v>48</v>
      </c>
    </row>
    <row r="2" spans="2:5" x14ac:dyDescent="0.2">
      <c r="B2" s="13" t="str">
        <f>Title_Msg</f>
        <v>No Errors Found</v>
      </c>
    </row>
    <row r="3" spans="2:5" ht="12.5" x14ac:dyDescent="0.2">
      <c r="B3" s="46" t="s">
        <v>50</v>
      </c>
      <c r="C3" s="46"/>
      <c r="D3" s="46"/>
      <c r="E3" s="11"/>
    </row>
    <row r="4" spans="2:5" ht="13" x14ac:dyDescent="0.2">
      <c r="B4" s="39" t="str">
        <f>Model_Name</f>
        <v>Rate of Return Model - Transgrid (TGD) - Waratah Super Battery</v>
      </c>
    </row>
    <row r="6" spans="2:5" s="2" customFormat="1" ht="15.5" x14ac:dyDescent="0.2">
      <c r="B6" s="2" t="str">
        <f>B1</f>
        <v>Table of Contents</v>
      </c>
    </row>
    <row r="7" spans="2:5" ht="4.5" customHeight="1" x14ac:dyDescent="0.2"/>
    <row r="8" spans="2:5" s="8" customFormat="1" ht="14" x14ac:dyDescent="0.2">
      <c r="C8" s="8" t="s">
        <v>150</v>
      </c>
    </row>
    <row r="10" spans="2:5" x14ac:dyDescent="0.2">
      <c r="D10" s="41" t="str">
        <f>Input_CPI!B1</f>
        <v>CPI inputs</v>
      </c>
    </row>
    <row r="11" spans="2:5" ht="11.25" customHeight="1" x14ac:dyDescent="0.2">
      <c r="D11" s="46" t="str">
        <f>Input_Data!B1</f>
        <v>Rate of return inputs</v>
      </c>
    </row>
    <row r="12" spans="2:5" ht="11.25" customHeight="1" x14ac:dyDescent="0.2">
      <c r="D12" s="46" t="str">
        <f>Calc_Returns!B1</f>
        <v>Rate of return calculations</v>
      </c>
    </row>
    <row r="13" spans="2:5" x14ac:dyDescent="0.2">
      <c r="D13" s="46" t="str">
        <f>Output_PTRM!$B$1</f>
        <v>Inputs to PTRM</v>
      </c>
    </row>
    <row r="15" spans="2:5" s="8" customFormat="1" ht="14" x14ac:dyDescent="0.2">
      <c r="C15" s="8" t="s">
        <v>49</v>
      </c>
    </row>
    <row r="17" spans="2:4" x14ac:dyDescent="0.2">
      <c r="D17" s="46" t="str">
        <f>Lookup!B1</f>
        <v>Model Lookups</v>
      </c>
    </row>
    <row r="18" spans="2:4" x14ac:dyDescent="0.2">
      <c r="D18" s="46" t="str">
        <f>Checks!B1</f>
        <v>Checks</v>
      </c>
    </row>
    <row r="20" spans="2:4" s="2" customFormat="1" ht="15.5" x14ac:dyDescent="0.2">
      <c r="B20" s="2" t="s">
        <v>32</v>
      </c>
    </row>
  </sheetData>
  <conditionalFormatting sqref="B2">
    <cfRule type="cellIs" dxfId="7" priority="1" operator="notEqual">
      <formula>"No Errors Found"</formula>
    </cfRule>
  </conditionalFormatting>
  <hyperlinks>
    <hyperlink ref="D17" location="Lookup!A1" display="Lookup!A1" xr:uid="{00000000-0004-0000-0100-000000000000}"/>
    <hyperlink ref="D18" location="Checks!A1" display="Checks!A1" xr:uid="{00000000-0004-0000-0100-000001000000}"/>
    <hyperlink ref="B3:D3" location="Cover!A1" display="Go to Cover Sheet" xr:uid="{00000000-0004-0000-0100-000002000000}"/>
    <hyperlink ref="D11" location="Input_Data!A1" display="Input_Data!A1" xr:uid="{00000000-0004-0000-0100-000003000000}"/>
    <hyperlink ref="D13" location="Output_PTRM!A1" display="Output_PTRM!A1" xr:uid="{00000000-0004-0000-0100-000004000000}"/>
    <hyperlink ref="C8" location="SC_General!A1" display="SC_General!A1" xr:uid="{00000000-0004-0000-0100-000007000000}"/>
    <hyperlink ref="D12" location="Calc_Returns!A1" display="Calc_Returns!A1" xr:uid="{00000000-0004-0000-0100-000008000000}"/>
    <hyperlink ref="D10" location="Input_CPI!A1" display="Input_CPI!A1" xr:uid="{B4F7BD1D-EB0F-4736-9304-1FB18704DFD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3F32-25AF-4A08-A513-906BAD80A85F}">
  <sheetPr>
    <tabColor theme="4" tint="0.59999389629810485"/>
  </sheetPr>
  <dimension ref="A1:M38"/>
  <sheetViews>
    <sheetView showGridLines="0" zoomScaleNormal="100" workbookViewId="0">
      <pane xSplit="1" ySplit="10" topLeftCell="B11" activePane="bottomRight" state="frozen"/>
      <selection activeCell="C24" sqref="C24"/>
      <selection pane="topRight" activeCell="C24" sqref="C24"/>
      <selection pane="bottomLeft" activeCell="C24" sqref="C24"/>
      <selection pane="bottomRight" activeCell="P20" sqref="P20"/>
    </sheetView>
  </sheetViews>
  <sheetFormatPr defaultColWidth="9.33203125" defaultRowHeight="10" outlineLevelRow="1" x14ac:dyDescent="0.2"/>
  <cols>
    <col min="1" max="1" width="3.33203125" customWidth="1"/>
    <col min="2" max="2" width="2.77734375" customWidth="1"/>
    <col min="3" max="3" width="5" customWidth="1"/>
    <col min="4" max="4" width="37.44140625" customWidth="1"/>
    <col min="5" max="8" width="14.6640625" customWidth="1"/>
    <col min="9" max="16" width="12.77734375" customWidth="1"/>
  </cols>
  <sheetData>
    <row r="1" spans="1:13" ht="19" x14ac:dyDescent="0.2">
      <c r="A1" s="58">
        <f>IF(SUM($A11:$A38)&gt;0,1,0)</f>
        <v>0</v>
      </c>
      <c r="B1" s="3" t="s">
        <v>167</v>
      </c>
    </row>
    <row r="2" spans="1:13" x14ac:dyDescent="0.2">
      <c r="B2" s="13" t="str">
        <f>Title_Msg</f>
        <v>No Errors Found</v>
      </c>
    </row>
    <row r="3" spans="1:13" x14ac:dyDescent="0.2">
      <c r="B3" s="46" t="str">
        <f>TOC!B1</f>
        <v>Table of Contents</v>
      </c>
      <c r="C3" s="41"/>
      <c r="D3" s="41"/>
      <c r="E3" s="41"/>
    </row>
    <row r="4" spans="1:13" ht="13" x14ac:dyDescent="0.2">
      <c r="B4" s="39" t="str">
        <f>Model_Name</f>
        <v>Rate of Return Model - Transgrid (TGD) - Waratah Super Battery</v>
      </c>
    </row>
    <row r="5" spans="1:13" ht="12.5" hidden="1" outlineLevel="1" x14ac:dyDescent="0.2">
      <c r="B5" s="10" t="str">
        <f>Lookup!B14</f>
        <v>Period Start Date</v>
      </c>
      <c r="I5" s="51">
        <f>Lookup!I14</f>
        <v>44378</v>
      </c>
      <c r="J5" s="51">
        <f>Lookup!J14</f>
        <v>44743</v>
      </c>
      <c r="K5" s="51">
        <f>Lookup!K14</f>
        <v>45108</v>
      </c>
      <c r="L5" s="51">
        <f>Lookup!L14</f>
        <v>45474</v>
      </c>
      <c r="M5" s="51">
        <f>Lookup!M14</f>
        <v>45839</v>
      </c>
    </row>
    <row r="6" spans="1:13" ht="12.5" hidden="1" outlineLevel="1" x14ac:dyDescent="0.2">
      <c r="B6" s="10" t="str">
        <f>Lookup!B15</f>
        <v>Period End Date</v>
      </c>
      <c r="I6" s="51">
        <f>Lookup!I15</f>
        <v>44742</v>
      </c>
      <c r="J6" s="51">
        <f>Lookup!J15</f>
        <v>45107</v>
      </c>
      <c r="K6" s="51">
        <f>Lookup!K15</f>
        <v>45473</v>
      </c>
      <c r="L6" s="51">
        <f>Lookup!L15</f>
        <v>45838</v>
      </c>
      <c r="M6" s="51">
        <f>Lookup!M15</f>
        <v>46203</v>
      </c>
    </row>
    <row r="7" spans="1:13" ht="12.5" hidden="1" outlineLevel="1" x14ac:dyDescent="0.2">
      <c r="B7" s="10" t="str">
        <f>Lookup!B16</f>
        <v>Period Counter</v>
      </c>
      <c r="I7" s="52">
        <f>Lookup!I16</f>
        <v>1</v>
      </c>
      <c r="J7" s="52">
        <f>Lookup!J16</f>
        <v>2</v>
      </c>
      <c r="K7" s="52">
        <f>Lookup!K16</f>
        <v>3</v>
      </c>
      <c r="L7" s="52">
        <f>Lookup!L16</f>
        <v>4</v>
      </c>
      <c r="M7" s="52">
        <f>Lookup!M16</f>
        <v>5</v>
      </c>
    </row>
    <row r="8" spans="1:13" ht="12.5" hidden="1" outlineLevel="1" x14ac:dyDescent="0.2">
      <c r="B8" s="10" t="str">
        <f>Lookup!B17</f>
        <v>Year</v>
      </c>
      <c r="I8" s="53">
        <f>Lookup!I17</f>
        <v>2022</v>
      </c>
      <c r="J8" s="53">
        <f>Lookup!J17</f>
        <v>2023</v>
      </c>
      <c r="K8" s="53">
        <f>Lookup!K17</f>
        <v>2024</v>
      </c>
      <c r="L8" s="53">
        <f>Lookup!L17</f>
        <v>2025</v>
      </c>
      <c r="M8" s="53">
        <f>Lookup!M17</f>
        <v>2026</v>
      </c>
    </row>
    <row r="9" spans="1:13" ht="12.5" hidden="1" outlineLevel="1" x14ac:dyDescent="0.2">
      <c r="B9" s="10" t="str">
        <f>Lookup!B18</f>
        <v>Period Type</v>
      </c>
      <c r="I9" s="53" t="str">
        <f>Lookup!I18</f>
        <v>Actual</v>
      </c>
      <c r="J9" s="53" t="str">
        <f>Lookup!J18</f>
        <v>Estimate</v>
      </c>
      <c r="K9" s="53" t="str">
        <f>Lookup!K18</f>
        <v>Estimate</v>
      </c>
      <c r="L9" s="53" t="str">
        <f>Lookup!L18</f>
        <v>Forecast</v>
      </c>
      <c r="M9" s="53" t="str">
        <f>Lookup!M18</f>
        <v>Forecast</v>
      </c>
    </row>
    <row r="10" spans="1:13" ht="13" collapsed="1" x14ac:dyDescent="0.2">
      <c r="B10" s="5" t="str">
        <f>Lookup!B19</f>
        <v>Regulatory Year</v>
      </c>
      <c r="E10" s="50" t="str">
        <f>Lookup!E19</f>
        <v>Source</v>
      </c>
      <c r="F10" s="50" t="str">
        <f>Lookup!F19</f>
        <v>Unit</v>
      </c>
      <c r="G10" s="50" t="str">
        <f>Lookup!G19</f>
        <v>Basis</v>
      </c>
      <c r="H10" s="50" t="str">
        <f>Lookup!H19</f>
        <v>Timing</v>
      </c>
      <c r="I10" s="50" t="str">
        <f>Lookup!I19</f>
        <v>FY22</v>
      </c>
      <c r="J10" s="50" t="str">
        <f>Lookup!J19</f>
        <v>FY23</v>
      </c>
      <c r="K10" s="50" t="str">
        <f>Lookup!K19</f>
        <v>FY24</v>
      </c>
      <c r="L10" s="50" t="str">
        <f>Lookup!L19</f>
        <v>FY25</v>
      </c>
      <c r="M10" s="50" t="str">
        <f>Lookup!M19</f>
        <v>FY26</v>
      </c>
    </row>
    <row r="12" spans="1:13" s="2" customFormat="1" ht="15.5" x14ac:dyDescent="0.2">
      <c r="B12" s="2" t="s">
        <v>168</v>
      </c>
    </row>
    <row r="13" spans="1:13" ht="4.5" customHeight="1" x14ac:dyDescent="0.2"/>
    <row r="14" spans="1:13" s="8" customFormat="1" ht="14" x14ac:dyDescent="0.2">
      <c r="C14" s="8" t="s">
        <v>169</v>
      </c>
    </row>
    <row r="16" spans="1:13" ht="12.65" customHeight="1" x14ac:dyDescent="0.2">
      <c r="D16" s="61" t="s">
        <v>101</v>
      </c>
      <c r="E16" s="60" t="str">
        <f>Lookup!E$19</f>
        <v>Source</v>
      </c>
      <c r="F16" s="60" t="str">
        <f>Lookup!F$19</f>
        <v>Unit</v>
      </c>
      <c r="G16" s="60" t="str">
        <f>Lookup!G$19</f>
        <v>Basis</v>
      </c>
      <c r="H16" s="60" t="str">
        <f>Lookup!H$19</f>
        <v>Timing</v>
      </c>
      <c r="I16" s="60" t="str">
        <f>I$10</f>
        <v>FY22</v>
      </c>
      <c r="J16" s="60" t="str">
        <f>J$10</f>
        <v>FY23</v>
      </c>
      <c r="K16" s="67" t="str">
        <f>K$10</f>
        <v>FY24</v>
      </c>
      <c r="L16" s="67" t="str">
        <f>L$10</f>
        <v>FY25</v>
      </c>
    </row>
    <row r="17" spans="3:13" ht="12.65" customHeight="1" x14ac:dyDescent="0.2">
      <c r="J17" s="107" t="s">
        <v>201</v>
      </c>
      <c r="K17" s="66"/>
    </row>
    <row r="18" spans="3:13" ht="12.65" customHeight="1" x14ac:dyDescent="0.2">
      <c r="D18" s="7" t="s">
        <v>59</v>
      </c>
      <c r="E18" s="63" t="s">
        <v>143</v>
      </c>
      <c r="F18" s="53" t="str">
        <f t="shared" ref="F18:F21" si="0">Percent</f>
        <v>Percent</v>
      </c>
      <c r="G18" s="53" t="str">
        <f t="shared" ref="G18:H21" si="1">NA</f>
        <v>N/A</v>
      </c>
      <c r="H18" s="53" t="str">
        <f t="shared" si="1"/>
        <v>N/A</v>
      </c>
      <c r="I18" s="68">
        <v>6.1447811447811418E-2</v>
      </c>
      <c r="J18" s="85">
        <v>6.3E-2</v>
      </c>
      <c r="K18" s="68"/>
      <c r="L18" s="68"/>
    </row>
    <row r="19" spans="3:13" ht="12.65" customHeight="1" x14ac:dyDescent="0.2">
      <c r="D19" s="7" t="s">
        <v>60</v>
      </c>
      <c r="E19" s="63" t="s">
        <v>97</v>
      </c>
      <c r="F19" s="53" t="str">
        <f t="shared" si="0"/>
        <v>Percent</v>
      </c>
      <c r="G19" s="53" t="str">
        <f t="shared" si="1"/>
        <v>N/A</v>
      </c>
      <c r="H19" s="53" t="str">
        <f t="shared" si="1"/>
        <v>N/A</v>
      </c>
      <c r="I19" s="94"/>
      <c r="J19" s="94"/>
      <c r="K19" s="85">
        <v>3.5999999999999997E-2</v>
      </c>
      <c r="L19" s="85">
        <v>0.03</v>
      </c>
    </row>
    <row r="20" spans="3:13" ht="12.65" customHeight="1" x14ac:dyDescent="0.2"/>
    <row r="21" spans="3:13" ht="12.65" customHeight="1" x14ac:dyDescent="0.2">
      <c r="D21" s="95" t="str">
        <f>"Applied - "&amp;C14</f>
        <v>Applied - Unlagged - June to June</v>
      </c>
      <c r="E21" s="96" t="s">
        <v>88</v>
      </c>
      <c r="F21" s="97" t="str">
        <f t="shared" si="0"/>
        <v>Percent</v>
      </c>
      <c r="G21" s="97" t="str">
        <f t="shared" si="1"/>
        <v>N/A</v>
      </c>
      <c r="H21" s="97" t="str">
        <f t="shared" si="1"/>
        <v>N/A</v>
      </c>
      <c r="I21" s="98">
        <f>IF(ISBLANK(I18),I19,I18)</f>
        <v>6.1447811447811418E-2</v>
      </c>
      <c r="J21" s="98">
        <f>IF(ISBLANK(J18),J19,J18)</f>
        <v>6.3E-2</v>
      </c>
      <c r="K21" s="98">
        <f>IF(ISBLANK(K18),K19,K18)</f>
        <v>3.5999999999999997E-2</v>
      </c>
      <c r="L21" s="98">
        <f>IF(ISBLANK(L18),L19,L18)</f>
        <v>0.03</v>
      </c>
    </row>
    <row r="22" spans="3:13" ht="12.65" customHeight="1" x14ac:dyDescent="0.2">
      <c r="D22" s="7"/>
      <c r="E22" s="63"/>
      <c r="F22" s="53"/>
      <c r="G22" s="53"/>
      <c r="H22" s="53"/>
    </row>
    <row r="23" spans="3:13" ht="12.65" customHeight="1" x14ac:dyDescent="0.2">
      <c r="C23" s="64" t="s">
        <v>148</v>
      </c>
    </row>
    <row r="24" spans="3:13" ht="12.65" customHeight="1" x14ac:dyDescent="0.2">
      <c r="C24" s="64" t="s">
        <v>200</v>
      </c>
    </row>
    <row r="26" spans="3:13" s="8" customFormat="1" ht="14" x14ac:dyDescent="0.2">
      <c r="C26" s="8" t="s">
        <v>170</v>
      </c>
    </row>
    <row r="28" spans="3:13" ht="12.4" customHeight="1" x14ac:dyDescent="0.2">
      <c r="D28" s="61" t="s">
        <v>101</v>
      </c>
      <c r="E28" s="60" t="str">
        <f>Lookup!E$19</f>
        <v>Source</v>
      </c>
      <c r="F28" s="60" t="str">
        <f>Lookup!F$19</f>
        <v>Unit</v>
      </c>
      <c r="G28" s="60" t="str">
        <f>Lookup!G$19</f>
        <v>Basis</v>
      </c>
      <c r="H28" s="60" t="str">
        <f>Lookup!H$19</f>
        <v>Timing</v>
      </c>
      <c r="I28" s="60" t="str">
        <f>I$10</f>
        <v>FY22</v>
      </c>
      <c r="J28" s="60" t="str">
        <f>J$10</f>
        <v>FY23</v>
      </c>
      <c r="K28" s="67" t="str">
        <f>K$10</f>
        <v>FY24</v>
      </c>
      <c r="L28" s="101" t="str">
        <f>L$10</f>
        <v>FY25</v>
      </c>
      <c r="M28" s="67" t="str">
        <f>M$10</f>
        <v>FY26</v>
      </c>
    </row>
    <row r="29" spans="3:13" ht="12.4" customHeight="1" x14ac:dyDescent="0.2">
      <c r="K29" s="66"/>
      <c r="L29" s="102"/>
      <c r="M29" s="103"/>
    </row>
    <row r="30" spans="3:13" ht="12.4" customHeight="1" x14ac:dyDescent="0.2">
      <c r="D30" s="7" t="s">
        <v>59</v>
      </c>
      <c r="E30" s="63" t="s">
        <v>143</v>
      </c>
      <c r="F30" s="53" t="str">
        <f t="shared" ref="F30:F33" si="2">Percent</f>
        <v>Percent</v>
      </c>
      <c r="G30" s="53" t="str">
        <f t="shared" ref="G30:H33" si="3">NA</f>
        <v>N/A</v>
      </c>
      <c r="H30" s="53" t="str">
        <f t="shared" si="3"/>
        <v>N/A</v>
      </c>
      <c r="I30" s="68">
        <v>3.4982935153583528E-2</v>
      </c>
      <c r="J30" s="68">
        <v>7.8318219291014124E-2</v>
      </c>
      <c r="K30" s="68"/>
      <c r="L30" s="68"/>
      <c r="M30" s="68"/>
    </row>
    <row r="31" spans="3:13" ht="12.4" customHeight="1" x14ac:dyDescent="0.2">
      <c r="D31" s="7" t="s">
        <v>60</v>
      </c>
      <c r="E31" s="63" t="s">
        <v>97</v>
      </c>
      <c r="F31" s="53" t="str">
        <f t="shared" si="2"/>
        <v>Percent</v>
      </c>
      <c r="G31" s="53" t="str">
        <f t="shared" si="3"/>
        <v>N/A</v>
      </c>
      <c r="H31" s="53" t="str">
        <f t="shared" si="3"/>
        <v>N/A</v>
      </c>
      <c r="I31" s="94"/>
      <c r="J31" s="94"/>
      <c r="K31" s="85">
        <v>4.4999999999999998E-2</v>
      </c>
      <c r="L31" s="85">
        <v>3.2000000000000001E-2</v>
      </c>
      <c r="M31" s="85">
        <f>L19</f>
        <v>0.03</v>
      </c>
    </row>
    <row r="32" spans="3:13" ht="12.4" customHeight="1" x14ac:dyDescent="0.2">
      <c r="J32" s="99" t="s">
        <v>172</v>
      </c>
      <c r="K32" s="99" t="s">
        <v>175</v>
      </c>
      <c r="L32" s="99" t="s">
        <v>178</v>
      </c>
      <c r="M32" s="99" t="s">
        <v>179</v>
      </c>
    </row>
    <row r="33" spans="2:13" ht="12.4" customHeight="1" x14ac:dyDescent="0.2">
      <c r="D33" s="95" t="str">
        <f>"Applied - "&amp;C26</f>
        <v>Applied - Lagged - Dec to Dec</v>
      </c>
      <c r="E33" s="96" t="s">
        <v>88</v>
      </c>
      <c r="F33" s="97" t="str">
        <f t="shared" si="2"/>
        <v>Percent</v>
      </c>
      <c r="G33" s="97" t="str">
        <f t="shared" si="3"/>
        <v>N/A</v>
      </c>
      <c r="H33" s="97" t="str">
        <f t="shared" si="3"/>
        <v>N/A</v>
      </c>
      <c r="I33" s="98">
        <f>IF(ISBLANK(I30),I31,I30)</f>
        <v>3.4982935153583528E-2</v>
      </c>
      <c r="J33" s="98">
        <f>IF(ISBLANK(J30),J31,J30)</f>
        <v>7.8318219291014124E-2</v>
      </c>
      <c r="K33" s="98">
        <f>IF(ISBLANK(K30),K31,K30)</f>
        <v>4.4999999999999998E-2</v>
      </c>
      <c r="L33" s="98">
        <f t="shared" ref="L33:M33" si="4">IF(ISBLANK(L30),L31,L30)</f>
        <v>3.2000000000000001E-2</v>
      </c>
      <c r="M33" s="98">
        <f t="shared" si="4"/>
        <v>0.03</v>
      </c>
    </row>
    <row r="34" spans="2:13" ht="12.4" customHeight="1" x14ac:dyDescent="0.2">
      <c r="D34" s="7"/>
      <c r="E34" s="63"/>
      <c r="F34" s="53"/>
      <c r="G34" s="53"/>
      <c r="H34" s="53"/>
    </row>
    <row r="35" spans="2:13" ht="12.4" customHeight="1" x14ac:dyDescent="0.2">
      <c r="C35" s="64" t="s">
        <v>187</v>
      </c>
    </row>
    <row r="36" spans="2:13" ht="12.4" customHeight="1" x14ac:dyDescent="0.2">
      <c r="C36" s="64" t="s">
        <v>200</v>
      </c>
    </row>
    <row r="37" spans="2:13" ht="11.25" customHeight="1" x14ac:dyDescent="0.2"/>
    <row r="38" spans="2:13" s="2" customFormat="1" ht="15.5" x14ac:dyDescent="0.2">
      <c r="B38" s="2" t="s">
        <v>32</v>
      </c>
    </row>
  </sheetData>
  <conditionalFormatting sqref="B2">
    <cfRule type="cellIs" dxfId="6" priority="1" operator="notEqual">
      <formula>"No Errors Found"</formula>
    </cfRule>
  </conditionalFormatting>
  <hyperlinks>
    <hyperlink ref="B3:E3" location="TOC!A1" display="TOC!A1" xr:uid="{BC323F3C-9FA8-491D-A80D-4291FA4AB1B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Q135"/>
  <sheetViews>
    <sheetView showGridLines="0" zoomScaleNormal="100" workbookViewId="0">
      <pane xSplit="1" ySplit="10" topLeftCell="B11" activePane="bottomRight" state="frozen"/>
      <selection activeCell="C24" sqref="C24"/>
      <selection pane="topRight" activeCell="C24" sqref="C24"/>
      <selection pane="bottomLeft" activeCell="C24" sqref="C24"/>
      <selection pane="bottomRight" activeCell="K19" sqref="K19"/>
    </sheetView>
  </sheetViews>
  <sheetFormatPr defaultColWidth="9.33203125" defaultRowHeight="10" outlineLevelRow="1" x14ac:dyDescent="0.2"/>
  <cols>
    <col min="1" max="1" width="3.33203125" customWidth="1"/>
    <col min="2" max="2" width="2.77734375" customWidth="1"/>
    <col min="3" max="3" width="5" customWidth="1"/>
    <col min="4" max="4" width="37.109375" customWidth="1"/>
    <col min="5" max="8" width="12.6640625" customWidth="1"/>
    <col min="9" max="9" width="5.44140625" customWidth="1"/>
    <col min="10" max="24" width="12.77734375" customWidth="1"/>
    <col min="25" max="28" width="12.44140625" bestFit="1" customWidth="1"/>
  </cols>
  <sheetData>
    <row r="1" spans="1:17" ht="19" x14ac:dyDescent="0.2">
      <c r="A1" s="58">
        <f>IF(SUM($A11:$A135)&gt;0,1,0)</f>
        <v>0</v>
      </c>
      <c r="B1" s="3" t="s">
        <v>145</v>
      </c>
    </row>
    <row r="2" spans="1:17" x14ac:dyDescent="0.2">
      <c r="B2" s="13" t="str">
        <f>Title_Msg</f>
        <v>No Errors Found</v>
      </c>
    </row>
    <row r="3" spans="1:17" x14ac:dyDescent="0.2">
      <c r="B3" s="46" t="str">
        <f>TOC!B1</f>
        <v>Table of Contents</v>
      </c>
      <c r="C3" s="41"/>
      <c r="D3" s="41"/>
      <c r="E3" s="41"/>
    </row>
    <row r="4" spans="1:17" ht="13" x14ac:dyDescent="0.2">
      <c r="B4" s="39" t="str">
        <f>Model_Name</f>
        <v>Rate of Return Model - Transgrid (TGD) - Waratah Super Battery</v>
      </c>
    </row>
    <row r="5" spans="1:17" ht="12.5" hidden="1" outlineLevel="1" x14ac:dyDescent="0.2">
      <c r="B5" s="10" t="str">
        <f>Lookup!B14</f>
        <v>Period Start Date</v>
      </c>
      <c r="J5" s="51">
        <f>Lookup!I14</f>
        <v>44378</v>
      </c>
      <c r="K5" s="51">
        <f>Lookup!J14</f>
        <v>44743</v>
      </c>
      <c r="L5" s="51">
        <f>Lookup!K14</f>
        <v>45108</v>
      </c>
      <c r="M5" s="51">
        <f>Lookup!L14</f>
        <v>45474</v>
      </c>
      <c r="N5" s="51">
        <f>Lookup!M14</f>
        <v>45839</v>
      </c>
      <c r="O5" s="51">
        <f>Lookup!N14</f>
        <v>46204</v>
      </c>
      <c r="P5" s="51">
        <f>Lookup!O14</f>
        <v>46569</v>
      </c>
      <c r="Q5" s="51">
        <f>Lookup!P14</f>
        <v>46935</v>
      </c>
    </row>
    <row r="6" spans="1:17" ht="12.5" hidden="1" outlineLevel="1" x14ac:dyDescent="0.2">
      <c r="B6" s="10" t="str">
        <f>Lookup!B15</f>
        <v>Period End Date</v>
      </c>
      <c r="J6" s="51">
        <f>Lookup!I15</f>
        <v>44742</v>
      </c>
      <c r="K6" s="51">
        <f>Lookup!J15</f>
        <v>45107</v>
      </c>
      <c r="L6" s="51">
        <f>Lookup!K15</f>
        <v>45473</v>
      </c>
      <c r="M6" s="51">
        <f>Lookup!L15</f>
        <v>45838</v>
      </c>
      <c r="N6" s="51">
        <f>Lookup!M15</f>
        <v>46203</v>
      </c>
      <c r="O6" s="51">
        <f>Lookup!N15</f>
        <v>46568</v>
      </c>
      <c r="P6" s="51">
        <f>Lookup!O15</f>
        <v>46934</v>
      </c>
      <c r="Q6" s="51">
        <f>Lookup!P15</f>
        <v>47299</v>
      </c>
    </row>
    <row r="7" spans="1:17" ht="12.5" hidden="1" outlineLevel="1" x14ac:dyDescent="0.2">
      <c r="B7" s="10" t="str">
        <f>Lookup!B16</f>
        <v>Period Counter</v>
      </c>
      <c r="J7" s="52">
        <f>Lookup!I16</f>
        <v>1</v>
      </c>
      <c r="K7" s="52">
        <f>Lookup!J16</f>
        <v>2</v>
      </c>
      <c r="L7" s="52">
        <f>Lookup!K16</f>
        <v>3</v>
      </c>
      <c r="M7" s="52">
        <f>Lookup!L16</f>
        <v>4</v>
      </c>
      <c r="N7" s="52">
        <f>Lookup!M16</f>
        <v>5</v>
      </c>
      <c r="O7" s="52">
        <f>Lookup!N16</f>
        <v>6</v>
      </c>
      <c r="P7" s="52">
        <f>Lookup!O16</f>
        <v>7</v>
      </c>
      <c r="Q7" s="52">
        <f>Lookup!P16</f>
        <v>8</v>
      </c>
    </row>
    <row r="8" spans="1:17" ht="12.5" hidden="1" outlineLevel="1" x14ac:dyDescent="0.2">
      <c r="B8" s="10" t="str">
        <f>Lookup!B17</f>
        <v>Year</v>
      </c>
      <c r="J8" s="53">
        <f>Lookup!I17</f>
        <v>2022</v>
      </c>
      <c r="K8" s="53">
        <f>Lookup!J17</f>
        <v>2023</v>
      </c>
      <c r="L8" s="53">
        <f>Lookup!K17</f>
        <v>2024</v>
      </c>
      <c r="M8" s="53">
        <f>Lookup!L17</f>
        <v>2025</v>
      </c>
      <c r="N8" s="53">
        <f>Lookup!M17</f>
        <v>2026</v>
      </c>
      <c r="O8" s="53">
        <f>Lookup!N17</f>
        <v>2027</v>
      </c>
      <c r="P8" s="53">
        <f>Lookup!O17</f>
        <v>2028</v>
      </c>
      <c r="Q8" s="53">
        <f>Lookup!P17</f>
        <v>2029</v>
      </c>
    </row>
    <row r="9" spans="1:17" ht="12.5" hidden="1" outlineLevel="1" x14ac:dyDescent="0.2">
      <c r="B9" s="10" t="str">
        <f>Lookup!B18</f>
        <v>Period Type</v>
      </c>
      <c r="J9" s="53" t="str">
        <f>Lookup!I18</f>
        <v>Actual</v>
      </c>
      <c r="K9" s="53" t="str">
        <f>Lookup!J18</f>
        <v>Estimate</v>
      </c>
      <c r="L9" s="53" t="str">
        <f>Lookup!K18</f>
        <v>Estimate</v>
      </c>
      <c r="M9" s="53" t="str">
        <f>Lookup!L18</f>
        <v>Forecast</v>
      </c>
      <c r="N9" s="53" t="str">
        <f>Lookup!M18</f>
        <v>Forecast</v>
      </c>
      <c r="O9" s="53" t="str">
        <f>Lookup!N18</f>
        <v>Forecast</v>
      </c>
      <c r="P9" s="53" t="str">
        <f>Lookup!O18</f>
        <v>Forecast</v>
      </c>
      <c r="Q9" s="53" t="str">
        <f>Lookup!P18</f>
        <v>Forecast</v>
      </c>
    </row>
    <row r="10" spans="1:17" ht="13" collapsed="1" x14ac:dyDescent="0.2">
      <c r="B10" s="5" t="str">
        <f>Lookup!B19</f>
        <v>Regulatory Year</v>
      </c>
      <c r="E10" s="50" t="str">
        <f>Lookup!E19</f>
        <v>Source</v>
      </c>
      <c r="F10" s="50" t="str">
        <f>Lookup!F19</f>
        <v>Unit</v>
      </c>
      <c r="G10" s="50" t="str">
        <f>Lookup!G19</f>
        <v>Basis</v>
      </c>
      <c r="H10" s="50" t="str">
        <f>Lookup!H19</f>
        <v>Timing</v>
      </c>
      <c r="I10" s="59"/>
      <c r="J10" s="50" t="str">
        <f>Lookup!I19</f>
        <v>FY22</v>
      </c>
      <c r="K10" s="50" t="str">
        <f>Lookup!J19</f>
        <v>FY23</v>
      </c>
      <c r="L10" s="50" t="str">
        <f>Lookup!K19</f>
        <v>FY24</v>
      </c>
      <c r="M10" s="50" t="str">
        <f>Lookup!L19</f>
        <v>FY25</v>
      </c>
      <c r="N10" s="50" t="str">
        <f>Lookup!M19</f>
        <v>FY26</v>
      </c>
      <c r="O10" s="50" t="str">
        <f>Lookup!N19</f>
        <v>FY27</v>
      </c>
      <c r="P10" s="50" t="str">
        <f>Lookup!O19</f>
        <v>FY28</v>
      </c>
      <c r="Q10" s="50" t="str">
        <f>Lookup!P19</f>
        <v>FY29</v>
      </c>
    </row>
    <row r="12" spans="1:17" s="2" customFormat="1" ht="15.5" x14ac:dyDescent="0.2">
      <c r="B12" s="2" t="s">
        <v>96</v>
      </c>
    </row>
    <row r="13" spans="1:17" ht="4.5" customHeight="1" x14ac:dyDescent="0.2"/>
    <row r="14" spans="1:17" s="8" customFormat="1" ht="14" x14ac:dyDescent="0.2">
      <c r="C14" s="8" t="s">
        <v>144</v>
      </c>
    </row>
    <row r="16" spans="1:17" ht="13" x14ac:dyDescent="0.2">
      <c r="D16" s="61" t="s">
        <v>101</v>
      </c>
      <c r="E16" s="60" t="str">
        <f>Lookup!E$19</f>
        <v>Source</v>
      </c>
      <c r="F16" s="60" t="str">
        <f>Lookup!F$19</f>
        <v>Unit</v>
      </c>
      <c r="G16" s="60" t="str">
        <f>Lookup!G$19</f>
        <v>Basis</v>
      </c>
      <c r="H16" s="60" t="str">
        <f>Lookup!H$19</f>
        <v>Timing</v>
      </c>
      <c r="I16" s="60"/>
      <c r="J16" s="60" t="str">
        <f t="shared" ref="J16:Q16" si="0">J$10</f>
        <v>FY22</v>
      </c>
      <c r="K16" s="60" t="str">
        <f t="shared" si="0"/>
        <v>FY23</v>
      </c>
      <c r="L16" s="67" t="str">
        <f t="shared" si="0"/>
        <v>FY24</v>
      </c>
      <c r="M16" s="60" t="str">
        <f t="shared" si="0"/>
        <v>FY25</v>
      </c>
      <c r="N16" s="60" t="str">
        <f t="shared" si="0"/>
        <v>FY26</v>
      </c>
      <c r="O16" s="60" t="str">
        <f t="shared" si="0"/>
        <v>FY27</v>
      </c>
      <c r="P16" s="60" t="str">
        <f t="shared" si="0"/>
        <v>FY28</v>
      </c>
      <c r="Q16" s="60" t="str">
        <f t="shared" si="0"/>
        <v>FY29</v>
      </c>
    </row>
    <row r="17" spans="2:17" x14ac:dyDescent="0.2">
      <c r="L17" s="66"/>
    </row>
    <row r="18" spans="2:17" ht="12.5" x14ac:dyDescent="0.2">
      <c r="D18" s="10" t="s">
        <v>142</v>
      </c>
      <c r="E18" s="63" t="s">
        <v>143</v>
      </c>
      <c r="F18" s="53" t="str">
        <f t="shared" ref="F18:F19" si="1">Percent</f>
        <v>Percent</v>
      </c>
      <c r="G18" s="53" t="str">
        <f t="shared" ref="G18:H19" si="2">NA</f>
        <v>N/A</v>
      </c>
      <c r="H18" s="53" t="str">
        <f t="shared" si="2"/>
        <v>N/A</v>
      </c>
      <c r="J18" s="68">
        <f>Input_CPI!I21</f>
        <v>6.1447811447811418E-2</v>
      </c>
      <c r="K18" s="85">
        <f>Input_CPI!J21</f>
        <v>6.3E-2</v>
      </c>
    </row>
    <row r="19" spans="2:17" ht="12.5" x14ac:dyDescent="0.2">
      <c r="D19" s="10" t="s">
        <v>126</v>
      </c>
      <c r="E19" s="63" t="s">
        <v>97</v>
      </c>
      <c r="F19" s="53" t="str">
        <f t="shared" si="1"/>
        <v>Percent</v>
      </c>
      <c r="G19" s="53" t="str">
        <f t="shared" si="2"/>
        <v>N/A</v>
      </c>
      <c r="H19" s="53" t="str">
        <f t="shared" si="2"/>
        <v>N/A</v>
      </c>
      <c r="K19" s="107" t="s">
        <v>177</v>
      </c>
      <c r="L19" s="85">
        <f>Input_CPI!K21</f>
        <v>3.5999999999999997E-2</v>
      </c>
      <c r="M19" s="85">
        <f>Input_CPI!L21</f>
        <v>0.03</v>
      </c>
      <c r="N19" s="85">
        <f>($Q19-$M19)/4*1+$M19</f>
        <v>2.8749999999999998E-2</v>
      </c>
      <c r="O19" s="68">
        <f>($Q19-$N19)/3*1+$N19</f>
        <v>2.75E-2</v>
      </c>
      <c r="P19" s="68">
        <f>($Q19-$N19)/3*2+$N19</f>
        <v>2.6249999999999999E-2</v>
      </c>
      <c r="Q19" s="68">
        <v>2.5000000000000001E-2</v>
      </c>
    </row>
    <row r="20" spans="2:17" ht="12.5" x14ac:dyDescent="0.2">
      <c r="L20" s="110" t="s">
        <v>176</v>
      </c>
      <c r="M20" s="110"/>
      <c r="N20" s="110"/>
      <c r="O20" s="110" t="s">
        <v>151</v>
      </c>
      <c r="P20" s="110"/>
      <c r="Q20" s="86" t="s">
        <v>152</v>
      </c>
    </row>
    <row r="22" spans="2:17" ht="13" x14ac:dyDescent="0.2">
      <c r="C22" s="64" t="s">
        <v>148</v>
      </c>
    </row>
    <row r="23" spans="2:17" ht="13" x14ac:dyDescent="0.2">
      <c r="C23" s="64" t="s">
        <v>199</v>
      </c>
    </row>
    <row r="26" spans="2:17" s="2" customFormat="1" ht="15.5" x14ac:dyDescent="0.2">
      <c r="B26" s="2" t="s">
        <v>125</v>
      </c>
    </row>
    <row r="27" spans="2:17" ht="4.5" customHeight="1" x14ac:dyDescent="0.2"/>
    <row r="28" spans="2:17" s="8" customFormat="1" ht="14" x14ac:dyDescent="0.2">
      <c r="C28" s="8" t="s">
        <v>165</v>
      </c>
    </row>
    <row r="29" spans="2:17" ht="4.5" customHeight="1" x14ac:dyDescent="0.2"/>
    <row r="30" spans="2:17" s="106" customFormat="1" ht="13" x14ac:dyDescent="0.2">
      <c r="D30" s="106" t="s">
        <v>191</v>
      </c>
    </row>
    <row r="32" spans="2:17" ht="26.65" customHeight="1" x14ac:dyDescent="0.2">
      <c r="D32" s="61" t="s">
        <v>102</v>
      </c>
      <c r="E32" s="60" t="s">
        <v>62</v>
      </c>
      <c r="F32" s="60" t="s">
        <v>63</v>
      </c>
      <c r="G32" s="60" t="s">
        <v>64</v>
      </c>
      <c r="H32" s="60" t="s">
        <v>65</v>
      </c>
      <c r="I32" s="71"/>
      <c r="J32" s="60" t="s">
        <v>103</v>
      </c>
      <c r="K32" s="72"/>
      <c r="L32" s="60" t="s">
        <v>104</v>
      </c>
      <c r="M32" s="71"/>
    </row>
    <row r="33" spans="4:13" ht="11.25" customHeight="1" x14ac:dyDescent="0.2">
      <c r="D33" s="73"/>
      <c r="E33" s="71"/>
      <c r="F33" s="71"/>
      <c r="G33" s="71"/>
      <c r="I33" s="71"/>
      <c r="J33" s="72"/>
      <c r="K33" s="72"/>
      <c r="L33" s="72"/>
      <c r="M33" s="71"/>
    </row>
    <row r="34" spans="4:13" ht="12.5" x14ac:dyDescent="0.2">
      <c r="D34" s="7" t="s">
        <v>105</v>
      </c>
      <c r="E34" s="63" t="s">
        <v>97</v>
      </c>
      <c r="F34" s="53" t="s">
        <v>1</v>
      </c>
      <c r="G34" s="53" t="str">
        <f t="shared" ref="G34:H35" si="3">NA</f>
        <v>N/A</v>
      </c>
      <c r="H34" s="53" t="str">
        <f t="shared" si="3"/>
        <v>N/A</v>
      </c>
      <c r="I34" s="71"/>
      <c r="J34" s="68" t="s">
        <v>190</v>
      </c>
      <c r="L34" s="68" t="s">
        <v>189</v>
      </c>
      <c r="M34" s="71"/>
    </row>
    <row r="35" spans="4:13" ht="12.5" x14ac:dyDescent="0.2">
      <c r="D35" s="7" t="s">
        <v>106</v>
      </c>
      <c r="E35" s="63" t="s">
        <v>97</v>
      </c>
      <c r="F35" s="53" t="s">
        <v>107</v>
      </c>
      <c r="G35" s="53" t="str">
        <f t="shared" si="3"/>
        <v>N/A</v>
      </c>
      <c r="H35" s="53" t="str">
        <f t="shared" si="3"/>
        <v>N/A</v>
      </c>
      <c r="I35" s="71"/>
      <c r="J35" s="75">
        <v>48173</v>
      </c>
      <c r="L35" s="75">
        <v>48355</v>
      </c>
      <c r="M35" s="71"/>
    </row>
    <row r="38" spans="4:13" ht="26.65" customHeight="1" x14ac:dyDescent="0.2">
      <c r="D38" s="61" t="s">
        <v>108</v>
      </c>
      <c r="E38" s="60"/>
      <c r="F38" s="60"/>
      <c r="G38" s="60"/>
      <c r="H38" s="60"/>
      <c r="I38" s="71"/>
      <c r="J38" s="60" t="s">
        <v>136</v>
      </c>
      <c r="K38" s="72"/>
      <c r="L38" s="60" t="s">
        <v>136</v>
      </c>
      <c r="M38" s="71"/>
    </row>
    <row r="40" spans="4:13" ht="12.5" x14ac:dyDescent="0.2">
      <c r="D40" s="93">
        <v>44602</v>
      </c>
      <c r="E40" s="63" t="s">
        <v>97</v>
      </c>
      <c r="F40" s="53" t="str">
        <f t="shared" ref="F40:F59" si="4">Percent</f>
        <v>Percent</v>
      </c>
      <c r="G40" s="53" t="str">
        <f t="shared" ref="G40:G59" si="5">Nominal</f>
        <v>Nominal</v>
      </c>
      <c r="H40" s="53" t="str">
        <f t="shared" ref="H40:H59" si="6">NA</f>
        <v>N/A</v>
      </c>
      <c r="I40" s="71"/>
      <c r="J40" s="68">
        <v>2.0899999999999998E-2</v>
      </c>
      <c r="K40" s="72"/>
      <c r="L40" s="68">
        <v>2.1049999999999999E-2</v>
      </c>
      <c r="M40" s="71"/>
    </row>
    <row r="41" spans="4:13" ht="12.5" x14ac:dyDescent="0.2">
      <c r="D41" s="93">
        <v>44603</v>
      </c>
      <c r="E41" s="63" t="s">
        <v>97</v>
      </c>
      <c r="F41" s="53" t="str">
        <f t="shared" si="4"/>
        <v>Percent</v>
      </c>
      <c r="G41" s="53" t="str">
        <f t="shared" si="5"/>
        <v>Nominal</v>
      </c>
      <c r="H41" s="53" t="str">
        <f t="shared" si="6"/>
        <v>N/A</v>
      </c>
      <c r="I41" s="71"/>
      <c r="J41" s="68">
        <v>2.1949999999999997E-2</v>
      </c>
      <c r="K41" s="72"/>
      <c r="L41" s="68">
        <v>2.2099999999999998E-2</v>
      </c>
      <c r="M41" s="71"/>
    </row>
    <row r="42" spans="4:13" ht="12.5" x14ac:dyDescent="0.2">
      <c r="D42" s="93">
        <v>44606</v>
      </c>
      <c r="E42" s="63" t="s">
        <v>97</v>
      </c>
      <c r="F42" s="53" t="str">
        <f t="shared" si="4"/>
        <v>Percent</v>
      </c>
      <c r="G42" s="53" t="str">
        <f t="shared" si="5"/>
        <v>Nominal</v>
      </c>
      <c r="H42" s="53" t="str">
        <f t="shared" si="6"/>
        <v>N/A</v>
      </c>
      <c r="I42" s="71"/>
      <c r="J42" s="68">
        <v>2.1250000000000002E-2</v>
      </c>
      <c r="K42" s="72"/>
      <c r="L42" s="68">
        <v>2.1349999999999997E-2</v>
      </c>
      <c r="M42" s="71"/>
    </row>
    <row r="43" spans="4:13" ht="12.5" x14ac:dyDescent="0.2">
      <c r="D43" s="93">
        <v>44607</v>
      </c>
      <c r="E43" s="63" t="str">
        <f>E40</f>
        <v>RBA</v>
      </c>
      <c r="F43" s="53" t="str">
        <f t="shared" si="4"/>
        <v>Percent</v>
      </c>
      <c r="G43" s="53" t="str">
        <f t="shared" si="5"/>
        <v>Nominal</v>
      </c>
      <c r="H43" s="53" t="str">
        <f t="shared" si="6"/>
        <v>N/A</v>
      </c>
      <c r="I43" s="71"/>
      <c r="J43" s="68">
        <v>2.1749999999999999E-2</v>
      </c>
      <c r="K43" s="72"/>
      <c r="L43" s="68">
        <v>2.1850000000000001E-2</v>
      </c>
      <c r="M43" s="71"/>
    </row>
    <row r="44" spans="4:13" ht="12.5" x14ac:dyDescent="0.2">
      <c r="D44" s="93">
        <v>44608</v>
      </c>
      <c r="E44" s="63" t="str">
        <f t="shared" ref="E44:E59" si="7">E43</f>
        <v>RBA</v>
      </c>
      <c r="F44" s="53" t="str">
        <f t="shared" si="4"/>
        <v>Percent</v>
      </c>
      <c r="G44" s="53" t="str">
        <f t="shared" si="5"/>
        <v>Nominal</v>
      </c>
      <c r="H44" s="53" t="str">
        <f t="shared" si="6"/>
        <v>N/A</v>
      </c>
      <c r="I44" s="71"/>
      <c r="J44" s="68">
        <v>2.2200000000000001E-2</v>
      </c>
      <c r="K44" s="72"/>
      <c r="L44" s="68">
        <v>2.23E-2</v>
      </c>
      <c r="M44" s="71"/>
    </row>
    <row r="45" spans="4:13" ht="12.5" x14ac:dyDescent="0.2">
      <c r="D45" s="93">
        <v>44609</v>
      </c>
      <c r="E45" s="63" t="str">
        <f t="shared" si="7"/>
        <v>RBA</v>
      </c>
      <c r="F45" s="53" t="str">
        <f t="shared" si="4"/>
        <v>Percent</v>
      </c>
      <c r="G45" s="53" t="str">
        <f t="shared" si="5"/>
        <v>Nominal</v>
      </c>
      <c r="H45" s="53" t="str">
        <f t="shared" si="6"/>
        <v>N/A</v>
      </c>
      <c r="I45" s="71"/>
      <c r="J45" s="68">
        <v>2.1949999999999997E-2</v>
      </c>
      <c r="K45" s="72"/>
      <c r="L45" s="68">
        <v>2.2099999999999998E-2</v>
      </c>
      <c r="M45" s="71"/>
    </row>
    <row r="46" spans="4:13" ht="12.5" x14ac:dyDescent="0.2">
      <c r="D46" s="93">
        <v>44610</v>
      </c>
      <c r="E46" s="63" t="str">
        <f t="shared" si="7"/>
        <v>RBA</v>
      </c>
      <c r="F46" s="53" t="str">
        <f t="shared" si="4"/>
        <v>Percent</v>
      </c>
      <c r="G46" s="53" t="str">
        <f t="shared" si="5"/>
        <v>Nominal</v>
      </c>
      <c r="H46" s="53" t="str">
        <f t="shared" si="6"/>
        <v>N/A</v>
      </c>
      <c r="I46" s="71"/>
      <c r="J46" s="68">
        <v>2.2349999999999998E-2</v>
      </c>
      <c r="K46" s="72"/>
      <c r="L46" s="68">
        <v>2.2499999999999999E-2</v>
      </c>
      <c r="M46" s="71"/>
    </row>
    <row r="47" spans="4:13" ht="12.5" x14ac:dyDescent="0.2">
      <c r="D47" s="93">
        <v>44613</v>
      </c>
      <c r="E47" s="63" t="str">
        <f t="shared" si="7"/>
        <v>RBA</v>
      </c>
      <c r="F47" s="53" t="str">
        <f t="shared" si="4"/>
        <v>Percent</v>
      </c>
      <c r="G47" s="53" t="str">
        <f t="shared" si="5"/>
        <v>Nominal</v>
      </c>
      <c r="H47" s="53" t="str">
        <f t="shared" si="6"/>
        <v>N/A</v>
      </c>
      <c r="I47" s="71"/>
      <c r="J47" s="68">
        <v>2.2099999999999998E-2</v>
      </c>
      <c r="K47" s="72"/>
      <c r="L47" s="68">
        <v>2.2200000000000001E-2</v>
      </c>
      <c r="M47" s="71"/>
    </row>
    <row r="48" spans="4:13" ht="12.5" x14ac:dyDescent="0.2">
      <c r="D48" s="93">
        <v>44614</v>
      </c>
      <c r="E48" s="63" t="str">
        <f t="shared" si="7"/>
        <v>RBA</v>
      </c>
      <c r="F48" s="53" t="str">
        <f t="shared" si="4"/>
        <v>Percent</v>
      </c>
      <c r="G48" s="53" t="str">
        <f t="shared" si="5"/>
        <v>Nominal</v>
      </c>
      <c r="H48" s="53" t="str">
        <f t="shared" si="6"/>
        <v>N/A</v>
      </c>
      <c r="I48" s="71"/>
      <c r="J48" s="68">
        <v>2.1850000000000001E-2</v>
      </c>
      <c r="K48" s="72"/>
      <c r="L48" s="68">
        <v>2.2000000000000002E-2</v>
      </c>
      <c r="M48" s="71"/>
    </row>
    <row r="49" spans="4:13" ht="12.5" x14ac:dyDescent="0.2">
      <c r="D49" s="93">
        <v>44615</v>
      </c>
      <c r="E49" s="63" t="str">
        <f t="shared" si="7"/>
        <v>RBA</v>
      </c>
      <c r="F49" s="53" t="str">
        <f t="shared" si="4"/>
        <v>Percent</v>
      </c>
      <c r="G49" s="53" t="str">
        <f t="shared" si="5"/>
        <v>Nominal</v>
      </c>
      <c r="H49" s="53" t="str">
        <f t="shared" si="6"/>
        <v>N/A</v>
      </c>
      <c r="I49" s="71"/>
      <c r="J49" s="68">
        <v>2.2599999999999999E-2</v>
      </c>
      <c r="K49" s="72"/>
      <c r="L49" s="68">
        <v>2.2700000000000001E-2</v>
      </c>
      <c r="M49" s="71"/>
    </row>
    <row r="50" spans="4:13" ht="12.5" x14ac:dyDescent="0.2">
      <c r="D50" s="93">
        <v>44616</v>
      </c>
      <c r="E50" s="63" t="str">
        <f t="shared" si="7"/>
        <v>RBA</v>
      </c>
      <c r="F50" s="53" t="str">
        <f t="shared" si="4"/>
        <v>Percent</v>
      </c>
      <c r="G50" s="53" t="str">
        <f t="shared" si="5"/>
        <v>Nominal</v>
      </c>
      <c r="H50" s="53" t="str">
        <f t="shared" si="6"/>
        <v>N/A</v>
      </c>
      <c r="I50" s="71"/>
      <c r="J50" s="68">
        <v>2.145E-2</v>
      </c>
      <c r="K50" s="72"/>
      <c r="L50" s="68">
        <v>2.155E-2</v>
      </c>
      <c r="M50" s="71"/>
    </row>
    <row r="51" spans="4:13" ht="12.5" x14ac:dyDescent="0.2">
      <c r="D51" s="93">
        <v>44617</v>
      </c>
      <c r="E51" s="63" t="str">
        <f t="shared" si="7"/>
        <v>RBA</v>
      </c>
      <c r="F51" s="53" t="str">
        <f t="shared" si="4"/>
        <v>Percent</v>
      </c>
      <c r="G51" s="53" t="str">
        <f t="shared" si="5"/>
        <v>Nominal</v>
      </c>
      <c r="H51" s="53" t="str">
        <f t="shared" si="6"/>
        <v>N/A</v>
      </c>
      <c r="I51" s="71"/>
      <c r="J51" s="68">
        <v>2.2200000000000001E-2</v>
      </c>
      <c r="K51" s="72"/>
      <c r="L51" s="68">
        <v>2.23E-2</v>
      </c>
      <c r="M51" s="71"/>
    </row>
    <row r="52" spans="4:13" ht="12.5" x14ac:dyDescent="0.2">
      <c r="D52" s="93">
        <v>44620</v>
      </c>
      <c r="E52" s="63" t="str">
        <f t="shared" si="7"/>
        <v>RBA</v>
      </c>
      <c r="F52" s="53" t="str">
        <f t="shared" si="4"/>
        <v>Percent</v>
      </c>
      <c r="G52" s="53" t="str">
        <f t="shared" si="5"/>
        <v>Nominal</v>
      </c>
      <c r="H52" s="53" t="str">
        <f t="shared" si="6"/>
        <v>N/A</v>
      </c>
      <c r="I52" s="71"/>
      <c r="J52" s="68">
        <v>2.1250000000000002E-2</v>
      </c>
      <c r="K52" s="72"/>
      <c r="L52" s="68">
        <v>2.1349999999999997E-2</v>
      </c>
      <c r="M52" s="71"/>
    </row>
    <row r="53" spans="4:13" ht="12.5" x14ac:dyDescent="0.2">
      <c r="D53" s="93">
        <v>44621</v>
      </c>
      <c r="E53" s="63" t="str">
        <f t="shared" si="7"/>
        <v>RBA</v>
      </c>
      <c r="F53" s="53" t="str">
        <f t="shared" si="4"/>
        <v>Percent</v>
      </c>
      <c r="G53" s="53" t="str">
        <f t="shared" si="5"/>
        <v>Nominal</v>
      </c>
      <c r="H53" s="53" t="str">
        <f t="shared" si="6"/>
        <v>N/A</v>
      </c>
      <c r="I53" s="71"/>
      <c r="J53" s="68">
        <v>2.1749999999999999E-2</v>
      </c>
      <c r="K53" s="72"/>
      <c r="L53" s="68">
        <v>2.1899999999999999E-2</v>
      </c>
      <c r="M53" s="71"/>
    </row>
    <row r="54" spans="4:13" ht="12.5" x14ac:dyDescent="0.2">
      <c r="D54" s="93">
        <v>44622</v>
      </c>
      <c r="E54" s="63" t="str">
        <f t="shared" si="7"/>
        <v>RBA</v>
      </c>
      <c r="F54" s="53" t="str">
        <f t="shared" si="4"/>
        <v>Percent</v>
      </c>
      <c r="G54" s="53" t="str">
        <f t="shared" si="5"/>
        <v>Nominal</v>
      </c>
      <c r="H54" s="53" t="str">
        <f t="shared" si="6"/>
        <v>N/A</v>
      </c>
      <c r="I54" s="71"/>
      <c r="J54" s="68">
        <v>2.06E-2</v>
      </c>
      <c r="K54" s="72"/>
      <c r="L54" s="68">
        <v>2.0750000000000001E-2</v>
      </c>
      <c r="M54" s="71"/>
    </row>
    <row r="55" spans="4:13" ht="12.5" x14ac:dyDescent="0.2">
      <c r="D55" s="93">
        <v>44623</v>
      </c>
      <c r="E55" s="63" t="str">
        <f t="shared" si="7"/>
        <v>RBA</v>
      </c>
      <c r="F55" s="53" t="str">
        <f t="shared" si="4"/>
        <v>Percent</v>
      </c>
      <c r="G55" s="53" t="str">
        <f t="shared" si="5"/>
        <v>Nominal</v>
      </c>
      <c r="H55" s="53" t="str">
        <f t="shared" si="6"/>
        <v>N/A</v>
      </c>
      <c r="I55" s="71"/>
      <c r="J55" s="68">
        <v>2.1499999999999998E-2</v>
      </c>
      <c r="K55" s="72"/>
      <c r="L55" s="68">
        <v>2.1649999999999999E-2</v>
      </c>
      <c r="M55" s="71"/>
    </row>
    <row r="56" spans="4:13" ht="12.5" x14ac:dyDescent="0.2">
      <c r="D56" s="93">
        <v>44624</v>
      </c>
      <c r="E56" s="63" t="str">
        <f t="shared" si="7"/>
        <v>RBA</v>
      </c>
      <c r="F56" s="53" t="str">
        <f t="shared" si="4"/>
        <v>Percent</v>
      </c>
      <c r="G56" s="53" t="str">
        <f t="shared" si="5"/>
        <v>Nominal</v>
      </c>
      <c r="H56" s="53" t="str">
        <f t="shared" si="6"/>
        <v>N/A</v>
      </c>
      <c r="I56" s="71"/>
      <c r="J56" s="68">
        <v>2.1349999999999997E-2</v>
      </c>
      <c r="K56" s="72"/>
      <c r="L56" s="68">
        <v>2.1499999999999998E-2</v>
      </c>
      <c r="M56" s="71"/>
    </row>
    <row r="57" spans="4:13" ht="12.5" x14ac:dyDescent="0.2">
      <c r="D57" s="93">
        <v>44627</v>
      </c>
      <c r="E57" s="63" t="str">
        <f t="shared" si="7"/>
        <v>RBA</v>
      </c>
      <c r="F57" s="53" t="str">
        <f t="shared" si="4"/>
        <v>Percent</v>
      </c>
      <c r="G57" s="53" t="str">
        <f t="shared" si="5"/>
        <v>Nominal</v>
      </c>
      <c r="H57" s="53" t="str">
        <f t="shared" si="6"/>
        <v>N/A</v>
      </c>
      <c r="I57" s="71"/>
      <c r="J57" s="68">
        <v>2.12E-2</v>
      </c>
      <c r="K57" s="72"/>
      <c r="L57" s="68">
        <v>2.1349999999999997E-2</v>
      </c>
      <c r="M57" s="71"/>
    </row>
    <row r="58" spans="4:13" ht="12.5" x14ac:dyDescent="0.2">
      <c r="D58" s="93">
        <v>44628</v>
      </c>
      <c r="E58" s="63" t="str">
        <f t="shared" si="7"/>
        <v>RBA</v>
      </c>
      <c r="F58" s="53" t="str">
        <f t="shared" si="4"/>
        <v>Percent</v>
      </c>
      <c r="G58" s="53" t="str">
        <f t="shared" si="5"/>
        <v>Nominal</v>
      </c>
      <c r="H58" s="53" t="str">
        <f t="shared" si="6"/>
        <v>N/A</v>
      </c>
      <c r="I58" s="71"/>
      <c r="J58" s="68">
        <v>2.2200000000000001E-2</v>
      </c>
      <c r="K58" s="72"/>
      <c r="L58" s="68">
        <v>2.2349999999999998E-2</v>
      </c>
      <c r="M58" s="71"/>
    </row>
    <row r="59" spans="4:13" ht="12.5" x14ac:dyDescent="0.2">
      <c r="D59" s="93">
        <v>44629</v>
      </c>
      <c r="E59" s="63" t="str">
        <f t="shared" si="7"/>
        <v>RBA</v>
      </c>
      <c r="F59" s="53" t="str">
        <f t="shared" si="4"/>
        <v>Percent</v>
      </c>
      <c r="G59" s="53" t="str">
        <f t="shared" si="5"/>
        <v>Nominal</v>
      </c>
      <c r="H59" s="53" t="str">
        <f t="shared" si="6"/>
        <v>N/A</v>
      </c>
      <c r="I59" s="71"/>
      <c r="J59" s="68">
        <v>2.3E-2</v>
      </c>
      <c r="K59" s="72"/>
      <c r="L59" s="68">
        <v>2.315E-2</v>
      </c>
      <c r="M59" s="71"/>
    </row>
    <row r="60" spans="4:13" ht="11.25" customHeight="1" x14ac:dyDescent="0.2"/>
    <row r="61" spans="4:13" ht="11.25" customHeight="1" x14ac:dyDescent="0.2"/>
    <row r="62" spans="4:13" ht="4.5" customHeight="1" x14ac:dyDescent="0.2"/>
    <row r="63" spans="4:13" s="106" customFormat="1" ht="13" x14ac:dyDescent="0.2">
      <c r="D63" s="106" t="s">
        <v>192</v>
      </c>
    </row>
    <row r="65" spans="4:13" ht="26.65" customHeight="1" x14ac:dyDescent="0.2">
      <c r="D65" s="61" t="s">
        <v>102</v>
      </c>
      <c r="E65" s="60" t="s">
        <v>62</v>
      </c>
      <c r="F65" s="60" t="s">
        <v>63</v>
      </c>
      <c r="G65" s="60" t="s">
        <v>64</v>
      </c>
      <c r="H65" s="60" t="s">
        <v>65</v>
      </c>
      <c r="I65" s="71"/>
      <c r="J65" s="60" t="s">
        <v>103</v>
      </c>
      <c r="K65" s="72"/>
      <c r="L65" s="60" t="s">
        <v>104</v>
      </c>
      <c r="M65" s="71"/>
    </row>
    <row r="66" spans="4:13" ht="11.25" customHeight="1" x14ac:dyDescent="0.2">
      <c r="D66" s="73"/>
      <c r="E66" s="71"/>
      <c r="F66" s="71"/>
      <c r="G66" s="71"/>
      <c r="I66" s="71"/>
      <c r="J66" s="72"/>
      <c r="K66" s="72"/>
      <c r="L66" s="72"/>
      <c r="M66" s="71"/>
    </row>
    <row r="67" spans="4:13" ht="12.5" x14ac:dyDescent="0.2">
      <c r="D67" s="7" t="s">
        <v>105</v>
      </c>
      <c r="E67" s="63" t="s">
        <v>97</v>
      </c>
      <c r="F67" s="53" t="s">
        <v>1</v>
      </c>
      <c r="G67" s="53" t="str">
        <f t="shared" ref="G67:H68" si="8">NA</f>
        <v>N/A</v>
      </c>
      <c r="H67" s="53" t="str">
        <f t="shared" si="8"/>
        <v>N/A</v>
      </c>
      <c r="I67" s="71"/>
      <c r="J67" s="68" t="s">
        <v>182</v>
      </c>
      <c r="L67" s="68" t="s">
        <v>183</v>
      </c>
      <c r="M67" s="71"/>
    </row>
    <row r="68" spans="4:13" ht="12.5" x14ac:dyDescent="0.2">
      <c r="D68" s="7" t="s">
        <v>106</v>
      </c>
      <c r="E68" s="63" t="s">
        <v>97</v>
      </c>
      <c r="F68" s="53" t="s">
        <v>107</v>
      </c>
      <c r="G68" s="53" t="str">
        <f t="shared" si="8"/>
        <v>N/A</v>
      </c>
      <c r="H68" s="53" t="str">
        <f t="shared" si="8"/>
        <v>N/A</v>
      </c>
      <c r="I68" s="71"/>
      <c r="J68" s="75">
        <v>48539</v>
      </c>
      <c r="L68" s="75">
        <v>48690</v>
      </c>
      <c r="M68" s="71"/>
    </row>
    <row r="71" spans="4:13" ht="26.65" customHeight="1" x14ac:dyDescent="0.2">
      <c r="D71" s="61" t="s">
        <v>108</v>
      </c>
      <c r="E71" s="60"/>
      <c r="F71" s="60"/>
      <c r="G71" s="60"/>
      <c r="H71" s="60"/>
      <c r="I71" s="71"/>
      <c r="J71" s="60" t="s">
        <v>136</v>
      </c>
      <c r="K71" s="72"/>
      <c r="L71" s="60" t="s">
        <v>136</v>
      </c>
      <c r="M71" s="71"/>
    </row>
    <row r="73" spans="4:13" ht="12.5" x14ac:dyDescent="0.2">
      <c r="D73" s="93">
        <v>44974</v>
      </c>
      <c r="E73" s="63" t="s">
        <v>97</v>
      </c>
      <c r="F73" s="53" t="str">
        <f t="shared" ref="F73:F92" si="9">Percent</f>
        <v>Percent</v>
      </c>
      <c r="G73" s="53" t="str">
        <f t="shared" ref="G73:G92" si="10">Nominal</f>
        <v>Nominal</v>
      </c>
      <c r="H73" s="53" t="str">
        <f t="shared" ref="H73:H92" si="11">NA</f>
        <v>N/A</v>
      </c>
      <c r="I73" s="71"/>
      <c r="J73" s="68">
        <v>3.8199999999999998E-2</v>
      </c>
      <c r="K73" s="72"/>
      <c r="L73" s="68">
        <v>3.8199999999999998E-2</v>
      </c>
      <c r="M73" s="71"/>
    </row>
    <row r="74" spans="4:13" ht="12.5" x14ac:dyDescent="0.2">
      <c r="D74" s="93">
        <v>44977</v>
      </c>
      <c r="E74" s="63" t="s">
        <v>97</v>
      </c>
      <c r="F74" s="53" t="str">
        <f t="shared" si="9"/>
        <v>Percent</v>
      </c>
      <c r="G74" s="53" t="str">
        <f t="shared" si="10"/>
        <v>Nominal</v>
      </c>
      <c r="H74" s="53" t="str">
        <f t="shared" si="11"/>
        <v>N/A</v>
      </c>
      <c r="I74" s="71"/>
      <c r="J74" s="68">
        <v>3.8100000000000002E-2</v>
      </c>
      <c r="K74" s="72"/>
      <c r="L74" s="68">
        <v>3.8100000000000002E-2</v>
      </c>
      <c r="M74" s="71"/>
    </row>
    <row r="75" spans="4:13" ht="12.5" x14ac:dyDescent="0.2">
      <c r="D75" s="93">
        <v>44978</v>
      </c>
      <c r="E75" s="63" t="s">
        <v>97</v>
      </c>
      <c r="F75" s="53" t="str">
        <f t="shared" si="9"/>
        <v>Percent</v>
      </c>
      <c r="G75" s="53" t="str">
        <f t="shared" si="10"/>
        <v>Nominal</v>
      </c>
      <c r="H75" s="53" t="str">
        <f t="shared" si="11"/>
        <v>N/A</v>
      </c>
      <c r="I75" s="71"/>
      <c r="J75" s="68">
        <v>3.8149999999999996E-2</v>
      </c>
      <c r="K75" s="72"/>
      <c r="L75" s="68">
        <v>3.8149999999999996E-2</v>
      </c>
      <c r="M75" s="71"/>
    </row>
    <row r="76" spans="4:13" ht="12.5" x14ac:dyDescent="0.2">
      <c r="D76" s="93">
        <v>44979</v>
      </c>
      <c r="E76" s="63" t="str">
        <f>E73</f>
        <v>RBA</v>
      </c>
      <c r="F76" s="53" t="str">
        <f t="shared" si="9"/>
        <v>Percent</v>
      </c>
      <c r="G76" s="53" t="str">
        <f t="shared" si="10"/>
        <v>Nominal</v>
      </c>
      <c r="H76" s="53" t="str">
        <f t="shared" si="11"/>
        <v>N/A</v>
      </c>
      <c r="I76" s="71"/>
      <c r="J76" s="68">
        <v>3.875E-2</v>
      </c>
      <c r="K76" s="72"/>
      <c r="L76" s="68">
        <v>3.875E-2</v>
      </c>
      <c r="M76" s="71"/>
    </row>
    <row r="77" spans="4:13" ht="12.5" x14ac:dyDescent="0.2">
      <c r="D77" s="93">
        <v>44980</v>
      </c>
      <c r="E77" s="63" t="str">
        <f t="shared" ref="E77:E92" si="12">E76</f>
        <v>RBA</v>
      </c>
      <c r="F77" s="53" t="str">
        <f t="shared" si="9"/>
        <v>Percent</v>
      </c>
      <c r="G77" s="53" t="str">
        <f t="shared" si="10"/>
        <v>Nominal</v>
      </c>
      <c r="H77" s="53" t="str">
        <f t="shared" si="11"/>
        <v>N/A</v>
      </c>
      <c r="I77" s="71"/>
      <c r="J77" s="68">
        <v>3.8849999999999996E-2</v>
      </c>
      <c r="K77" s="72"/>
      <c r="L77" s="68">
        <v>3.8849999999999996E-2</v>
      </c>
      <c r="M77" s="71"/>
    </row>
    <row r="78" spans="4:13" ht="12.5" x14ac:dyDescent="0.2">
      <c r="D78" s="93">
        <v>44981</v>
      </c>
      <c r="E78" s="63" t="str">
        <f t="shared" si="12"/>
        <v>RBA</v>
      </c>
      <c r="F78" s="53" t="str">
        <f t="shared" si="9"/>
        <v>Percent</v>
      </c>
      <c r="G78" s="53" t="str">
        <f t="shared" si="10"/>
        <v>Nominal</v>
      </c>
      <c r="H78" s="53" t="str">
        <f t="shared" si="11"/>
        <v>N/A</v>
      </c>
      <c r="I78" s="71"/>
      <c r="J78" s="68">
        <v>3.8249999999999999E-2</v>
      </c>
      <c r="K78" s="72"/>
      <c r="L78" s="68">
        <v>3.8249999999999999E-2</v>
      </c>
      <c r="M78" s="71"/>
    </row>
    <row r="79" spans="4:13" ht="12.5" x14ac:dyDescent="0.2">
      <c r="D79" s="93">
        <v>44984</v>
      </c>
      <c r="E79" s="63" t="str">
        <f t="shared" si="12"/>
        <v>RBA</v>
      </c>
      <c r="F79" s="53" t="str">
        <f t="shared" si="9"/>
        <v>Percent</v>
      </c>
      <c r="G79" s="53" t="str">
        <f t="shared" si="10"/>
        <v>Nominal</v>
      </c>
      <c r="H79" s="53" t="str">
        <f t="shared" si="11"/>
        <v>N/A</v>
      </c>
      <c r="I79" s="71"/>
      <c r="J79" s="68">
        <v>3.875E-2</v>
      </c>
      <c r="K79" s="72"/>
      <c r="L79" s="68">
        <v>3.875E-2</v>
      </c>
      <c r="M79" s="71"/>
    </row>
    <row r="80" spans="4:13" ht="12.5" x14ac:dyDescent="0.2">
      <c r="D80" s="93">
        <v>44985</v>
      </c>
      <c r="E80" s="63" t="str">
        <f t="shared" si="12"/>
        <v>RBA</v>
      </c>
      <c r="F80" s="53" t="str">
        <f t="shared" si="9"/>
        <v>Percent</v>
      </c>
      <c r="G80" s="53" t="str">
        <f t="shared" si="10"/>
        <v>Nominal</v>
      </c>
      <c r="H80" s="53" t="str">
        <f t="shared" si="11"/>
        <v>N/A</v>
      </c>
      <c r="I80" s="71"/>
      <c r="J80" s="68">
        <v>3.85E-2</v>
      </c>
      <c r="K80" s="72"/>
      <c r="L80" s="68">
        <v>3.85E-2</v>
      </c>
      <c r="M80" s="71"/>
    </row>
    <row r="81" spans="2:13" ht="12.5" x14ac:dyDescent="0.2">
      <c r="D81" s="93">
        <v>44986</v>
      </c>
      <c r="E81" s="63" t="str">
        <f t="shared" si="12"/>
        <v>RBA</v>
      </c>
      <c r="F81" s="53" t="str">
        <f t="shared" si="9"/>
        <v>Percent</v>
      </c>
      <c r="G81" s="53" t="str">
        <f t="shared" si="10"/>
        <v>Nominal</v>
      </c>
      <c r="H81" s="53" t="str">
        <f t="shared" si="11"/>
        <v>N/A</v>
      </c>
      <c r="I81" s="71"/>
      <c r="J81" s="68">
        <v>3.7850000000000002E-2</v>
      </c>
      <c r="K81" s="72"/>
      <c r="L81" s="68">
        <v>3.7850000000000002E-2</v>
      </c>
      <c r="M81" s="71"/>
    </row>
    <row r="82" spans="2:13" ht="12.5" x14ac:dyDescent="0.2">
      <c r="D82" s="93">
        <v>44987</v>
      </c>
      <c r="E82" s="63" t="str">
        <f t="shared" si="12"/>
        <v>RBA</v>
      </c>
      <c r="F82" s="53" t="str">
        <f t="shared" si="9"/>
        <v>Percent</v>
      </c>
      <c r="G82" s="53" t="str">
        <f t="shared" si="10"/>
        <v>Nominal</v>
      </c>
      <c r="H82" s="53" t="str">
        <f t="shared" si="11"/>
        <v>N/A</v>
      </c>
      <c r="I82" s="71"/>
      <c r="J82" s="68">
        <v>3.8599999999999995E-2</v>
      </c>
      <c r="K82" s="72"/>
      <c r="L82" s="68">
        <v>3.8599999999999995E-2</v>
      </c>
      <c r="M82" s="71"/>
    </row>
    <row r="83" spans="2:13" ht="12.5" x14ac:dyDescent="0.2">
      <c r="D83" s="93">
        <v>44988</v>
      </c>
      <c r="E83" s="63" t="str">
        <f t="shared" si="12"/>
        <v>RBA</v>
      </c>
      <c r="F83" s="53" t="str">
        <f t="shared" si="9"/>
        <v>Percent</v>
      </c>
      <c r="G83" s="53" t="str">
        <f t="shared" si="10"/>
        <v>Nominal</v>
      </c>
      <c r="H83" s="53" t="str">
        <f t="shared" si="11"/>
        <v>N/A</v>
      </c>
      <c r="I83" s="71"/>
      <c r="J83" s="68">
        <v>3.9E-2</v>
      </c>
      <c r="K83" s="72"/>
      <c r="L83" s="68">
        <v>3.9E-2</v>
      </c>
      <c r="M83" s="71"/>
    </row>
    <row r="84" spans="2:13" ht="12.5" x14ac:dyDescent="0.2">
      <c r="D84" s="93">
        <v>44991</v>
      </c>
      <c r="E84" s="63" t="str">
        <f t="shared" si="12"/>
        <v>RBA</v>
      </c>
      <c r="F84" s="53" t="str">
        <f t="shared" si="9"/>
        <v>Percent</v>
      </c>
      <c r="G84" s="53" t="str">
        <f t="shared" si="10"/>
        <v>Nominal</v>
      </c>
      <c r="H84" s="53" t="str">
        <f t="shared" si="11"/>
        <v>N/A</v>
      </c>
      <c r="I84" s="71"/>
      <c r="J84" s="68">
        <v>3.7650000000000003E-2</v>
      </c>
      <c r="K84" s="72"/>
      <c r="L84" s="68">
        <v>3.7650000000000003E-2</v>
      </c>
      <c r="M84" s="71"/>
    </row>
    <row r="85" spans="2:13" ht="12.5" x14ac:dyDescent="0.2">
      <c r="D85" s="93">
        <v>44992</v>
      </c>
      <c r="E85" s="63" t="str">
        <f t="shared" si="12"/>
        <v>RBA</v>
      </c>
      <c r="F85" s="53" t="str">
        <f t="shared" si="9"/>
        <v>Percent</v>
      </c>
      <c r="G85" s="53" t="str">
        <f t="shared" si="10"/>
        <v>Nominal</v>
      </c>
      <c r="H85" s="53" t="str">
        <f t="shared" si="11"/>
        <v>N/A</v>
      </c>
      <c r="I85" s="71"/>
      <c r="J85" s="68">
        <v>3.6850000000000001E-2</v>
      </c>
      <c r="K85" s="72"/>
      <c r="L85" s="68">
        <v>3.6850000000000001E-2</v>
      </c>
      <c r="M85" s="71"/>
    </row>
    <row r="86" spans="2:13" ht="12.5" x14ac:dyDescent="0.2">
      <c r="D86" s="93">
        <v>44993</v>
      </c>
      <c r="E86" s="63" t="str">
        <f t="shared" si="12"/>
        <v>RBA</v>
      </c>
      <c r="F86" s="53" t="str">
        <f t="shared" si="9"/>
        <v>Percent</v>
      </c>
      <c r="G86" s="53" t="str">
        <f t="shared" si="10"/>
        <v>Nominal</v>
      </c>
      <c r="H86" s="53" t="str">
        <f t="shared" si="11"/>
        <v>N/A</v>
      </c>
      <c r="I86" s="71"/>
      <c r="J86" s="68">
        <v>3.7450000000000004E-2</v>
      </c>
      <c r="K86" s="72"/>
      <c r="L86" s="68">
        <v>3.7450000000000004E-2</v>
      </c>
      <c r="M86" s="71"/>
    </row>
    <row r="87" spans="2:13" ht="12.5" x14ac:dyDescent="0.2">
      <c r="D87" s="93">
        <v>44994</v>
      </c>
      <c r="E87" s="63" t="str">
        <f t="shared" si="12"/>
        <v>RBA</v>
      </c>
      <c r="F87" s="53" t="str">
        <f t="shared" si="9"/>
        <v>Percent</v>
      </c>
      <c r="G87" s="53" t="str">
        <f t="shared" si="10"/>
        <v>Nominal</v>
      </c>
      <c r="H87" s="53" t="str">
        <f t="shared" si="11"/>
        <v>N/A</v>
      </c>
      <c r="I87" s="71"/>
      <c r="J87" s="68">
        <v>3.7100000000000001E-2</v>
      </c>
      <c r="K87" s="72"/>
      <c r="L87" s="68">
        <v>3.7100000000000001E-2</v>
      </c>
      <c r="M87" s="71"/>
    </row>
    <row r="88" spans="2:13" ht="12.5" x14ac:dyDescent="0.2">
      <c r="D88" s="93">
        <v>44995</v>
      </c>
      <c r="E88" s="63" t="str">
        <f t="shared" si="12"/>
        <v>RBA</v>
      </c>
      <c r="F88" s="53" t="str">
        <f t="shared" si="9"/>
        <v>Percent</v>
      </c>
      <c r="G88" s="53" t="str">
        <f t="shared" si="10"/>
        <v>Nominal</v>
      </c>
      <c r="H88" s="53" t="str">
        <f t="shared" si="11"/>
        <v>N/A</v>
      </c>
      <c r="I88" s="71"/>
      <c r="J88" s="68">
        <v>3.5799999999999998E-2</v>
      </c>
      <c r="K88" s="72"/>
      <c r="L88" s="68">
        <v>3.5799999999999998E-2</v>
      </c>
      <c r="M88" s="71"/>
    </row>
    <row r="89" spans="2:13" ht="12.5" x14ac:dyDescent="0.2">
      <c r="D89" s="93">
        <v>44998</v>
      </c>
      <c r="E89" s="63" t="str">
        <f t="shared" si="12"/>
        <v>RBA</v>
      </c>
      <c r="F89" s="53" t="str">
        <f t="shared" si="9"/>
        <v>Percent</v>
      </c>
      <c r="G89" s="53" t="str">
        <f t="shared" si="10"/>
        <v>Nominal</v>
      </c>
      <c r="H89" s="53" t="str">
        <f t="shared" si="11"/>
        <v>N/A</v>
      </c>
      <c r="I89" s="71"/>
      <c r="J89" s="68">
        <v>3.5200000000000002E-2</v>
      </c>
      <c r="K89" s="72"/>
      <c r="L89" s="68">
        <v>3.5200000000000002E-2</v>
      </c>
      <c r="M89" s="71"/>
    </row>
    <row r="90" spans="2:13" ht="12.5" x14ac:dyDescent="0.2">
      <c r="D90" s="93">
        <v>44999</v>
      </c>
      <c r="E90" s="63" t="str">
        <f t="shared" si="12"/>
        <v>RBA</v>
      </c>
      <c r="F90" s="53" t="str">
        <f t="shared" si="9"/>
        <v>Percent</v>
      </c>
      <c r="G90" s="53" t="str">
        <f t="shared" si="10"/>
        <v>Nominal</v>
      </c>
      <c r="H90" s="53" t="str">
        <f t="shared" si="11"/>
        <v>N/A</v>
      </c>
      <c r="I90" s="71"/>
      <c r="J90" s="68">
        <v>3.4500000000000003E-2</v>
      </c>
      <c r="K90" s="72"/>
      <c r="L90" s="68">
        <v>3.4500000000000003E-2</v>
      </c>
      <c r="M90" s="71"/>
    </row>
    <row r="91" spans="2:13" ht="12.5" x14ac:dyDescent="0.2">
      <c r="D91" s="93">
        <v>45000</v>
      </c>
      <c r="E91" s="63" t="str">
        <f t="shared" si="12"/>
        <v>RBA</v>
      </c>
      <c r="F91" s="53" t="str">
        <f t="shared" si="9"/>
        <v>Percent</v>
      </c>
      <c r="G91" s="53" t="str">
        <f t="shared" si="10"/>
        <v>Nominal</v>
      </c>
      <c r="H91" s="53" t="str">
        <f t="shared" si="11"/>
        <v>N/A</v>
      </c>
      <c r="I91" s="71"/>
      <c r="J91" s="68">
        <v>3.4349999999999999E-2</v>
      </c>
      <c r="K91" s="72"/>
      <c r="L91" s="68">
        <v>3.4349999999999999E-2</v>
      </c>
      <c r="M91" s="71"/>
    </row>
    <row r="92" spans="2:13" ht="12.5" x14ac:dyDescent="0.2">
      <c r="D92" s="93">
        <v>45001</v>
      </c>
      <c r="E92" s="63" t="str">
        <f t="shared" si="12"/>
        <v>RBA</v>
      </c>
      <c r="F92" s="53" t="str">
        <f t="shared" si="9"/>
        <v>Percent</v>
      </c>
      <c r="G92" s="53" t="str">
        <f t="shared" si="10"/>
        <v>Nominal</v>
      </c>
      <c r="H92" s="53" t="str">
        <f t="shared" si="11"/>
        <v>N/A</v>
      </c>
      <c r="I92" s="71"/>
      <c r="J92" s="68">
        <v>3.3300000000000003E-2</v>
      </c>
      <c r="K92" s="72"/>
      <c r="L92" s="68">
        <v>3.3250000000000002E-2</v>
      </c>
      <c r="M92" s="71"/>
    </row>
    <row r="93" spans="2:13" ht="11.25" customHeight="1" x14ac:dyDescent="0.2"/>
    <row r="94" spans="2:13" ht="11.25" customHeight="1" x14ac:dyDescent="0.2"/>
    <row r="95" spans="2:13" s="2" customFormat="1" ht="15.5" x14ac:dyDescent="0.2">
      <c r="B95" s="2" t="s">
        <v>140</v>
      </c>
    </row>
    <row r="96" spans="2:13" ht="4.5" customHeight="1" x14ac:dyDescent="0.2"/>
    <row r="97" spans="2:14" s="8" customFormat="1" ht="14" x14ac:dyDescent="0.2">
      <c r="C97" s="8" t="s">
        <v>198</v>
      </c>
    </row>
    <row r="99" spans="2:14" ht="26.65" customHeight="1" x14ac:dyDescent="0.2">
      <c r="D99" s="61" t="s">
        <v>140</v>
      </c>
      <c r="E99" s="60" t="s">
        <v>62</v>
      </c>
      <c r="F99" s="60" t="s">
        <v>63</v>
      </c>
      <c r="G99" s="60" t="s">
        <v>64</v>
      </c>
      <c r="H99" s="60" t="str">
        <f>Lookup!H$19</f>
        <v>Timing</v>
      </c>
      <c r="I99" s="71"/>
      <c r="K99" s="60" t="str">
        <f>K$10</f>
        <v>FY23</v>
      </c>
      <c r="L99" s="60" t="str">
        <f>L$10</f>
        <v>FY24</v>
      </c>
      <c r="M99" s="60" t="str">
        <f>M$10</f>
        <v>FY25</v>
      </c>
    </row>
    <row r="100" spans="2:14" ht="12.65" customHeight="1" x14ac:dyDescent="0.2"/>
    <row r="101" spans="2:14" ht="12.65" customHeight="1" x14ac:dyDescent="0.2">
      <c r="K101" s="44" t="s">
        <v>59</v>
      </c>
      <c r="L101" s="44" t="s">
        <v>59</v>
      </c>
      <c r="M101" s="44" t="s">
        <v>158</v>
      </c>
    </row>
    <row r="102" spans="2:14" ht="12.65" customHeight="1" x14ac:dyDescent="0.2">
      <c r="D102" s="76" t="s">
        <v>163</v>
      </c>
      <c r="E102" s="63" t="s">
        <v>180</v>
      </c>
      <c r="F102" s="53" t="str">
        <f t="shared" ref="F102" si="13">Percent</f>
        <v>Percent</v>
      </c>
      <c r="G102" s="53" t="s">
        <v>67</v>
      </c>
      <c r="H102" s="53" t="str">
        <f t="shared" ref="H102" si="14">NA</f>
        <v>N/A</v>
      </c>
      <c r="K102" s="68">
        <v>3.6526059548021642E-2</v>
      </c>
      <c r="L102" s="68">
        <v>6.3474784244186358E-2</v>
      </c>
      <c r="M102" s="85">
        <f>L102</f>
        <v>6.3474784244186358E-2</v>
      </c>
      <c r="N102" s="105" t="s">
        <v>181</v>
      </c>
    </row>
    <row r="103" spans="2:14" ht="12.65" customHeight="1" x14ac:dyDescent="0.2"/>
    <row r="105" spans="2:14" s="8" customFormat="1" ht="14" x14ac:dyDescent="0.2">
      <c r="C105" s="8" t="s">
        <v>149</v>
      </c>
    </row>
    <row r="107" spans="2:14" ht="26.65" customHeight="1" x14ac:dyDescent="0.2">
      <c r="D107" s="61" t="s">
        <v>112</v>
      </c>
      <c r="E107" s="60" t="s">
        <v>62</v>
      </c>
      <c r="F107" s="60" t="s">
        <v>63</v>
      </c>
      <c r="G107" s="60" t="s">
        <v>64</v>
      </c>
      <c r="H107" s="60" t="str">
        <f>Lookup!H$19</f>
        <v>Timing</v>
      </c>
      <c r="I107" s="71"/>
      <c r="J107" s="60" t="s">
        <v>111</v>
      </c>
      <c r="K107" s="72"/>
    </row>
    <row r="108" spans="2:14" ht="11.25" customHeight="1" x14ac:dyDescent="0.2"/>
    <row r="109" spans="2:14" ht="12.65" customHeight="1" x14ac:dyDescent="0.2">
      <c r="D109" s="76" t="s">
        <v>164</v>
      </c>
      <c r="E109" s="63" t="s">
        <v>114</v>
      </c>
      <c r="F109" s="53" t="str">
        <f t="shared" ref="F109" si="15">Percent</f>
        <v>Percent</v>
      </c>
      <c r="G109" s="53" t="s">
        <v>67</v>
      </c>
      <c r="H109" s="53" t="str">
        <f t="shared" ref="H109" si="16">NA</f>
        <v>N/A</v>
      </c>
      <c r="I109" s="71"/>
      <c r="J109" s="68">
        <v>0.1</v>
      </c>
    </row>
    <row r="112" spans="2:14" s="2" customFormat="1" ht="15.5" x14ac:dyDescent="0.2">
      <c r="B112" s="2" t="s">
        <v>110</v>
      </c>
    </row>
    <row r="113" spans="3:15" ht="4.5" customHeight="1" x14ac:dyDescent="0.2"/>
    <row r="114" spans="3:15" s="8" customFormat="1" ht="14" x14ac:dyDescent="0.2">
      <c r="C114" s="8" t="s">
        <v>118</v>
      </c>
    </row>
    <row r="115" spans="3:15" ht="11.25" customHeight="1" x14ac:dyDescent="0.2"/>
    <row r="116" spans="3:15" ht="26.65" customHeight="1" x14ac:dyDescent="0.2">
      <c r="D116" s="61" t="s">
        <v>112</v>
      </c>
      <c r="E116" s="60" t="s">
        <v>62</v>
      </c>
      <c r="F116" s="60" t="s">
        <v>63</v>
      </c>
      <c r="G116" s="60" t="s">
        <v>64</v>
      </c>
      <c r="H116" s="60" t="str">
        <f>Lookup!H$19</f>
        <v>Timing</v>
      </c>
      <c r="I116" s="71"/>
      <c r="J116" s="60" t="s">
        <v>111</v>
      </c>
      <c r="K116" s="100" t="s">
        <v>188</v>
      </c>
      <c r="L116" s="71"/>
      <c r="M116" s="71"/>
      <c r="O116" s="72"/>
    </row>
    <row r="117" spans="3:15" ht="11.25" customHeight="1" x14ac:dyDescent="0.2"/>
    <row r="118" spans="3:15" ht="12.65" customHeight="1" x14ac:dyDescent="0.2">
      <c r="D118" s="76" t="s">
        <v>113</v>
      </c>
      <c r="E118" s="63" t="s">
        <v>114</v>
      </c>
      <c r="F118" s="53" t="str">
        <f t="shared" ref="F118:F132" si="17">Percent</f>
        <v>Percent</v>
      </c>
      <c r="G118" s="53" t="s">
        <v>67</v>
      </c>
      <c r="H118" s="53" t="str">
        <f t="shared" ref="H118:H132" si="18">NA</f>
        <v>N/A</v>
      </c>
      <c r="I118" s="71"/>
      <c r="J118" s="68">
        <v>6.2E-2</v>
      </c>
      <c r="K118" s="71"/>
      <c r="L118" s="71"/>
      <c r="M118" s="71"/>
    </row>
    <row r="119" spans="3:15" ht="12.65" customHeight="1" x14ac:dyDescent="0.2">
      <c r="D119" s="76" t="s">
        <v>115</v>
      </c>
      <c r="E119" s="63" t="s">
        <v>114</v>
      </c>
      <c r="F119" s="53" t="str">
        <f t="shared" si="17"/>
        <v>Percent</v>
      </c>
      <c r="G119" s="53" t="s">
        <v>67</v>
      </c>
      <c r="H119" s="53" t="str">
        <f t="shared" si="18"/>
        <v>N/A</v>
      </c>
      <c r="I119" s="71"/>
      <c r="J119" s="68">
        <v>0.6</v>
      </c>
      <c r="K119" s="71"/>
      <c r="L119" s="71"/>
      <c r="M119" s="71"/>
    </row>
    <row r="120" spans="3:15" ht="12.65" customHeight="1" x14ac:dyDescent="0.2">
      <c r="D120" s="7" t="s">
        <v>124</v>
      </c>
      <c r="E120" s="63" t="s">
        <v>114</v>
      </c>
      <c r="F120" s="53" t="str">
        <f t="shared" si="17"/>
        <v>Percent</v>
      </c>
      <c r="G120" s="53" t="s">
        <v>67</v>
      </c>
      <c r="H120" s="53" t="str">
        <f t="shared" si="18"/>
        <v>N/A</v>
      </c>
      <c r="I120" s="71"/>
      <c r="J120" s="68">
        <v>0.56999999999999995</v>
      </c>
      <c r="K120" s="71"/>
      <c r="L120" s="71"/>
      <c r="M120" s="71"/>
    </row>
    <row r="121" spans="3:15" ht="12.65" customHeight="1" x14ac:dyDescent="0.2">
      <c r="D121" s="7" t="s">
        <v>116</v>
      </c>
      <c r="E121" s="63" t="s">
        <v>114</v>
      </c>
      <c r="F121" s="53" t="str">
        <f t="shared" si="17"/>
        <v>Percent</v>
      </c>
      <c r="G121" s="53" t="s">
        <v>67</v>
      </c>
      <c r="H121" s="53" t="str">
        <f t="shared" si="18"/>
        <v>N/A</v>
      </c>
      <c r="I121" s="71"/>
      <c r="J121" s="68">
        <v>0.6</v>
      </c>
      <c r="K121" s="71"/>
      <c r="L121" s="71"/>
      <c r="M121" s="71"/>
    </row>
    <row r="122" spans="3:15" ht="11.25" customHeight="1" x14ac:dyDescent="0.2"/>
    <row r="123" spans="3:15" ht="11.25" customHeight="1" x14ac:dyDescent="0.2"/>
    <row r="124" spans="3:15" s="8" customFormat="1" ht="14" x14ac:dyDescent="0.2">
      <c r="C124" s="8" t="s">
        <v>119</v>
      </c>
    </row>
    <row r="125" spans="3:15" ht="11.25" customHeight="1" x14ac:dyDescent="0.2"/>
    <row r="126" spans="3:15" ht="26.65" customHeight="1" x14ac:dyDescent="0.2">
      <c r="D126" s="61" t="s">
        <v>112</v>
      </c>
      <c r="E126" s="60" t="s">
        <v>62</v>
      </c>
      <c r="F126" s="60" t="s">
        <v>63</v>
      </c>
      <c r="G126" s="60" t="s">
        <v>64</v>
      </c>
      <c r="H126" s="60" t="str">
        <f>Lookup!H$19</f>
        <v>Timing</v>
      </c>
      <c r="I126" s="71"/>
      <c r="J126" s="60" t="s">
        <v>111</v>
      </c>
      <c r="K126" s="100" t="s">
        <v>188</v>
      </c>
      <c r="L126" s="71"/>
      <c r="M126" s="71"/>
      <c r="O126" s="72"/>
    </row>
    <row r="127" spans="3:15" ht="11.25" customHeight="1" x14ac:dyDescent="0.2"/>
    <row r="128" spans="3:15" ht="12.5" x14ac:dyDescent="0.2">
      <c r="D128" s="7" t="s">
        <v>120</v>
      </c>
      <c r="E128" s="63" t="s">
        <v>114</v>
      </c>
      <c r="F128" s="53" t="str">
        <f t="shared" si="17"/>
        <v>Percent</v>
      </c>
      <c r="G128" s="53" t="s">
        <v>67</v>
      </c>
      <c r="H128" s="53" t="str">
        <f t="shared" si="18"/>
        <v>N/A</v>
      </c>
      <c r="I128" s="71"/>
      <c r="J128" s="68">
        <v>0.878670689</v>
      </c>
      <c r="K128" s="71"/>
      <c r="L128" s="71"/>
      <c r="M128" s="71"/>
    </row>
    <row r="129" spans="2:13" ht="12.5" x14ac:dyDescent="0.2">
      <c r="D129" s="7" t="s">
        <v>121</v>
      </c>
      <c r="E129" s="63" t="s">
        <v>114</v>
      </c>
      <c r="F129" s="53" t="str">
        <f t="shared" si="17"/>
        <v>Percent</v>
      </c>
      <c r="G129" s="53" t="s">
        <v>67</v>
      </c>
      <c r="H129" s="53" t="str">
        <f t="shared" si="18"/>
        <v>N/A</v>
      </c>
      <c r="I129" s="71"/>
      <c r="J129" s="68">
        <v>0.03</v>
      </c>
      <c r="K129" s="71"/>
      <c r="L129" s="71"/>
      <c r="M129" s="71"/>
    </row>
    <row r="130" spans="2:13" ht="12.5" x14ac:dyDescent="0.2">
      <c r="D130" s="7" t="s">
        <v>122</v>
      </c>
      <c r="E130" s="63" t="s">
        <v>114</v>
      </c>
      <c r="F130" s="53" t="str">
        <f t="shared" si="17"/>
        <v>Percent</v>
      </c>
      <c r="G130" s="53" t="s">
        <v>67</v>
      </c>
      <c r="H130" s="53" t="str">
        <f t="shared" si="18"/>
        <v>N/A</v>
      </c>
      <c r="I130" s="71"/>
      <c r="J130" s="68">
        <v>0.01</v>
      </c>
      <c r="K130" s="71"/>
      <c r="L130" s="71"/>
      <c r="M130" s="71"/>
    </row>
    <row r="131" spans="2:13" ht="12.5" x14ac:dyDescent="0.2">
      <c r="D131" s="7" t="s">
        <v>123</v>
      </c>
      <c r="E131" s="63" t="s">
        <v>114</v>
      </c>
      <c r="F131" s="53" t="str">
        <f t="shared" si="17"/>
        <v>Percent</v>
      </c>
      <c r="G131" s="53" t="s">
        <v>67</v>
      </c>
      <c r="H131" s="53" t="str">
        <f t="shared" si="18"/>
        <v>N/A</v>
      </c>
      <c r="I131" s="71"/>
      <c r="J131" s="68">
        <v>0.3</v>
      </c>
      <c r="K131" s="71"/>
      <c r="L131" s="71"/>
      <c r="M131" s="71"/>
    </row>
    <row r="132" spans="2:13" ht="12.5" x14ac:dyDescent="0.2">
      <c r="D132" s="7" t="s">
        <v>100</v>
      </c>
      <c r="E132" s="63" t="s">
        <v>180</v>
      </c>
      <c r="F132" s="53" t="str">
        <f t="shared" si="17"/>
        <v>Percent</v>
      </c>
      <c r="G132" s="53" t="s">
        <v>67</v>
      </c>
      <c r="H132" s="53" t="str">
        <f t="shared" si="18"/>
        <v>N/A</v>
      </c>
      <c r="I132" s="71"/>
      <c r="J132" s="68">
        <v>8.2811948728585933E-4</v>
      </c>
      <c r="L132" s="71"/>
      <c r="M132" s="71"/>
    </row>
    <row r="133" spans="2:13" ht="11.25" customHeight="1" x14ac:dyDescent="0.2"/>
    <row r="134" spans="2:13" ht="11.25" customHeight="1" x14ac:dyDescent="0.2"/>
    <row r="135" spans="2:13" s="2" customFormat="1" ht="15.5" x14ac:dyDescent="0.2">
      <c r="B135" s="2" t="s">
        <v>32</v>
      </c>
    </row>
  </sheetData>
  <mergeCells count="2">
    <mergeCell ref="O20:P20"/>
    <mergeCell ref="L20:N20"/>
  </mergeCells>
  <conditionalFormatting sqref="B2">
    <cfRule type="cellIs" dxfId="5" priority="1" operator="notEqual">
      <formula>"No Errors Found"</formula>
    </cfRule>
  </conditionalFormatting>
  <dataValidations count="1">
    <dataValidation type="list" allowBlank="1" showInputMessage="1" showErrorMessage="1" sqref="K101:M101" xr:uid="{B9D7A887-79F4-4F15-906F-03DE7EE1E9FC}">
      <formula1>LU_Source</formula1>
    </dataValidation>
  </dataValidations>
  <hyperlinks>
    <hyperlink ref="B3:E3" location="TOC!A1" display="TOC!A1" xr:uid="{00000000-0004-0000-04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W97"/>
  <sheetViews>
    <sheetView showGridLines="0" zoomScaleNormal="100" workbookViewId="0">
      <pane xSplit="1" ySplit="10" topLeftCell="B11" activePane="bottomRight" state="frozen"/>
      <selection activeCell="C24" sqref="C24"/>
      <selection pane="topRight" activeCell="C24" sqref="C24"/>
      <selection pane="bottomLeft" activeCell="C24" sqref="C24"/>
      <selection pane="bottomRight" activeCell="C44" sqref="C44"/>
    </sheetView>
  </sheetViews>
  <sheetFormatPr defaultColWidth="9.33203125" defaultRowHeight="10" outlineLevelRow="1" x14ac:dyDescent="0.2"/>
  <cols>
    <col min="1" max="1" width="3.33203125" customWidth="1"/>
    <col min="2" max="3" width="2.77734375" customWidth="1"/>
    <col min="4" max="4" width="25.77734375" customWidth="1"/>
    <col min="5" max="5" width="11.77734375" customWidth="1"/>
    <col min="6" max="6" width="9.109375" customWidth="1"/>
    <col min="7" max="7" width="12" customWidth="1"/>
    <col min="8" max="8" width="10" customWidth="1"/>
    <col min="9" max="9" width="5.6640625" customWidth="1"/>
    <col min="10" max="13" width="13" customWidth="1"/>
    <col min="14" max="34" width="12.77734375" customWidth="1"/>
  </cols>
  <sheetData>
    <row r="1" spans="1:18" ht="19" x14ac:dyDescent="0.2">
      <c r="A1" s="58">
        <f>IF(SUM($A11:$A11)&gt;0,1,0)</f>
        <v>0</v>
      </c>
      <c r="B1" s="3" t="s">
        <v>146</v>
      </c>
    </row>
    <row r="2" spans="1:18" x14ac:dyDescent="0.2">
      <c r="B2" s="13" t="str">
        <f>Title_Msg</f>
        <v>No Errors Found</v>
      </c>
    </row>
    <row r="3" spans="1:18" x14ac:dyDescent="0.2">
      <c r="B3" s="46" t="str">
        <f>TOC!B1</f>
        <v>Table of Contents</v>
      </c>
      <c r="C3" s="41"/>
      <c r="D3" s="41"/>
      <c r="E3" s="41"/>
    </row>
    <row r="4" spans="1:18" ht="13" x14ac:dyDescent="0.2">
      <c r="B4" s="39" t="str">
        <f>Model_Name</f>
        <v>Rate of Return Model - Transgrid (TGD) - Waratah Super Battery</v>
      </c>
    </row>
    <row r="5" spans="1:18" ht="12.5" hidden="1" outlineLevel="1" x14ac:dyDescent="0.2">
      <c r="B5" s="10" t="str">
        <f>Lookup!B14</f>
        <v>Period Start Date</v>
      </c>
      <c r="J5" s="51">
        <f>Lookup!L14</f>
        <v>45474</v>
      </c>
      <c r="K5" s="51">
        <f>Lookup!M14</f>
        <v>45839</v>
      </c>
      <c r="L5" s="51">
        <f>Lookup!N14</f>
        <v>46204</v>
      </c>
      <c r="M5" s="51">
        <f>Lookup!O14</f>
        <v>46569</v>
      </c>
      <c r="N5" s="51">
        <f>Lookup!P14</f>
        <v>46935</v>
      </c>
    </row>
    <row r="6" spans="1:18" ht="12.5" hidden="1" outlineLevel="1" x14ac:dyDescent="0.2">
      <c r="B6" s="10" t="str">
        <f>Lookup!B15</f>
        <v>Period End Date</v>
      </c>
      <c r="J6" s="51">
        <f>Lookup!L15</f>
        <v>45838</v>
      </c>
      <c r="K6" s="51">
        <f>Lookup!M15</f>
        <v>46203</v>
      </c>
      <c r="L6" s="51">
        <f>Lookup!N15</f>
        <v>46568</v>
      </c>
      <c r="M6" s="51">
        <f>Lookup!O15</f>
        <v>46934</v>
      </c>
      <c r="N6" s="51">
        <f>Lookup!P15</f>
        <v>47299</v>
      </c>
    </row>
    <row r="7" spans="1:18" ht="12.5" hidden="1" outlineLevel="1" x14ac:dyDescent="0.2">
      <c r="B7" s="10" t="str">
        <f>Lookup!B16</f>
        <v>Period Counter</v>
      </c>
      <c r="J7" s="52">
        <f>Lookup!L16</f>
        <v>4</v>
      </c>
      <c r="K7" s="52">
        <f>Lookup!M16</f>
        <v>5</v>
      </c>
      <c r="L7" s="52">
        <f>Lookup!N16</f>
        <v>6</v>
      </c>
      <c r="M7" s="52">
        <f>Lookup!O16</f>
        <v>7</v>
      </c>
      <c r="N7" s="52">
        <f>Lookup!P16</f>
        <v>8</v>
      </c>
    </row>
    <row r="8" spans="1:18" ht="12.5" hidden="1" outlineLevel="1" x14ac:dyDescent="0.2">
      <c r="B8" s="10" t="str">
        <f>Lookup!B17</f>
        <v>Year</v>
      </c>
      <c r="J8" s="53">
        <f>Lookup!L17</f>
        <v>2025</v>
      </c>
      <c r="K8" s="53">
        <f>Lookup!M17</f>
        <v>2026</v>
      </c>
      <c r="L8" s="53">
        <f>Lookup!N17</f>
        <v>2027</v>
      </c>
      <c r="M8" s="53">
        <f>Lookup!O17</f>
        <v>2028</v>
      </c>
      <c r="N8" s="53">
        <f>Lookup!P17</f>
        <v>2029</v>
      </c>
    </row>
    <row r="9" spans="1:18" ht="12.5" hidden="1" outlineLevel="1" x14ac:dyDescent="0.2">
      <c r="B9" s="10" t="str">
        <f>Lookup!B18</f>
        <v>Period Type</v>
      </c>
      <c r="J9" s="53" t="str">
        <f>Lookup!L18</f>
        <v>Forecast</v>
      </c>
      <c r="K9" s="53" t="str">
        <f>Lookup!M18</f>
        <v>Forecast</v>
      </c>
      <c r="L9" s="53" t="str">
        <f>Lookup!N18</f>
        <v>Forecast</v>
      </c>
      <c r="M9" s="53" t="str">
        <f>Lookup!O18</f>
        <v>Forecast</v>
      </c>
      <c r="N9" s="53" t="str">
        <f>Lookup!P18</f>
        <v>Forecast</v>
      </c>
    </row>
    <row r="10" spans="1:18" ht="13" collapsed="1" x14ac:dyDescent="0.2">
      <c r="B10" s="5" t="str">
        <f>Lookup!B19</f>
        <v>Regulatory Year</v>
      </c>
      <c r="E10" s="50" t="str">
        <f>Lookup!E19</f>
        <v>Source</v>
      </c>
      <c r="F10" s="50" t="str">
        <f>Lookup!F19</f>
        <v>Unit</v>
      </c>
      <c r="G10" s="50" t="str">
        <f>Lookup!G19</f>
        <v>Basis</v>
      </c>
      <c r="H10" s="50" t="str">
        <f>Lookup!H19</f>
        <v>Timing</v>
      </c>
      <c r="I10" s="50"/>
      <c r="J10" s="50" t="str">
        <f>Lookup!L19</f>
        <v>FY25</v>
      </c>
      <c r="K10" s="50" t="str">
        <f>Lookup!M19</f>
        <v>FY26</v>
      </c>
      <c r="L10" s="50" t="str">
        <f>Lookup!N19</f>
        <v>FY27</v>
      </c>
      <c r="M10" s="50" t="str">
        <f>Lookup!O19</f>
        <v>FY28</v>
      </c>
      <c r="N10" s="50" t="str">
        <f>Lookup!P19</f>
        <v>FY29</v>
      </c>
    </row>
    <row r="12" spans="1:18" s="2" customFormat="1" ht="15.5" x14ac:dyDescent="0.2">
      <c r="B12" s="2" t="s">
        <v>134</v>
      </c>
    </row>
    <row r="13" spans="1:18" ht="4.5" customHeight="1" x14ac:dyDescent="0.2"/>
    <row r="14" spans="1:18" s="8" customFormat="1" ht="14" x14ac:dyDescent="0.2">
      <c r="C14" s="8" t="str">
        <f>Input_Data!D30</f>
        <v>2022-23 Risk-Free Rate</v>
      </c>
    </row>
    <row r="15" spans="1:18" ht="11.25" customHeight="1" x14ac:dyDescent="0.2"/>
    <row r="16" spans="1:18" s="72" customFormat="1" ht="13" x14ac:dyDescent="0.2">
      <c r="C16"/>
      <c r="D16" s="71"/>
      <c r="E16" s="71"/>
      <c r="F16" s="71"/>
      <c r="G16" s="71"/>
      <c r="H16" s="71"/>
      <c r="I16"/>
      <c r="J16" s="111" t="str">
        <f>Input_Data!J34</f>
        <v>TB163</v>
      </c>
      <c r="K16" s="111"/>
      <c r="L16"/>
      <c r="M16" s="111" t="str">
        <f>Input_Data!L34</f>
        <v>TB158</v>
      </c>
      <c r="N16" s="111"/>
      <c r="P16" s="111" t="s">
        <v>135</v>
      </c>
      <c r="Q16" s="111"/>
      <c r="R16" s="111"/>
    </row>
    <row r="17" spans="2:18" s="72" customFormat="1" ht="13" x14ac:dyDescent="0.2">
      <c r="C17"/>
      <c r="D17" s="61" t="s">
        <v>108</v>
      </c>
      <c r="E17" s="54" t="str">
        <f>Lookup!E$19</f>
        <v>Source</v>
      </c>
      <c r="F17" s="54" t="str">
        <f>Lookup!F$19</f>
        <v>Unit</v>
      </c>
      <c r="G17" s="54" t="str">
        <f>Lookup!G$19</f>
        <v>Basis</v>
      </c>
      <c r="H17" s="54" t="str">
        <f>Lookup!H$19</f>
        <v>Timing</v>
      </c>
      <c r="I17"/>
      <c r="J17" s="54" t="s">
        <v>107</v>
      </c>
      <c r="K17" s="54" t="s">
        <v>109</v>
      </c>
      <c r="L17"/>
      <c r="M17" s="54" t="s">
        <v>107</v>
      </c>
      <c r="N17" s="54" t="s">
        <v>109</v>
      </c>
      <c r="P17" s="54" t="s">
        <v>107</v>
      </c>
      <c r="Q17" s="54" t="s">
        <v>136</v>
      </c>
      <c r="R17" s="54" t="s">
        <v>137</v>
      </c>
    </row>
    <row r="18" spans="2:18" s="72" customFormat="1" x14ac:dyDescent="0.2">
      <c r="C18"/>
      <c r="D18" s="71"/>
      <c r="E18" s="71"/>
      <c r="F18" s="71"/>
      <c r="G18" s="71"/>
      <c r="H18" s="71"/>
      <c r="I18"/>
      <c r="J18" s="78"/>
      <c r="K18" s="78"/>
      <c r="L18"/>
      <c r="M18" s="78"/>
      <c r="N18" s="78"/>
      <c r="Q18" s="78"/>
      <c r="R18" s="78"/>
    </row>
    <row r="19" spans="2:18" s="72" customFormat="1" ht="12.5" x14ac:dyDescent="0.25">
      <c r="B19" s="70"/>
      <c r="C19"/>
      <c r="D19" s="74">
        <f>Input_Data!D40</f>
        <v>44602</v>
      </c>
      <c r="E19" s="63" t="s">
        <v>88</v>
      </c>
      <c r="F19" s="53" t="str">
        <f t="shared" ref="F19:F38" si="0">Percent</f>
        <v>Percent</v>
      </c>
      <c r="G19" s="53" t="s">
        <v>67</v>
      </c>
      <c r="H19" s="53" t="str">
        <f t="shared" ref="H19:H40" si="1">NA</f>
        <v>N/A</v>
      </c>
      <c r="I19" s="71"/>
      <c r="J19" s="80">
        <f>Input_Data!J35</f>
        <v>48173</v>
      </c>
      <c r="K19" s="79">
        <f>Input_Data!J40</f>
        <v>2.0899999999999998E-2</v>
      </c>
      <c r="L19" s="71"/>
      <c r="M19" s="80">
        <f>Input_Data!L35</f>
        <v>48355</v>
      </c>
      <c r="N19" s="79">
        <f>Input_Data!L40</f>
        <v>2.1049999999999999E-2</v>
      </c>
      <c r="P19" s="80">
        <f t="shared" ref="P19:P38" si="2">(DATE(YEAR(D19)+10,MONTH(D19),DAY(D19)))</f>
        <v>48254</v>
      </c>
      <c r="Q19" s="79">
        <f t="shared" ref="Q19:Q38" si="3">(P19-J19)/(M19-J19)*N19+(1-(P19-J19)/(M19-J19))*K19</f>
        <v>2.096675824175824E-2</v>
      </c>
      <c r="R19" s="79">
        <f t="shared" ref="R19:R38" si="4">(1+Q19/2)^2-1</f>
        <v>2.1076659479550397E-2</v>
      </c>
    </row>
    <row r="20" spans="2:18" s="72" customFormat="1" ht="12.5" x14ac:dyDescent="0.25">
      <c r="B20" s="70"/>
      <c r="C20"/>
      <c r="D20" s="74">
        <f>Input_Data!D41</f>
        <v>44603</v>
      </c>
      <c r="E20" s="63" t="s">
        <v>88</v>
      </c>
      <c r="F20" s="53" t="str">
        <f t="shared" si="0"/>
        <v>Percent</v>
      </c>
      <c r="G20" s="53" t="s">
        <v>67</v>
      </c>
      <c r="H20" s="53" t="str">
        <f t="shared" si="1"/>
        <v>N/A</v>
      </c>
      <c r="I20" s="71"/>
      <c r="J20" s="80">
        <f t="shared" ref="J20:J38" si="5">J19</f>
        <v>48173</v>
      </c>
      <c r="K20" s="79">
        <f>Input_Data!J41</f>
        <v>2.1949999999999997E-2</v>
      </c>
      <c r="L20" s="71"/>
      <c r="M20" s="80">
        <f t="shared" ref="M20:M38" si="6">M19</f>
        <v>48355</v>
      </c>
      <c r="N20" s="79">
        <f>Input_Data!L41</f>
        <v>2.2099999999999998E-2</v>
      </c>
      <c r="P20" s="80">
        <f t="shared" si="2"/>
        <v>48255</v>
      </c>
      <c r="Q20" s="79">
        <f t="shared" si="3"/>
        <v>2.2017582417582417E-2</v>
      </c>
      <c r="R20" s="79">
        <f t="shared" si="4"/>
        <v>2.2138775901461294E-2</v>
      </c>
    </row>
    <row r="21" spans="2:18" s="72" customFormat="1" ht="12.5" x14ac:dyDescent="0.25">
      <c r="B21" s="70"/>
      <c r="C21"/>
      <c r="D21" s="74">
        <f>Input_Data!D42</f>
        <v>44606</v>
      </c>
      <c r="E21" s="63" t="s">
        <v>88</v>
      </c>
      <c r="F21" s="53" t="str">
        <f t="shared" si="0"/>
        <v>Percent</v>
      </c>
      <c r="G21" s="53" t="s">
        <v>67</v>
      </c>
      <c r="H21" s="53" t="str">
        <f t="shared" si="1"/>
        <v>N/A</v>
      </c>
      <c r="I21" s="71"/>
      <c r="J21" s="80">
        <f t="shared" si="5"/>
        <v>48173</v>
      </c>
      <c r="K21" s="79">
        <f>Input_Data!J42</f>
        <v>2.1250000000000002E-2</v>
      </c>
      <c r="L21" s="71"/>
      <c r="M21" s="80">
        <f t="shared" si="6"/>
        <v>48355</v>
      </c>
      <c r="N21" s="79">
        <f>Input_Data!L42</f>
        <v>2.1349999999999997E-2</v>
      </c>
      <c r="P21" s="80">
        <f t="shared" si="2"/>
        <v>48258</v>
      </c>
      <c r="Q21" s="79">
        <f t="shared" si="3"/>
        <v>2.1296703296703294E-2</v>
      </c>
      <c r="R21" s="79">
        <f t="shared" si="4"/>
        <v>2.1410090689530037E-2</v>
      </c>
    </row>
    <row r="22" spans="2:18" s="72" customFormat="1" ht="12.5" x14ac:dyDescent="0.25">
      <c r="B22" s="70"/>
      <c r="C22"/>
      <c r="D22" s="74">
        <f>Input_Data!D43</f>
        <v>44607</v>
      </c>
      <c r="E22" s="63" t="s">
        <v>88</v>
      </c>
      <c r="F22" s="53" t="str">
        <f t="shared" si="0"/>
        <v>Percent</v>
      </c>
      <c r="G22" s="53" t="s">
        <v>67</v>
      </c>
      <c r="H22" s="53" t="str">
        <f t="shared" si="1"/>
        <v>N/A</v>
      </c>
      <c r="I22" s="71"/>
      <c r="J22" s="80">
        <f t="shared" si="5"/>
        <v>48173</v>
      </c>
      <c r="K22" s="79">
        <f>Input_Data!J43</f>
        <v>2.1749999999999999E-2</v>
      </c>
      <c r="L22" s="71"/>
      <c r="M22" s="80">
        <f t="shared" si="6"/>
        <v>48355</v>
      </c>
      <c r="N22" s="79">
        <f>Input_Data!L43</f>
        <v>2.1850000000000001E-2</v>
      </c>
      <c r="P22" s="80">
        <f t="shared" si="2"/>
        <v>48259</v>
      </c>
      <c r="Q22" s="79">
        <f t="shared" si="3"/>
        <v>2.1797252747252749E-2</v>
      </c>
      <c r="R22" s="79">
        <f t="shared" si="4"/>
        <v>2.1916032804084606E-2</v>
      </c>
    </row>
    <row r="23" spans="2:18" s="72" customFormat="1" ht="12.5" x14ac:dyDescent="0.25">
      <c r="B23" s="70"/>
      <c r="C23"/>
      <c r="D23" s="74">
        <f>Input_Data!D44</f>
        <v>44608</v>
      </c>
      <c r="E23" s="63" t="s">
        <v>88</v>
      </c>
      <c r="F23" s="53" t="str">
        <f t="shared" si="0"/>
        <v>Percent</v>
      </c>
      <c r="G23" s="53" t="s">
        <v>67</v>
      </c>
      <c r="H23" s="53" t="str">
        <f t="shared" si="1"/>
        <v>N/A</v>
      </c>
      <c r="I23" s="71"/>
      <c r="J23" s="80">
        <f t="shared" si="5"/>
        <v>48173</v>
      </c>
      <c r="K23" s="79">
        <f>Input_Data!J44</f>
        <v>2.2200000000000001E-2</v>
      </c>
      <c r="L23" s="71"/>
      <c r="M23" s="80">
        <f t="shared" si="6"/>
        <v>48355</v>
      </c>
      <c r="N23" s="79">
        <f>Input_Data!L44</f>
        <v>2.23E-2</v>
      </c>
      <c r="P23" s="80">
        <f t="shared" si="2"/>
        <v>48260</v>
      </c>
      <c r="Q23" s="79">
        <f t="shared" si="3"/>
        <v>2.2247802197802195E-2</v>
      </c>
      <c r="R23" s="79">
        <f t="shared" si="4"/>
        <v>2.2371543373460145E-2</v>
      </c>
    </row>
    <row r="24" spans="2:18" s="72" customFormat="1" ht="12.5" x14ac:dyDescent="0.25">
      <c r="B24" s="70"/>
      <c r="C24"/>
      <c r="D24" s="74">
        <f>Input_Data!D45</f>
        <v>44609</v>
      </c>
      <c r="E24" s="63" t="s">
        <v>88</v>
      </c>
      <c r="F24" s="53" t="str">
        <f t="shared" si="0"/>
        <v>Percent</v>
      </c>
      <c r="G24" s="53" t="s">
        <v>67</v>
      </c>
      <c r="H24" s="53" t="str">
        <f t="shared" si="1"/>
        <v>N/A</v>
      </c>
      <c r="I24" s="71"/>
      <c r="J24" s="80">
        <f t="shared" si="5"/>
        <v>48173</v>
      </c>
      <c r="K24" s="79">
        <f>Input_Data!J45</f>
        <v>2.1949999999999997E-2</v>
      </c>
      <c r="L24" s="71"/>
      <c r="M24" s="80">
        <f t="shared" si="6"/>
        <v>48355</v>
      </c>
      <c r="N24" s="79">
        <f>Input_Data!L45</f>
        <v>2.2099999999999998E-2</v>
      </c>
      <c r="P24" s="80">
        <f t="shared" si="2"/>
        <v>48261</v>
      </c>
      <c r="Q24" s="79">
        <f t="shared" si="3"/>
        <v>2.2022527472527469E-2</v>
      </c>
      <c r="R24" s="79">
        <f t="shared" si="4"/>
        <v>2.2143775401597177E-2</v>
      </c>
    </row>
    <row r="25" spans="2:18" s="72" customFormat="1" ht="12.5" x14ac:dyDescent="0.25">
      <c r="B25" s="70"/>
      <c r="C25"/>
      <c r="D25" s="74">
        <f>Input_Data!D46</f>
        <v>44610</v>
      </c>
      <c r="E25" s="63" t="s">
        <v>88</v>
      </c>
      <c r="F25" s="53" t="str">
        <f t="shared" si="0"/>
        <v>Percent</v>
      </c>
      <c r="G25" s="53" t="s">
        <v>67</v>
      </c>
      <c r="H25" s="53" t="str">
        <f t="shared" si="1"/>
        <v>N/A</v>
      </c>
      <c r="I25" s="71"/>
      <c r="J25" s="80">
        <f t="shared" si="5"/>
        <v>48173</v>
      </c>
      <c r="K25" s="79">
        <f>Input_Data!J46</f>
        <v>2.2349999999999998E-2</v>
      </c>
      <c r="L25" s="71"/>
      <c r="M25" s="80">
        <f t="shared" si="6"/>
        <v>48355</v>
      </c>
      <c r="N25" s="79">
        <f>Input_Data!L46</f>
        <v>2.2499999999999999E-2</v>
      </c>
      <c r="P25" s="80">
        <f t="shared" si="2"/>
        <v>48262</v>
      </c>
      <c r="Q25" s="79">
        <f t="shared" si="3"/>
        <v>2.2423351648351644E-2</v>
      </c>
      <c r="R25" s="79">
        <f t="shared" si="4"/>
        <v>2.2549053323138057E-2</v>
      </c>
    </row>
    <row r="26" spans="2:18" s="72" customFormat="1" ht="12.5" x14ac:dyDescent="0.25">
      <c r="B26" s="70"/>
      <c r="C26"/>
      <c r="D26" s="74">
        <f>Input_Data!D47</f>
        <v>44613</v>
      </c>
      <c r="E26" s="63" t="s">
        <v>88</v>
      </c>
      <c r="F26" s="53" t="str">
        <f t="shared" si="0"/>
        <v>Percent</v>
      </c>
      <c r="G26" s="53" t="s">
        <v>67</v>
      </c>
      <c r="H26" s="53" t="str">
        <f t="shared" si="1"/>
        <v>N/A</v>
      </c>
      <c r="I26" s="71"/>
      <c r="J26" s="80">
        <f t="shared" si="5"/>
        <v>48173</v>
      </c>
      <c r="K26" s="79">
        <f>Input_Data!J47</f>
        <v>2.2099999999999998E-2</v>
      </c>
      <c r="L26" s="71"/>
      <c r="M26" s="80">
        <f t="shared" si="6"/>
        <v>48355</v>
      </c>
      <c r="N26" s="79">
        <f>Input_Data!L47</f>
        <v>2.2200000000000001E-2</v>
      </c>
      <c r="P26" s="80">
        <f t="shared" si="2"/>
        <v>48265</v>
      </c>
      <c r="Q26" s="79">
        <f t="shared" si="3"/>
        <v>2.215054945054945E-2</v>
      </c>
      <c r="R26" s="79">
        <f t="shared" si="4"/>
        <v>2.227321116078973E-2</v>
      </c>
    </row>
    <row r="27" spans="2:18" s="72" customFormat="1" ht="12.5" x14ac:dyDescent="0.25">
      <c r="B27" s="70"/>
      <c r="C27"/>
      <c r="D27" s="74">
        <f>Input_Data!D48</f>
        <v>44614</v>
      </c>
      <c r="E27" s="63" t="s">
        <v>88</v>
      </c>
      <c r="F27" s="53" t="str">
        <f t="shared" si="0"/>
        <v>Percent</v>
      </c>
      <c r="G27" s="53" t="s">
        <v>67</v>
      </c>
      <c r="H27" s="53" t="str">
        <f t="shared" si="1"/>
        <v>N/A</v>
      </c>
      <c r="I27" s="71"/>
      <c r="J27" s="80">
        <f t="shared" si="5"/>
        <v>48173</v>
      </c>
      <c r="K27" s="79">
        <f>Input_Data!J48</f>
        <v>2.1850000000000001E-2</v>
      </c>
      <c r="L27" s="71"/>
      <c r="M27" s="80">
        <f t="shared" si="6"/>
        <v>48355</v>
      </c>
      <c r="N27" s="79">
        <f>Input_Data!L48</f>
        <v>2.2000000000000002E-2</v>
      </c>
      <c r="P27" s="80">
        <f t="shared" si="2"/>
        <v>48266</v>
      </c>
      <c r="Q27" s="79">
        <f t="shared" si="3"/>
        <v>2.1926648351648353E-2</v>
      </c>
      <c r="R27" s="79">
        <f t="shared" si="4"/>
        <v>2.2046842828632673E-2</v>
      </c>
    </row>
    <row r="28" spans="2:18" s="72" customFormat="1" ht="12.5" x14ac:dyDescent="0.25">
      <c r="B28" s="70"/>
      <c r="C28"/>
      <c r="D28" s="74">
        <f>Input_Data!D49</f>
        <v>44615</v>
      </c>
      <c r="E28" s="63" t="s">
        <v>88</v>
      </c>
      <c r="F28" s="53" t="str">
        <f t="shared" si="0"/>
        <v>Percent</v>
      </c>
      <c r="G28" s="53" t="s">
        <v>67</v>
      </c>
      <c r="H28" s="53" t="str">
        <f t="shared" si="1"/>
        <v>N/A</v>
      </c>
      <c r="I28" s="71"/>
      <c r="J28" s="80">
        <f t="shared" si="5"/>
        <v>48173</v>
      </c>
      <c r="K28" s="79">
        <f>Input_Data!J49</f>
        <v>2.2599999999999999E-2</v>
      </c>
      <c r="L28" s="71"/>
      <c r="M28" s="80">
        <f t="shared" si="6"/>
        <v>48355</v>
      </c>
      <c r="N28" s="79">
        <f>Input_Data!L49</f>
        <v>2.2700000000000001E-2</v>
      </c>
      <c r="P28" s="80">
        <f t="shared" si="2"/>
        <v>48267</v>
      </c>
      <c r="Q28" s="79">
        <f t="shared" si="3"/>
        <v>2.2651648351648353E-2</v>
      </c>
      <c r="R28" s="79">
        <f t="shared" si="4"/>
        <v>2.2779922644910355E-2</v>
      </c>
    </row>
    <row r="29" spans="2:18" s="72" customFormat="1" ht="12.5" x14ac:dyDescent="0.25">
      <c r="B29" s="70"/>
      <c r="C29"/>
      <c r="D29" s="74">
        <f>Input_Data!D50</f>
        <v>44616</v>
      </c>
      <c r="E29" s="63" t="s">
        <v>88</v>
      </c>
      <c r="F29" s="53" t="str">
        <f t="shared" si="0"/>
        <v>Percent</v>
      </c>
      <c r="G29" s="53" t="s">
        <v>67</v>
      </c>
      <c r="H29" s="53" t="str">
        <f t="shared" si="1"/>
        <v>N/A</v>
      </c>
      <c r="I29" s="71"/>
      <c r="J29" s="80">
        <f t="shared" si="5"/>
        <v>48173</v>
      </c>
      <c r="K29" s="79">
        <f>Input_Data!J50</f>
        <v>2.145E-2</v>
      </c>
      <c r="L29" s="71"/>
      <c r="M29" s="80">
        <f t="shared" si="6"/>
        <v>48355</v>
      </c>
      <c r="N29" s="79">
        <f>Input_Data!L50</f>
        <v>2.155E-2</v>
      </c>
      <c r="P29" s="80">
        <f t="shared" si="2"/>
        <v>48268</v>
      </c>
      <c r="Q29" s="79">
        <f t="shared" si="3"/>
        <v>2.1502197802197802E-2</v>
      </c>
      <c r="R29" s="79">
        <f t="shared" si="4"/>
        <v>2.1617783929778867E-2</v>
      </c>
    </row>
    <row r="30" spans="2:18" s="72" customFormat="1" ht="12.5" x14ac:dyDescent="0.25">
      <c r="B30" s="70"/>
      <c r="C30"/>
      <c r="D30" s="74">
        <f>Input_Data!D51</f>
        <v>44617</v>
      </c>
      <c r="E30" s="63" t="s">
        <v>88</v>
      </c>
      <c r="F30" s="53" t="str">
        <f t="shared" si="0"/>
        <v>Percent</v>
      </c>
      <c r="G30" s="53" t="s">
        <v>67</v>
      </c>
      <c r="H30" s="53" t="str">
        <f t="shared" si="1"/>
        <v>N/A</v>
      </c>
      <c r="I30" s="71"/>
      <c r="J30" s="80">
        <f t="shared" si="5"/>
        <v>48173</v>
      </c>
      <c r="K30" s="79">
        <f>Input_Data!J51</f>
        <v>2.2200000000000001E-2</v>
      </c>
      <c r="L30" s="71"/>
      <c r="M30" s="80">
        <f t="shared" si="6"/>
        <v>48355</v>
      </c>
      <c r="N30" s="79">
        <f>Input_Data!L51</f>
        <v>2.23E-2</v>
      </c>
      <c r="P30" s="80">
        <f t="shared" si="2"/>
        <v>48269</v>
      </c>
      <c r="Q30" s="79">
        <f t="shared" si="3"/>
        <v>2.2252747252747253E-2</v>
      </c>
      <c r="R30" s="79">
        <f t="shared" si="4"/>
        <v>2.2376543442820918E-2</v>
      </c>
    </row>
    <row r="31" spans="2:18" s="72" customFormat="1" ht="12.5" x14ac:dyDescent="0.25">
      <c r="B31" s="70"/>
      <c r="C31"/>
      <c r="D31" s="74">
        <f>Input_Data!D52</f>
        <v>44620</v>
      </c>
      <c r="E31" s="63" t="s">
        <v>88</v>
      </c>
      <c r="F31" s="53" t="str">
        <f t="shared" si="0"/>
        <v>Percent</v>
      </c>
      <c r="G31" s="53" t="s">
        <v>67</v>
      </c>
      <c r="H31" s="53" t="str">
        <f t="shared" si="1"/>
        <v>N/A</v>
      </c>
      <c r="I31" s="71"/>
      <c r="J31" s="80">
        <f t="shared" si="5"/>
        <v>48173</v>
      </c>
      <c r="K31" s="79">
        <f>Input_Data!J52</f>
        <v>2.1250000000000002E-2</v>
      </c>
      <c r="L31" s="71"/>
      <c r="M31" s="80">
        <f t="shared" si="6"/>
        <v>48355</v>
      </c>
      <c r="N31" s="79">
        <f>Input_Data!L52</f>
        <v>2.1349999999999997E-2</v>
      </c>
      <c r="P31" s="80">
        <f t="shared" si="2"/>
        <v>48272</v>
      </c>
      <c r="Q31" s="79">
        <f t="shared" si="3"/>
        <v>2.1304395604395603E-2</v>
      </c>
      <c r="R31" s="79">
        <f t="shared" si="4"/>
        <v>2.1417864922412821E-2</v>
      </c>
    </row>
    <row r="32" spans="2:18" s="72" customFormat="1" ht="12.5" x14ac:dyDescent="0.25">
      <c r="B32" s="70"/>
      <c r="C32"/>
      <c r="D32" s="74">
        <f>Input_Data!D53</f>
        <v>44621</v>
      </c>
      <c r="E32" s="63" t="s">
        <v>88</v>
      </c>
      <c r="F32" s="53" t="str">
        <f t="shared" si="0"/>
        <v>Percent</v>
      </c>
      <c r="G32" s="53" t="s">
        <v>67</v>
      </c>
      <c r="H32" s="53" t="str">
        <f t="shared" si="1"/>
        <v>N/A</v>
      </c>
      <c r="I32" s="71"/>
      <c r="J32" s="80">
        <f t="shared" si="5"/>
        <v>48173</v>
      </c>
      <c r="K32" s="79">
        <f>Input_Data!J53</f>
        <v>2.1749999999999999E-2</v>
      </c>
      <c r="L32" s="71"/>
      <c r="M32" s="80">
        <f t="shared" si="6"/>
        <v>48355</v>
      </c>
      <c r="N32" s="79">
        <f>Input_Data!L53</f>
        <v>2.1899999999999999E-2</v>
      </c>
      <c r="P32" s="80">
        <f t="shared" si="2"/>
        <v>48274</v>
      </c>
      <c r="Q32" s="79">
        <f t="shared" si="3"/>
        <v>2.1833241758241757E-2</v>
      </c>
      <c r="R32" s="79">
        <f t="shared" si="4"/>
        <v>2.1952414369660334E-2</v>
      </c>
    </row>
    <row r="33" spans="2:23" s="72" customFormat="1" ht="12.5" x14ac:dyDescent="0.25">
      <c r="B33" s="70"/>
      <c r="C33"/>
      <c r="D33" s="74">
        <f>Input_Data!D54</f>
        <v>44622</v>
      </c>
      <c r="E33" s="63" t="s">
        <v>88</v>
      </c>
      <c r="F33" s="53" t="str">
        <f t="shared" si="0"/>
        <v>Percent</v>
      </c>
      <c r="G33" s="53" t="s">
        <v>67</v>
      </c>
      <c r="H33" s="53" t="str">
        <f t="shared" si="1"/>
        <v>N/A</v>
      </c>
      <c r="I33" s="71"/>
      <c r="J33" s="80">
        <f t="shared" si="5"/>
        <v>48173</v>
      </c>
      <c r="K33" s="79">
        <f>Input_Data!J54</f>
        <v>2.06E-2</v>
      </c>
      <c r="L33" s="71"/>
      <c r="M33" s="80">
        <f t="shared" si="6"/>
        <v>48355</v>
      </c>
      <c r="N33" s="79">
        <f>Input_Data!L54</f>
        <v>2.0750000000000001E-2</v>
      </c>
      <c r="P33" s="80">
        <f t="shared" si="2"/>
        <v>48275</v>
      </c>
      <c r="Q33" s="79">
        <f t="shared" si="3"/>
        <v>2.0684065934065937E-2</v>
      </c>
      <c r="R33" s="79">
        <f t="shared" si="4"/>
        <v>2.0791023579957102E-2</v>
      </c>
    </row>
    <row r="34" spans="2:23" s="72" customFormat="1" ht="12.5" x14ac:dyDescent="0.25">
      <c r="B34" s="70"/>
      <c r="C34"/>
      <c r="D34" s="74">
        <f>Input_Data!D55</f>
        <v>44623</v>
      </c>
      <c r="E34" s="63" t="s">
        <v>88</v>
      </c>
      <c r="F34" s="53" t="str">
        <f t="shared" si="0"/>
        <v>Percent</v>
      </c>
      <c r="G34" s="53" t="s">
        <v>67</v>
      </c>
      <c r="H34" s="53" t="str">
        <f t="shared" si="1"/>
        <v>N/A</v>
      </c>
      <c r="I34" s="71"/>
      <c r="J34" s="80">
        <f t="shared" si="5"/>
        <v>48173</v>
      </c>
      <c r="K34" s="79">
        <f>Input_Data!J55</f>
        <v>2.1499999999999998E-2</v>
      </c>
      <c r="L34" s="71"/>
      <c r="M34" s="80">
        <f t="shared" si="6"/>
        <v>48355</v>
      </c>
      <c r="N34" s="79">
        <f>Input_Data!L55</f>
        <v>2.1649999999999999E-2</v>
      </c>
      <c r="P34" s="80">
        <f t="shared" si="2"/>
        <v>48276</v>
      </c>
      <c r="Q34" s="79">
        <f t="shared" si="3"/>
        <v>2.1584890109890106E-2</v>
      </c>
      <c r="R34" s="79">
        <f t="shared" si="4"/>
        <v>2.1701366980154013E-2</v>
      </c>
    </row>
    <row r="35" spans="2:23" s="72" customFormat="1" ht="12.5" x14ac:dyDescent="0.25">
      <c r="B35" s="70"/>
      <c r="C35"/>
      <c r="D35" s="74">
        <f>Input_Data!D56</f>
        <v>44624</v>
      </c>
      <c r="E35" s="63" t="s">
        <v>88</v>
      </c>
      <c r="F35" s="53" t="str">
        <f t="shared" si="0"/>
        <v>Percent</v>
      </c>
      <c r="G35" s="53" t="s">
        <v>67</v>
      </c>
      <c r="H35" s="53" t="str">
        <f t="shared" si="1"/>
        <v>N/A</v>
      </c>
      <c r="I35" s="71"/>
      <c r="J35" s="80">
        <f t="shared" si="5"/>
        <v>48173</v>
      </c>
      <c r="K35" s="79">
        <f>Input_Data!J56</f>
        <v>2.1349999999999997E-2</v>
      </c>
      <c r="L35" s="71"/>
      <c r="M35" s="80">
        <f t="shared" si="6"/>
        <v>48355</v>
      </c>
      <c r="N35" s="79">
        <f>Input_Data!L56</f>
        <v>2.1499999999999998E-2</v>
      </c>
      <c r="P35" s="80">
        <f t="shared" si="2"/>
        <v>48277</v>
      </c>
      <c r="Q35" s="79">
        <f t="shared" si="3"/>
        <v>2.1435714285714284E-2</v>
      </c>
      <c r="R35" s="79">
        <f t="shared" si="4"/>
        <v>2.1550586747449252E-2</v>
      </c>
    </row>
    <row r="36" spans="2:23" s="72" customFormat="1" ht="12.5" x14ac:dyDescent="0.25">
      <c r="B36" s="70"/>
      <c r="C36"/>
      <c r="D36" s="74">
        <f>Input_Data!D57</f>
        <v>44627</v>
      </c>
      <c r="E36" s="63" t="s">
        <v>88</v>
      </c>
      <c r="F36" s="53" t="str">
        <f t="shared" si="0"/>
        <v>Percent</v>
      </c>
      <c r="G36" s="53" t="s">
        <v>67</v>
      </c>
      <c r="H36" s="53" t="str">
        <f t="shared" si="1"/>
        <v>N/A</v>
      </c>
      <c r="I36" s="71"/>
      <c r="J36" s="80">
        <f t="shared" si="5"/>
        <v>48173</v>
      </c>
      <c r="K36" s="79">
        <f>Input_Data!J57</f>
        <v>2.12E-2</v>
      </c>
      <c r="L36" s="71"/>
      <c r="M36" s="80">
        <f t="shared" si="6"/>
        <v>48355</v>
      </c>
      <c r="N36" s="79">
        <f>Input_Data!L57</f>
        <v>2.1349999999999997E-2</v>
      </c>
      <c r="P36" s="80">
        <f t="shared" si="2"/>
        <v>48280</v>
      </c>
      <c r="Q36" s="79">
        <f t="shared" si="3"/>
        <v>2.128818681318681E-2</v>
      </c>
      <c r="R36" s="79">
        <f t="shared" si="4"/>
        <v>2.1401483537635269E-2</v>
      </c>
    </row>
    <row r="37" spans="2:23" s="72" customFormat="1" ht="12.5" x14ac:dyDescent="0.25">
      <c r="B37" s="70"/>
      <c r="C37"/>
      <c r="D37" s="74">
        <f>Input_Data!D58</f>
        <v>44628</v>
      </c>
      <c r="E37" s="63" t="s">
        <v>88</v>
      </c>
      <c r="F37" s="53" t="str">
        <f t="shared" si="0"/>
        <v>Percent</v>
      </c>
      <c r="G37" s="53" t="s">
        <v>67</v>
      </c>
      <c r="H37" s="53" t="str">
        <f t="shared" si="1"/>
        <v>N/A</v>
      </c>
      <c r="I37" s="71"/>
      <c r="J37" s="80">
        <f t="shared" si="5"/>
        <v>48173</v>
      </c>
      <c r="K37" s="79">
        <f>Input_Data!J58</f>
        <v>2.2200000000000001E-2</v>
      </c>
      <c r="L37" s="71"/>
      <c r="M37" s="80">
        <f t="shared" si="6"/>
        <v>48355</v>
      </c>
      <c r="N37" s="79">
        <f>Input_Data!L58</f>
        <v>2.2349999999999998E-2</v>
      </c>
      <c r="P37" s="80">
        <f t="shared" si="2"/>
        <v>48281</v>
      </c>
      <c r="Q37" s="79">
        <f t="shared" si="3"/>
        <v>2.2289010989010989E-2</v>
      </c>
      <c r="R37" s="79">
        <f t="shared" si="4"/>
        <v>2.2413210991727883E-2</v>
      </c>
    </row>
    <row r="38" spans="2:23" s="72" customFormat="1" ht="12.5" x14ac:dyDescent="0.25">
      <c r="B38" s="70"/>
      <c r="C38"/>
      <c r="D38" s="74">
        <f>Input_Data!D59</f>
        <v>44629</v>
      </c>
      <c r="E38" s="63" t="s">
        <v>88</v>
      </c>
      <c r="F38" s="53" t="str">
        <f t="shared" si="0"/>
        <v>Percent</v>
      </c>
      <c r="G38" s="53" t="s">
        <v>67</v>
      </c>
      <c r="H38" s="53" t="str">
        <f t="shared" si="1"/>
        <v>N/A</v>
      </c>
      <c r="I38" s="71"/>
      <c r="J38" s="80">
        <f t="shared" si="5"/>
        <v>48173</v>
      </c>
      <c r="K38" s="79">
        <f>Input_Data!J59</f>
        <v>2.3E-2</v>
      </c>
      <c r="L38" s="71"/>
      <c r="M38" s="80">
        <f t="shared" si="6"/>
        <v>48355</v>
      </c>
      <c r="N38" s="79">
        <f>Input_Data!L59</f>
        <v>2.315E-2</v>
      </c>
      <c r="P38" s="80">
        <f t="shared" si="2"/>
        <v>48282</v>
      </c>
      <c r="Q38" s="79">
        <f t="shared" si="3"/>
        <v>2.3089835164835166E-2</v>
      </c>
      <c r="R38" s="79">
        <f t="shared" si="4"/>
        <v>2.3223120286820054E-2</v>
      </c>
    </row>
    <row r="39" spans="2:23" ht="12.5" x14ac:dyDescent="0.2">
      <c r="D39" s="10"/>
      <c r="E39" s="63"/>
      <c r="F39" s="63"/>
      <c r="G39" s="63"/>
      <c r="H39" s="63"/>
      <c r="I39" s="63"/>
      <c r="J39" s="63"/>
      <c r="K39" s="63"/>
      <c r="L39" s="63"/>
      <c r="M39" s="63"/>
      <c r="P39" s="69"/>
      <c r="Q39" s="55"/>
      <c r="R39" s="55"/>
    </row>
    <row r="40" spans="2:23" ht="13" x14ac:dyDescent="0.2">
      <c r="D40" s="62" t="s">
        <v>138</v>
      </c>
      <c r="E40" s="56" t="s">
        <v>88</v>
      </c>
      <c r="F40" s="56" t="str">
        <f>Percent</f>
        <v>Percent</v>
      </c>
      <c r="G40" s="56" t="s">
        <v>67</v>
      </c>
      <c r="H40" s="56" t="str">
        <f t="shared" si="1"/>
        <v>N/A</v>
      </c>
      <c r="N40" s="69"/>
      <c r="O40" s="69"/>
      <c r="P40" s="69"/>
      <c r="Q40" s="55"/>
      <c r="R40" s="81">
        <f>AVERAGE(R19:R38)</f>
        <v>2.1957565319778549E-2</v>
      </c>
    </row>
    <row r="41" spans="2:23" ht="12.5" x14ac:dyDescent="0.2">
      <c r="D41" s="10"/>
      <c r="E41" s="63"/>
      <c r="F41" s="63"/>
      <c r="G41" s="63"/>
      <c r="H41" s="63"/>
      <c r="I41" s="63"/>
      <c r="J41" s="63"/>
      <c r="K41" s="63"/>
      <c r="L41" s="63"/>
      <c r="M41" s="63"/>
      <c r="N41" s="69"/>
      <c r="O41" s="69"/>
      <c r="P41" s="69"/>
      <c r="Q41" s="69"/>
      <c r="R41" s="69"/>
      <c r="S41" s="69"/>
      <c r="T41" s="69"/>
      <c r="U41" s="55"/>
      <c r="V41" s="55"/>
      <c r="W41" s="55"/>
    </row>
    <row r="43" spans="2:23" ht="4.5" customHeight="1" x14ac:dyDescent="0.2"/>
    <row r="44" spans="2:23" s="8" customFormat="1" ht="14" x14ac:dyDescent="0.2">
      <c r="C44" s="8" t="str">
        <f>Input_Data!D63</f>
        <v>2023-24 and 2024-25 Risk-Free Rate</v>
      </c>
    </row>
    <row r="45" spans="2:23" ht="11.25" customHeight="1" x14ac:dyDescent="0.2"/>
    <row r="46" spans="2:23" s="72" customFormat="1" ht="13" x14ac:dyDescent="0.2">
      <c r="C46"/>
      <c r="D46" s="71"/>
      <c r="E46" s="71"/>
      <c r="F46" s="71"/>
      <c r="G46" s="71"/>
      <c r="H46" s="71"/>
      <c r="I46"/>
      <c r="J46" s="111" t="str">
        <f>Input_Data!J67</f>
        <v>TB165</v>
      </c>
      <c r="K46" s="111"/>
      <c r="L46"/>
      <c r="M46" s="111" t="str">
        <f>Input_Data!L67</f>
        <v>TB140</v>
      </c>
      <c r="N46" s="111"/>
      <c r="P46" s="111" t="s">
        <v>135</v>
      </c>
      <c r="Q46" s="111"/>
      <c r="R46" s="111"/>
    </row>
    <row r="47" spans="2:23" s="72" customFormat="1" ht="13" x14ac:dyDescent="0.2">
      <c r="C47"/>
      <c r="D47" s="61" t="s">
        <v>108</v>
      </c>
      <c r="E47" s="54" t="str">
        <f>Lookup!E$19</f>
        <v>Source</v>
      </c>
      <c r="F47" s="54" t="str">
        <f>Lookup!F$19</f>
        <v>Unit</v>
      </c>
      <c r="G47" s="54" t="str">
        <f>Lookup!G$19</f>
        <v>Basis</v>
      </c>
      <c r="H47" s="54" t="str">
        <f>Lookup!H$19</f>
        <v>Timing</v>
      </c>
      <c r="I47"/>
      <c r="J47" s="54" t="s">
        <v>107</v>
      </c>
      <c r="K47" s="54" t="s">
        <v>109</v>
      </c>
      <c r="L47"/>
      <c r="M47" s="54" t="s">
        <v>107</v>
      </c>
      <c r="N47" s="54" t="s">
        <v>109</v>
      </c>
      <c r="P47" s="54" t="s">
        <v>107</v>
      </c>
      <c r="Q47" s="54" t="s">
        <v>136</v>
      </c>
      <c r="R47" s="54" t="s">
        <v>137</v>
      </c>
    </row>
    <row r="48" spans="2:23" s="72" customFormat="1" x14ac:dyDescent="0.2">
      <c r="C48"/>
      <c r="D48" s="71"/>
      <c r="E48" s="71"/>
      <c r="F48" s="71"/>
      <c r="G48" s="71"/>
      <c r="H48" s="71"/>
      <c r="I48"/>
      <c r="J48" s="78"/>
      <c r="K48" s="78"/>
      <c r="L48"/>
      <c r="M48" s="78"/>
      <c r="N48" s="78"/>
      <c r="Q48" s="78"/>
      <c r="R48" s="78"/>
    </row>
    <row r="49" spans="2:18" s="72" customFormat="1" ht="12.5" x14ac:dyDescent="0.25">
      <c r="B49" s="70"/>
      <c r="C49"/>
      <c r="D49" s="74">
        <f>Input_Data!D73</f>
        <v>44974</v>
      </c>
      <c r="E49" s="63" t="s">
        <v>88</v>
      </c>
      <c r="F49" s="53" t="str">
        <f t="shared" ref="F49:F68" si="7">Percent</f>
        <v>Percent</v>
      </c>
      <c r="G49" s="53" t="s">
        <v>67</v>
      </c>
      <c r="H49" s="53" t="str">
        <f t="shared" ref="H49:H70" si="8">NA</f>
        <v>N/A</v>
      </c>
      <c r="I49" s="71"/>
      <c r="J49" s="80">
        <f>Input_Data!J68</f>
        <v>48539</v>
      </c>
      <c r="K49" s="79">
        <f>Input_Data!J73</f>
        <v>3.8199999999999998E-2</v>
      </c>
      <c r="L49" s="71"/>
      <c r="M49" s="80">
        <f>Input_Data!L68</f>
        <v>48690</v>
      </c>
      <c r="N49" s="79">
        <f>Input_Data!L73</f>
        <v>3.8199999999999998E-2</v>
      </c>
      <c r="P49" s="80">
        <f t="shared" ref="P49:P68" si="9">(DATE(YEAR(D49)+10,MONTH(D49),DAY(D49)))</f>
        <v>48627</v>
      </c>
      <c r="Q49" s="79">
        <f t="shared" ref="Q49:Q68" si="10">(P49-J49)/(M49-J49)*N49+(1-(P49-J49)/(M49-J49))*K49</f>
        <v>3.8199999999999998E-2</v>
      </c>
      <c r="R49" s="79">
        <f t="shared" ref="R49:R68" si="11">(1+Q49/2)^2-1</f>
        <v>3.8564809999999783E-2</v>
      </c>
    </row>
    <row r="50" spans="2:18" s="72" customFormat="1" ht="12.5" x14ac:dyDescent="0.25">
      <c r="B50" s="70"/>
      <c r="C50"/>
      <c r="D50" s="74">
        <f>Input_Data!D74</f>
        <v>44977</v>
      </c>
      <c r="E50" s="63" t="s">
        <v>88</v>
      </c>
      <c r="F50" s="53" t="str">
        <f t="shared" si="7"/>
        <v>Percent</v>
      </c>
      <c r="G50" s="53" t="s">
        <v>67</v>
      </c>
      <c r="H50" s="53" t="str">
        <f t="shared" si="8"/>
        <v>N/A</v>
      </c>
      <c r="I50" s="71"/>
      <c r="J50" s="80">
        <f t="shared" ref="J50:J52" si="12">J49</f>
        <v>48539</v>
      </c>
      <c r="K50" s="79">
        <f>Input_Data!J74</f>
        <v>3.8100000000000002E-2</v>
      </c>
      <c r="L50" s="71"/>
      <c r="M50" s="80">
        <f t="shared" ref="M50:M52" si="13">M49</f>
        <v>48690</v>
      </c>
      <c r="N50" s="79">
        <f>Input_Data!L74</f>
        <v>3.8100000000000002E-2</v>
      </c>
      <c r="P50" s="80">
        <f t="shared" si="9"/>
        <v>48630</v>
      </c>
      <c r="Q50" s="79">
        <f t="shared" si="10"/>
        <v>3.8100000000000002E-2</v>
      </c>
      <c r="R50" s="79">
        <f t="shared" si="11"/>
        <v>3.8462902500000062E-2</v>
      </c>
    </row>
    <row r="51" spans="2:18" s="72" customFormat="1" ht="12.5" x14ac:dyDescent="0.25">
      <c r="B51" s="70"/>
      <c r="C51"/>
      <c r="D51" s="74">
        <f>Input_Data!D75</f>
        <v>44978</v>
      </c>
      <c r="E51" s="63" t="s">
        <v>88</v>
      </c>
      <c r="F51" s="53" t="str">
        <f t="shared" si="7"/>
        <v>Percent</v>
      </c>
      <c r="G51" s="53" t="s">
        <v>67</v>
      </c>
      <c r="H51" s="53" t="str">
        <f t="shared" si="8"/>
        <v>N/A</v>
      </c>
      <c r="I51" s="71"/>
      <c r="J51" s="80">
        <f t="shared" si="12"/>
        <v>48539</v>
      </c>
      <c r="K51" s="79">
        <f>Input_Data!J75</f>
        <v>3.8149999999999996E-2</v>
      </c>
      <c r="L51" s="71"/>
      <c r="M51" s="80">
        <f t="shared" si="13"/>
        <v>48690</v>
      </c>
      <c r="N51" s="79">
        <f>Input_Data!L75</f>
        <v>3.8149999999999996E-2</v>
      </c>
      <c r="P51" s="80">
        <f t="shared" si="9"/>
        <v>48631</v>
      </c>
      <c r="Q51" s="79">
        <f t="shared" si="10"/>
        <v>3.8149999999999996E-2</v>
      </c>
      <c r="R51" s="79">
        <f t="shared" si="11"/>
        <v>3.8513855624999982E-2</v>
      </c>
    </row>
    <row r="52" spans="2:18" s="72" customFormat="1" ht="12.5" x14ac:dyDescent="0.25">
      <c r="B52" s="70"/>
      <c r="C52"/>
      <c r="D52" s="74">
        <f>Input_Data!D76</f>
        <v>44979</v>
      </c>
      <c r="E52" s="63" t="s">
        <v>88</v>
      </c>
      <c r="F52" s="53" t="str">
        <f t="shared" si="7"/>
        <v>Percent</v>
      </c>
      <c r="G52" s="53" t="s">
        <v>67</v>
      </c>
      <c r="H52" s="53" t="str">
        <f t="shared" si="8"/>
        <v>N/A</v>
      </c>
      <c r="I52" s="71"/>
      <c r="J52" s="80">
        <f t="shared" si="12"/>
        <v>48539</v>
      </c>
      <c r="K52" s="79">
        <f>Input_Data!J76</f>
        <v>3.875E-2</v>
      </c>
      <c r="L52" s="71"/>
      <c r="M52" s="80">
        <f t="shared" si="13"/>
        <v>48690</v>
      </c>
      <c r="N52" s="79">
        <f>Input_Data!L76</f>
        <v>3.875E-2</v>
      </c>
      <c r="P52" s="80">
        <f t="shared" si="9"/>
        <v>48632</v>
      </c>
      <c r="Q52" s="79">
        <f t="shared" si="10"/>
        <v>3.875E-2</v>
      </c>
      <c r="R52" s="79">
        <f t="shared" si="11"/>
        <v>3.9125390624999756E-2</v>
      </c>
    </row>
    <row r="53" spans="2:18" s="72" customFormat="1" ht="12.5" x14ac:dyDescent="0.25">
      <c r="B53" s="70"/>
      <c r="C53"/>
      <c r="D53" s="74">
        <f>Input_Data!D77</f>
        <v>44980</v>
      </c>
      <c r="E53" s="63" t="s">
        <v>88</v>
      </c>
      <c r="F53" s="53" t="str">
        <f t="shared" si="7"/>
        <v>Percent</v>
      </c>
      <c r="G53" s="53" t="s">
        <v>67</v>
      </c>
      <c r="H53" s="53" t="str">
        <f t="shared" si="8"/>
        <v>N/A</v>
      </c>
      <c r="I53" s="71"/>
      <c r="J53" s="80">
        <f t="shared" ref="J53:J55" si="14">J52</f>
        <v>48539</v>
      </c>
      <c r="K53" s="79">
        <f>Input_Data!J77</f>
        <v>3.8849999999999996E-2</v>
      </c>
      <c r="L53" s="71"/>
      <c r="M53" s="80">
        <f t="shared" ref="M53:M55" si="15">M52</f>
        <v>48690</v>
      </c>
      <c r="N53" s="79">
        <f>Input_Data!L77</f>
        <v>3.8849999999999996E-2</v>
      </c>
      <c r="P53" s="80">
        <f t="shared" si="9"/>
        <v>48633</v>
      </c>
      <c r="Q53" s="79">
        <f t="shared" si="10"/>
        <v>3.8849999999999996E-2</v>
      </c>
      <c r="R53" s="79">
        <f t="shared" si="11"/>
        <v>3.9227330624999945E-2</v>
      </c>
    </row>
    <row r="54" spans="2:18" s="72" customFormat="1" ht="12.5" x14ac:dyDescent="0.25">
      <c r="B54" s="70"/>
      <c r="C54"/>
      <c r="D54" s="74">
        <f>Input_Data!D78</f>
        <v>44981</v>
      </c>
      <c r="E54" s="63" t="s">
        <v>88</v>
      </c>
      <c r="F54" s="53" t="str">
        <f t="shared" si="7"/>
        <v>Percent</v>
      </c>
      <c r="G54" s="53" t="s">
        <v>67</v>
      </c>
      <c r="H54" s="53" t="str">
        <f t="shared" si="8"/>
        <v>N/A</v>
      </c>
      <c r="I54" s="71"/>
      <c r="J54" s="80">
        <f t="shared" si="14"/>
        <v>48539</v>
      </c>
      <c r="K54" s="79">
        <f>Input_Data!J78</f>
        <v>3.8249999999999999E-2</v>
      </c>
      <c r="L54" s="71"/>
      <c r="M54" s="80">
        <f t="shared" si="15"/>
        <v>48690</v>
      </c>
      <c r="N54" s="79">
        <f>Input_Data!L78</f>
        <v>3.8249999999999999E-2</v>
      </c>
      <c r="P54" s="80">
        <f t="shared" si="9"/>
        <v>48634</v>
      </c>
      <c r="Q54" s="79">
        <f t="shared" si="10"/>
        <v>3.8249999999999999E-2</v>
      </c>
      <c r="R54" s="79">
        <f t="shared" si="11"/>
        <v>3.8615765625000131E-2</v>
      </c>
    </row>
    <row r="55" spans="2:18" s="72" customFormat="1" ht="12.5" x14ac:dyDescent="0.25">
      <c r="B55" s="70"/>
      <c r="C55"/>
      <c r="D55" s="74">
        <f>Input_Data!D79</f>
        <v>44984</v>
      </c>
      <c r="E55" s="63" t="s">
        <v>88</v>
      </c>
      <c r="F55" s="53" t="str">
        <f t="shared" si="7"/>
        <v>Percent</v>
      </c>
      <c r="G55" s="53" t="s">
        <v>67</v>
      </c>
      <c r="H55" s="53" t="str">
        <f t="shared" si="8"/>
        <v>N/A</v>
      </c>
      <c r="I55" s="71"/>
      <c r="J55" s="80">
        <f t="shared" si="14"/>
        <v>48539</v>
      </c>
      <c r="K55" s="79">
        <f>Input_Data!J79</f>
        <v>3.875E-2</v>
      </c>
      <c r="L55" s="71"/>
      <c r="M55" s="80">
        <f t="shared" si="15"/>
        <v>48690</v>
      </c>
      <c r="N55" s="79">
        <f>Input_Data!L79</f>
        <v>3.875E-2</v>
      </c>
      <c r="P55" s="80">
        <f t="shared" si="9"/>
        <v>48637</v>
      </c>
      <c r="Q55" s="79">
        <f t="shared" si="10"/>
        <v>3.875E-2</v>
      </c>
      <c r="R55" s="79">
        <f t="shared" si="11"/>
        <v>3.9125390624999756E-2</v>
      </c>
    </row>
    <row r="56" spans="2:18" s="72" customFormat="1" ht="12.5" x14ac:dyDescent="0.25">
      <c r="B56" s="70"/>
      <c r="C56"/>
      <c r="D56" s="74">
        <f>Input_Data!D80</f>
        <v>44985</v>
      </c>
      <c r="E56" s="63" t="s">
        <v>88</v>
      </c>
      <c r="F56" s="53" t="str">
        <f t="shared" si="7"/>
        <v>Percent</v>
      </c>
      <c r="G56" s="53" t="s">
        <v>67</v>
      </c>
      <c r="H56" s="53" t="str">
        <f t="shared" si="8"/>
        <v>N/A</v>
      </c>
      <c r="I56" s="71"/>
      <c r="J56" s="80">
        <f t="shared" ref="J56:J68" si="16">J55</f>
        <v>48539</v>
      </c>
      <c r="K56" s="79">
        <f>Input_Data!J80</f>
        <v>3.85E-2</v>
      </c>
      <c r="L56" s="71"/>
      <c r="M56" s="80">
        <f t="shared" ref="M56:M68" si="17">M55</f>
        <v>48690</v>
      </c>
      <c r="N56" s="79">
        <f>Input_Data!L80</f>
        <v>3.85E-2</v>
      </c>
      <c r="P56" s="80">
        <f t="shared" si="9"/>
        <v>48638</v>
      </c>
      <c r="Q56" s="79">
        <f t="shared" si="10"/>
        <v>3.85E-2</v>
      </c>
      <c r="R56" s="79">
        <f t="shared" si="11"/>
        <v>3.8870562499999872E-2</v>
      </c>
    </row>
    <row r="57" spans="2:18" s="72" customFormat="1" ht="12.5" x14ac:dyDescent="0.25">
      <c r="B57" s="70"/>
      <c r="C57"/>
      <c r="D57" s="74">
        <f>Input_Data!D81</f>
        <v>44986</v>
      </c>
      <c r="E57" s="63" t="s">
        <v>88</v>
      </c>
      <c r="F57" s="53" t="str">
        <f t="shared" si="7"/>
        <v>Percent</v>
      </c>
      <c r="G57" s="53" t="s">
        <v>67</v>
      </c>
      <c r="H57" s="53" t="str">
        <f t="shared" si="8"/>
        <v>N/A</v>
      </c>
      <c r="I57" s="71"/>
      <c r="J57" s="80">
        <f t="shared" si="16"/>
        <v>48539</v>
      </c>
      <c r="K57" s="79">
        <f>Input_Data!J81</f>
        <v>3.7850000000000002E-2</v>
      </c>
      <c r="L57" s="71"/>
      <c r="M57" s="80">
        <f t="shared" si="17"/>
        <v>48690</v>
      </c>
      <c r="N57" s="79">
        <f>Input_Data!L81</f>
        <v>3.7850000000000002E-2</v>
      </c>
      <c r="P57" s="80">
        <f t="shared" si="9"/>
        <v>48639</v>
      </c>
      <c r="Q57" s="79">
        <f t="shared" si="10"/>
        <v>3.7850000000000002E-2</v>
      </c>
      <c r="R57" s="79">
        <f t="shared" si="11"/>
        <v>3.820815562500024E-2</v>
      </c>
    </row>
    <row r="58" spans="2:18" s="72" customFormat="1" ht="12.5" x14ac:dyDescent="0.25">
      <c r="B58" s="70"/>
      <c r="C58"/>
      <c r="D58" s="74">
        <f>Input_Data!D82</f>
        <v>44987</v>
      </c>
      <c r="E58" s="63" t="s">
        <v>88</v>
      </c>
      <c r="F58" s="53" t="str">
        <f t="shared" si="7"/>
        <v>Percent</v>
      </c>
      <c r="G58" s="53" t="s">
        <v>67</v>
      </c>
      <c r="H58" s="53" t="str">
        <f t="shared" si="8"/>
        <v>N/A</v>
      </c>
      <c r="I58" s="71"/>
      <c r="J58" s="80">
        <f t="shared" si="16"/>
        <v>48539</v>
      </c>
      <c r="K58" s="79">
        <f>Input_Data!J82</f>
        <v>3.8599999999999995E-2</v>
      </c>
      <c r="L58" s="71"/>
      <c r="M58" s="80">
        <f t="shared" si="17"/>
        <v>48690</v>
      </c>
      <c r="N58" s="79">
        <f>Input_Data!L82</f>
        <v>3.8599999999999995E-2</v>
      </c>
      <c r="P58" s="80">
        <f t="shared" si="9"/>
        <v>48640</v>
      </c>
      <c r="Q58" s="79">
        <f t="shared" si="10"/>
        <v>3.8599999999999995E-2</v>
      </c>
      <c r="R58" s="79">
        <f t="shared" si="11"/>
        <v>3.8972490000000137E-2</v>
      </c>
    </row>
    <row r="59" spans="2:18" s="72" customFormat="1" ht="12.5" x14ac:dyDescent="0.25">
      <c r="B59" s="70"/>
      <c r="C59"/>
      <c r="D59" s="74">
        <f>Input_Data!D83</f>
        <v>44988</v>
      </c>
      <c r="E59" s="63" t="s">
        <v>88</v>
      </c>
      <c r="F59" s="53" t="str">
        <f t="shared" si="7"/>
        <v>Percent</v>
      </c>
      <c r="G59" s="53" t="s">
        <v>67</v>
      </c>
      <c r="H59" s="53" t="str">
        <f t="shared" si="8"/>
        <v>N/A</v>
      </c>
      <c r="I59" s="71"/>
      <c r="J59" s="80">
        <f t="shared" si="16"/>
        <v>48539</v>
      </c>
      <c r="K59" s="79">
        <f>Input_Data!J83</f>
        <v>3.9E-2</v>
      </c>
      <c r="L59" s="71"/>
      <c r="M59" s="80">
        <f t="shared" si="17"/>
        <v>48690</v>
      </c>
      <c r="N59" s="79">
        <f>Input_Data!L83</f>
        <v>3.9E-2</v>
      </c>
      <c r="P59" s="80">
        <f t="shared" si="9"/>
        <v>48641</v>
      </c>
      <c r="Q59" s="79">
        <f t="shared" si="10"/>
        <v>3.9E-2</v>
      </c>
      <c r="R59" s="79">
        <f t="shared" si="11"/>
        <v>3.9380250000000228E-2</v>
      </c>
    </row>
    <row r="60" spans="2:18" s="72" customFormat="1" ht="12.5" x14ac:dyDescent="0.25">
      <c r="B60" s="70"/>
      <c r="C60"/>
      <c r="D60" s="74">
        <f>Input_Data!D84</f>
        <v>44991</v>
      </c>
      <c r="E60" s="63" t="s">
        <v>88</v>
      </c>
      <c r="F60" s="53" t="str">
        <f t="shared" si="7"/>
        <v>Percent</v>
      </c>
      <c r="G60" s="53" t="s">
        <v>67</v>
      </c>
      <c r="H60" s="53" t="str">
        <f t="shared" si="8"/>
        <v>N/A</v>
      </c>
      <c r="I60" s="71"/>
      <c r="J60" s="80">
        <f t="shared" si="16"/>
        <v>48539</v>
      </c>
      <c r="K60" s="79">
        <f>Input_Data!J84</f>
        <v>3.7650000000000003E-2</v>
      </c>
      <c r="L60" s="71"/>
      <c r="M60" s="80">
        <f t="shared" si="17"/>
        <v>48690</v>
      </c>
      <c r="N60" s="79">
        <f>Input_Data!L84</f>
        <v>3.7650000000000003E-2</v>
      </c>
      <c r="P60" s="80">
        <f t="shared" si="9"/>
        <v>48644</v>
      </c>
      <c r="Q60" s="79">
        <f t="shared" si="10"/>
        <v>3.7650000000000003E-2</v>
      </c>
      <c r="R60" s="79">
        <f t="shared" si="11"/>
        <v>3.8004380625000111E-2</v>
      </c>
    </row>
    <row r="61" spans="2:18" s="72" customFormat="1" ht="12.5" x14ac:dyDescent="0.25">
      <c r="B61" s="70"/>
      <c r="C61"/>
      <c r="D61" s="74">
        <f>Input_Data!D85</f>
        <v>44992</v>
      </c>
      <c r="E61" s="63" t="s">
        <v>88</v>
      </c>
      <c r="F61" s="53" t="str">
        <f t="shared" si="7"/>
        <v>Percent</v>
      </c>
      <c r="G61" s="53" t="s">
        <v>67</v>
      </c>
      <c r="H61" s="53" t="str">
        <f t="shared" si="8"/>
        <v>N/A</v>
      </c>
      <c r="I61" s="71"/>
      <c r="J61" s="80">
        <f t="shared" si="16"/>
        <v>48539</v>
      </c>
      <c r="K61" s="79">
        <f>Input_Data!J85</f>
        <v>3.6850000000000001E-2</v>
      </c>
      <c r="L61" s="71"/>
      <c r="M61" s="80">
        <f t="shared" si="17"/>
        <v>48690</v>
      </c>
      <c r="N61" s="79">
        <f>Input_Data!L85</f>
        <v>3.6850000000000001E-2</v>
      </c>
      <c r="P61" s="80">
        <f t="shared" si="9"/>
        <v>48645</v>
      </c>
      <c r="Q61" s="79">
        <f t="shared" si="10"/>
        <v>3.6850000000000001E-2</v>
      </c>
      <c r="R61" s="79">
        <f t="shared" si="11"/>
        <v>3.7189480624999716E-2</v>
      </c>
    </row>
    <row r="62" spans="2:18" s="72" customFormat="1" ht="12.5" x14ac:dyDescent="0.25">
      <c r="B62" s="70"/>
      <c r="C62"/>
      <c r="D62" s="74">
        <f>Input_Data!D86</f>
        <v>44993</v>
      </c>
      <c r="E62" s="63" t="s">
        <v>88</v>
      </c>
      <c r="F62" s="53" t="str">
        <f t="shared" si="7"/>
        <v>Percent</v>
      </c>
      <c r="G62" s="53" t="s">
        <v>67</v>
      </c>
      <c r="H62" s="53" t="str">
        <f t="shared" si="8"/>
        <v>N/A</v>
      </c>
      <c r="I62" s="71"/>
      <c r="J62" s="80">
        <f t="shared" si="16"/>
        <v>48539</v>
      </c>
      <c r="K62" s="79">
        <f>Input_Data!J86</f>
        <v>3.7450000000000004E-2</v>
      </c>
      <c r="L62" s="71"/>
      <c r="M62" s="80">
        <f t="shared" si="17"/>
        <v>48690</v>
      </c>
      <c r="N62" s="79">
        <f>Input_Data!L86</f>
        <v>3.7450000000000004E-2</v>
      </c>
      <c r="P62" s="80">
        <f t="shared" si="9"/>
        <v>48646</v>
      </c>
      <c r="Q62" s="79">
        <f t="shared" si="10"/>
        <v>3.7450000000000004E-2</v>
      </c>
      <c r="R62" s="79">
        <f t="shared" si="11"/>
        <v>3.7800625625000306E-2</v>
      </c>
    </row>
    <row r="63" spans="2:18" s="72" customFormat="1" ht="12.5" x14ac:dyDescent="0.25">
      <c r="B63" s="70"/>
      <c r="C63"/>
      <c r="D63" s="74">
        <f>Input_Data!D87</f>
        <v>44994</v>
      </c>
      <c r="E63" s="63" t="s">
        <v>88</v>
      </c>
      <c r="F63" s="53" t="str">
        <f t="shared" si="7"/>
        <v>Percent</v>
      </c>
      <c r="G63" s="53" t="s">
        <v>67</v>
      </c>
      <c r="H63" s="53" t="str">
        <f t="shared" si="8"/>
        <v>N/A</v>
      </c>
      <c r="I63" s="71"/>
      <c r="J63" s="80">
        <f t="shared" si="16"/>
        <v>48539</v>
      </c>
      <c r="K63" s="79">
        <f>Input_Data!J87</f>
        <v>3.7100000000000001E-2</v>
      </c>
      <c r="L63" s="71"/>
      <c r="M63" s="80">
        <f t="shared" si="17"/>
        <v>48690</v>
      </c>
      <c r="N63" s="79">
        <f>Input_Data!L87</f>
        <v>3.7100000000000001E-2</v>
      </c>
      <c r="P63" s="80">
        <f t="shared" si="9"/>
        <v>48647</v>
      </c>
      <c r="Q63" s="79">
        <f t="shared" si="10"/>
        <v>3.7100000000000001E-2</v>
      </c>
      <c r="R63" s="79">
        <f t="shared" si="11"/>
        <v>3.7444102500000076E-2</v>
      </c>
    </row>
    <row r="64" spans="2:18" s="72" customFormat="1" ht="12.5" x14ac:dyDescent="0.25">
      <c r="B64" s="70"/>
      <c r="C64"/>
      <c r="D64" s="74">
        <f>Input_Data!D88</f>
        <v>44995</v>
      </c>
      <c r="E64" s="63" t="s">
        <v>88</v>
      </c>
      <c r="F64" s="53" t="str">
        <f t="shared" si="7"/>
        <v>Percent</v>
      </c>
      <c r="G64" s="53" t="s">
        <v>67</v>
      </c>
      <c r="H64" s="53" t="str">
        <f t="shared" si="8"/>
        <v>N/A</v>
      </c>
      <c r="I64" s="71"/>
      <c r="J64" s="80">
        <f t="shared" si="16"/>
        <v>48539</v>
      </c>
      <c r="K64" s="79">
        <f>Input_Data!J88</f>
        <v>3.5799999999999998E-2</v>
      </c>
      <c r="L64" s="71"/>
      <c r="M64" s="80">
        <f t="shared" si="17"/>
        <v>48690</v>
      </c>
      <c r="N64" s="79">
        <f>Input_Data!L88</f>
        <v>3.5799999999999998E-2</v>
      </c>
      <c r="P64" s="80">
        <f t="shared" si="9"/>
        <v>48648</v>
      </c>
      <c r="Q64" s="79">
        <f t="shared" si="10"/>
        <v>3.5799999999999998E-2</v>
      </c>
      <c r="R64" s="79">
        <f t="shared" si="11"/>
        <v>3.6120410000000103E-2</v>
      </c>
    </row>
    <row r="65" spans="2:23" s="72" customFormat="1" ht="12.5" x14ac:dyDescent="0.25">
      <c r="B65" s="70"/>
      <c r="C65"/>
      <c r="D65" s="74">
        <f>Input_Data!D89</f>
        <v>44998</v>
      </c>
      <c r="E65" s="63" t="s">
        <v>88</v>
      </c>
      <c r="F65" s="53" t="str">
        <f t="shared" si="7"/>
        <v>Percent</v>
      </c>
      <c r="G65" s="53" t="s">
        <v>67</v>
      </c>
      <c r="H65" s="53" t="str">
        <f t="shared" si="8"/>
        <v>N/A</v>
      </c>
      <c r="I65" s="71"/>
      <c r="J65" s="80">
        <f t="shared" si="16"/>
        <v>48539</v>
      </c>
      <c r="K65" s="79">
        <f>Input_Data!J89</f>
        <v>3.5200000000000002E-2</v>
      </c>
      <c r="L65" s="71"/>
      <c r="M65" s="80">
        <f t="shared" si="17"/>
        <v>48690</v>
      </c>
      <c r="N65" s="79">
        <f>Input_Data!L89</f>
        <v>3.5200000000000002E-2</v>
      </c>
      <c r="P65" s="80">
        <f t="shared" si="9"/>
        <v>48651</v>
      </c>
      <c r="Q65" s="79">
        <f t="shared" si="10"/>
        <v>3.5200000000000002E-2</v>
      </c>
      <c r="R65" s="79">
        <f t="shared" si="11"/>
        <v>3.5509760000000057E-2</v>
      </c>
    </row>
    <row r="66" spans="2:23" s="72" customFormat="1" ht="12.5" x14ac:dyDescent="0.25">
      <c r="B66" s="70"/>
      <c r="C66"/>
      <c r="D66" s="74">
        <f>Input_Data!D90</f>
        <v>44999</v>
      </c>
      <c r="E66" s="63" t="s">
        <v>88</v>
      </c>
      <c r="F66" s="53" t="str">
        <f t="shared" si="7"/>
        <v>Percent</v>
      </c>
      <c r="G66" s="53" t="s">
        <v>67</v>
      </c>
      <c r="H66" s="53" t="str">
        <f t="shared" si="8"/>
        <v>N/A</v>
      </c>
      <c r="I66" s="71"/>
      <c r="J66" s="80">
        <f t="shared" si="16"/>
        <v>48539</v>
      </c>
      <c r="K66" s="79">
        <f>Input_Data!J90</f>
        <v>3.4500000000000003E-2</v>
      </c>
      <c r="L66" s="71"/>
      <c r="M66" s="80">
        <f t="shared" si="17"/>
        <v>48690</v>
      </c>
      <c r="N66" s="79">
        <f>Input_Data!L90</f>
        <v>3.4500000000000003E-2</v>
      </c>
      <c r="P66" s="80">
        <f t="shared" si="9"/>
        <v>48652</v>
      </c>
      <c r="Q66" s="79">
        <f t="shared" si="10"/>
        <v>3.4500000000000003E-2</v>
      </c>
      <c r="R66" s="79">
        <f t="shared" si="11"/>
        <v>3.4797562499999879E-2</v>
      </c>
    </row>
    <row r="67" spans="2:23" s="72" customFormat="1" ht="12.5" x14ac:dyDescent="0.25">
      <c r="B67" s="70"/>
      <c r="C67"/>
      <c r="D67" s="74">
        <f>Input_Data!D91</f>
        <v>45000</v>
      </c>
      <c r="E67" s="63" t="s">
        <v>88</v>
      </c>
      <c r="F67" s="53" t="str">
        <f t="shared" si="7"/>
        <v>Percent</v>
      </c>
      <c r="G67" s="53" t="s">
        <v>67</v>
      </c>
      <c r="H67" s="53" t="str">
        <f t="shared" si="8"/>
        <v>N/A</v>
      </c>
      <c r="I67" s="71"/>
      <c r="J67" s="80">
        <f t="shared" si="16"/>
        <v>48539</v>
      </c>
      <c r="K67" s="79">
        <f>Input_Data!J91</f>
        <v>3.4349999999999999E-2</v>
      </c>
      <c r="L67" s="71"/>
      <c r="M67" s="80">
        <f t="shared" si="17"/>
        <v>48690</v>
      </c>
      <c r="N67" s="79">
        <f>Input_Data!L91</f>
        <v>3.4349999999999999E-2</v>
      </c>
      <c r="P67" s="80">
        <f t="shared" si="9"/>
        <v>48653</v>
      </c>
      <c r="Q67" s="79">
        <f t="shared" si="10"/>
        <v>3.4349999999999999E-2</v>
      </c>
      <c r="R67" s="79">
        <f t="shared" si="11"/>
        <v>3.4644980624999988E-2</v>
      </c>
    </row>
    <row r="68" spans="2:23" s="72" customFormat="1" ht="12.5" x14ac:dyDescent="0.25">
      <c r="B68" s="70"/>
      <c r="C68"/>
      <c r="D68" s="74">
        <f>Input_Data!D92</f>
        <v>45001</v>
      </c>
      <c r="E68" s="63" t="s">
        <v>88</v>
      </c>
      <c r="F68" s="53" t="str">
        <f t="shared" si="7"/>
        <v>Percent</v>
      </c>
      <c r="G68" s="53" t="s">
        <v>67</v>
      </c>
      <c r="H68" s="53" t="str">
        <f t="shared" si="8"/>
        <v>N/A</v>
      </c>
      <c r="I68" s="71"/>
      <c r="J68" s="80">
        <f t="shared" si="16"/>
        <v>48539</v>
      </c>
      <c r="K68" s="79">
        <f>Input_Data!J92</f>
        <v>3.3300000000000003E-2</v>
      </c>
      <c r="L68" s="71"/>
      <c r="M68" s="80">
        <f t="shared" si="17"/>
        <v>48690</v>
      </c>
      <c r="N68" s="79">
        <f>Input_Data!L92</f>
        <v>3.3250000000000002E-2</v>
      </c>
      <c r="P68" s="80">
        <f t="shared" si="9"/>
        <v>48654</v>
      </c>
      <c r="Q68" s="79">
        <f t="shared" si="10"/>
        <v>3.3261920529801328E-2</v>
      </c>
      <c r="R68" s="79">
        <f t="shared" si="11"/>
        <v>3.3538509369134051E-2</v>
      </c>
    </row>
    <row r="69" spans="2:23" ht="12.5" x14ac:dyDescent="0.2">
      <c r="D69" s="10"/>
      <c r="E69" s="63"/>
      <c r="F69" s="63"/>
      <c r="G69" s="63"/>
      <c r="H69" s="63"/>
      <c r="I69" s="63"/>
      <c r="J69" s="63"/>
      <c r="K69" s="63"/>
      <c r="L69" s="63"/>
      <c r="M69" s="63"/>
      <c r="P69" s="69"/>
      <c r="Q69" s="55"/>
      <c r="R69" s="55"/>
    </row>
    <row r="70" spans="2:23" ht="13" x14ac:dyDescent="0.2">
      <c r="D70" s="62" t="s">
        <v>138</v>
      </c>
      <c r="E70" s="56" t="s">
        <v>88</v>
      </c>
      <c r="F70" s="56" t="str">
        <f>Percent</f>
        <v>Percent</v>
      </c>
      <c r="G70" s="56" t="s">
        <v>67</v>
      </c>
      <c r="H70" s="56" t="str">
        <f t="shared" si="8"/>
        <v>N/A</v>
      </c>
      <c r="N70" s="69"/>
      <c r="O70" s="69"/>
      <c r="P70" s="69"/>
      <c r="Q70" s="55"/>
      <c r="R70" s="81">
        <f>AVERAGE(R49:R68)</f>
        <v>3.7605835780956706E-2</v>
      </c>
    </row>
    <row r="71" spans="2:23" ht="12.5" x14ac:dyDescent="0.2">
      <c r="D71" s="10"/>
      <c r="E71" s="63"/>
      <c r="F71" s="63"/>
      <c r="G71" s="63"/>
      <c r="H71" s="63"/>
      <c r="I71" s="63"/>
      <c r="J71" s="63"/>
      <c r="K71" s="63"/>
      <c r="L71" s="63"/>
      <c r="M71" s="63"/>
      <c r="N71" s="69"/>
      <c r="O71" s="69"/>
      <c r="P71" s="69"/>
      <c r="Q71" s="69"/>
      <c r="R71" s="69"/>
      <c r="S71" s="69"/>
      <c r="T71" s="69"/>
      <c r="U71" s="55"/>
      <c r="V71" s="55"/>
      <c r="W71" s="55"/>
    </row>
    <row r="73" spans="2:23" s="2" customFormat="1" ht="15.5" x14ac:dyDescent="0.2">
      <c r="B73" s="2" t="s">
        <v>159</v>
      </c>
    </row>
    <row r="75" spans="2:23" ht="13" x14ac:dyDescent="0.2">
      <c r="D75" s="61" t="s">
        <v>153</v>
      </c>
      <c r="E75" s="54" t="str">
        <f>Lookup!E$19</f>
        <v>Source</v>
      </c>
      <c r="F75" s="54" t="str">
        <f>Lookup!F$19</f>
        <v>Unit</v>
      </c>
      <c r="G75" s="54" t="str">
        <f>Lookup!G$19</f>
        <v>Basis</v>
      </c>
      <c r="H75" s="54" t="str">
        <f>Lookup!H$19</f>
        <v>Timing</v>
      </c>
      <c r="J75" s="54" t="str">
        <f>J$10</f>
        <v>FY25</v>
      </c>
      <c r="K75" s="54" t="str">
        <f>K$10</f>
        <v>FY26</v>
      </c>
      <c r="L75" s="54" t="str">
        <f>L$10</f>
        <v>FY27</v>
      </c>
      <c r="M75" s="54" t="str">
        <f>M$10</f>
        <v>FY28</v>
      </c>
      <c r="N75" s="54" t="str">
        <f>N$10</f>
        <v>FY29</v>
      </c>
    </row>
    <row r="77" spans="2:23" ht="12.5" x14ac:dyDescent="0.2">
      <c r="D77" s="10" t="s">
        <v>154</v>
      </c>
    </row>
    <row r="78" spans="2:23" ht="12.5" x14ac:dyDescent="0.2">
      <c r="D78" s="87" t="str">
        <f>Lookup!D70</f>
        <v>Actual</v>
      </c>
      <c r="E78" s="63" t="s">
        <v>88</v>
      </c>
      <c r="F78" s="53" t="str">
        <f t="shared" ref="F78:F80" si="18">Percent</f>
        <v>Percent</v>
      </c>
      <c r="G78" s="53" t="s">
        <v>67</v>
      </c>
      <c r="H78" s="53" t="str">
        <f t="shared" ref="H78:H80" si="19">NA</f>
        <v>N/A</v>
      </c>
      <c r="J78" s="79" t="str">
        <f>IF(Input_Data!M$101=$D78,Input_Data!M$102,"")</f>
        <v/>
      </c>
      <c r="K78" s="43"/>
      <c r="L78" s="43"/>
      <c r="M78" s="43"/>
      <c r="N78" s="43"/>
    </row>
    <row r="79" spans="2:23" ht="12.5" x14ac:dyDescent="0.2">
      <c r="D79" s="87" t="str">
        <f>Lookup!D71</f>
        <v>Estimated</v>
      </c>
      <c r="E79" s="63" t="s">
        <v>88</v>
      </c>
      <c r="F79" s="53" t="str">
        <f t="shared" si="18"/>
        <v>Percent</v>
      </c>
      <c r="G79" s="53" t="s">
        <v>67</v>
      </c>
      <c r="H79" s="53" t="str">
        <f t="shared" si="19"/>
        <v>N/A</v>
      </c>
      <c r="J79" s="104">
        <f>IF(Input_Data!M$101=$D79,Input_Data!M$102,"")</f>
        <v>6.3474784244186358E-2</v>
      </c>
      <c r="K79" s="43"/>
      <c r="L79" s="43"/>
      <c r="M79" s="43"/>
      <c r="N79" s="43"/>
    </row>
    <row r="80" spans="2:23" ht="12.5" x14ac:dyDescent="0.2">
      <c r="D80" s="89" t="s">
        <v>155</v>
      </c>
      <c r="E80" s="90" t="s">
        <v>88</v>
      </c>
      <c r="F80" s="91" t="str">
        <f t="shared" si="18"/>
        <v>Percent</v>
      </c>
      <c r="G80" s="91" t="s">
        <v>67</v>
      </c>
      <c r="H80" s="91" t="str">
        <f t="shared" si="19"/>
        <v>N/A</v>
      </c>
      <c r="J80" s="92">
        <f>IF(ISNUMBER(J78),J78,IF(ISNUMBER(J79),J79,""))</f>
        <v>6.3474784244186358E-2</v>
      </c>
      <c r="K80" s="92" t="str">
        <f>IF(ISNUMBER(K78),K78,IF(ISNUMBER(K79),K79,""))</f>
        <v/>
      </c>
      <c r="L80" s="92" t="str">
        <f>IF(ISNUMBER(L78),L78,IF(ISNUMBER(L79),L79,""))</f>
        <v/>
      </c>
      <c r="M80" s="92" t="str">
        <f>IF(ISNUMBER(M78),M78,IF(ISNUMBER(M79),M79,""))</f>
        <v/>
      </c>
      <c r="N80" s="92" t="str">
        <f>IF(ISNUMBER(N78),N78,IF(ISNUMBER(N79),N79,""))</f>
        <v/>
      </c>
    </row>
    <row r="82" spans="2:19" ht="12.5" x14ac:dyDescent="0.2">
      <c r="D82" s="10" t="s">
        <v>149</v>
      </c>
    </row>
    <row r="83" spans="2:19" ht="12.5" x14ac:dyDescent="0.2">
      <c r="D83" s="87" t="s">
        <v>156</v>
      </c>
      <c r="E83" s="63" t="s">
        <v>88</v>
      </c>
      <c r="F83" s="53" t="str">
        <f t="shared" ref="F83" si="20">Percent</f>
        <v>Percent</v>
      </c>
      <c r="G83" s="53" t="str">
        <f t="shared" ref="G83:H83" si="21">NA</f>
        <v>N/A</v>
      </c>
      <c r="H83" s="53" t="str">
        <f t="shared" si="21"/>
        <v>N/A</v>
      </c>
      <c r="J83" s="79">
        <f t="shared" ref="J83:N83" si="22">Weight_New_Debt</f>
        <v>0.1</v>
      </c>
      <c r="K83" s="79">
        <f t="shared" si="22"/>
        <v>0.1</v>
      </c>
      <c r="L83" s="79">
        <f t="shared" si="22"/>
        <v>0.1</v>
      </c>
      <c r="M83" s="79">
        <f t="shared" si="22"/>
        <v>0.1</v>
      </c>
      <c r="N83" s="79">
        <f t="shared" si="22"/>
        <v>0.1</v>
      </c>
    </row>
    <row r="85" spans="2:19" ht="13" x14ac:dyDescent="0.2">
      <c r="D85" s="62" t="s">
        <v>157</v>
      </c>
      <c r="E85" s="56" t="s">
        <v>88</v>
      </c>
      <c r="F85" s="56" t="str">
        <f t="shared" ref="F85" si="23">Percent</f>
        <v>Percent</v>
      </c>
      <c r="G85" s="56" t="s">
        <v>67</v>
      </c>
      <c r="H85" s="56" t="str">
        <f t="shared" ref="H85" si="24">NA</f>
        <v>N/A</v>
      </c>
      <c r="J85" s="88">
        <f>IFERROR($J$80,"")</f>
        <v>6.3474784244186358E-2</v>
      </c>
      <c r="K85" s="81">
        <f>IFERROR(J85+(K$80-$J$80)*K83,J85)</f>
        <v>6.3474784244186358E-2</v>
      </c>
      <c r="L85" s="81">
        <f t="shared" ref="L85:N85" si="25">IFERROR(K85+(L$80-$J$80)*L83,K85)</f>
        <v>6.3474784244186358E-2</v>
      </c>
      <c r="M85" s="81">
        <f t="shared" si="25"/>
        <v>6.3474784244186358E-2</v>
      </c>
      <c r="N85" s="81">
        <f t="shared" si="25"/>
        <v>6.3474784244186358E-2</v>
      </c>
    </row>
    <row r="88" spans="2:19" s="2" customFormat="1" ht="15.5" x14ac:dyDescent="0.2">
      <c r="B88" s="2" t="s">
        <v>139</v>
      </c>
    </row>
    <row r="89" spans="2:19" ht="11.25" customHeight="1" x14ac:dyDescent="0.2"/>
    <row r="90" spans="2:19" ht="13" x14ac:dyDescent="0.2">
      <c r="D90" s="61" t="s">
        <v>87</v>
      </c>
      <c r="E90" s="54" t="str">
        <f>Lookup!E$19</f>
        <v>Source</v>
      </c>
      <c r="F90" s="54" t="str">
        <f>Lookup!F$19</f>
        <v>Unit</v>
      </c>
      <c r="G90" s="54" t="str">
        <f>Lookup!G$19</f>
        <v>Basis</v>
      </c>
      <c r="H90" s="54" t="str">
        <f>Lookup!H$19</f>
        <v>Timing</v>
      </c>
      <c r="J90" s="54" t="str">
        <f>J10</f>
        <v>FY25</v>
      </c>
      <c r="K90" s="54" t="str">
        <f>K10</f>
        <v>FY26</v>
      </c>
      <c r="L90" s="54" t="str">
        <f>L10</f>
        <v>FY27</v>
      </c>
      <c r="M90" s="54" t="str">
        <f>M10</f>
        <v>FY28</v>
      </c>
      <c r="N90" s="54" t="str">
        <f>N10</f>
        <v>FY29</v>
      </c>
    </row>
    <row r="91" spans="2:19" x14ac:dyDescent="0.2">
      <c r="L91" s="83"/>
    </row>
    <row r="92" spans="2:19" ht="12.5" x14ac:dyDescent="0.2">
      <c r="D92" s="10" t="s">
        <v>126</v>
      </c>
      <c r="E92" s="63" t="s">
        <v>88</v>
      </c>
      <c r="F92" s="53" t="str">
        <f t="shared" ref="F92:F93" si="26">Percent</f>
        <v>Percent</v>
      </c>
      <c r="G92" s="53" t="s">
        <v>67</v>
      </c>
      <c r="H92" s="53" t="str">
        <f t="shared" ref="H92:H94" si="27">NA</f>
        <v>N/A</v>
      </c>
      <c r="J92" s="77">
        <f t="array" ref="J92">GEOMEAN(1+Input_Data!L19:Q19)-1</f>
        <v>2.8910539154416659E-2</v>
      </c>
      <c r="K92" s="43"/>
      <c r="L92" s="43"/>
      <c r="M92" s="43"/>
      <c r="N92" s="43"/>
    </row>
    <row r="93" spans="2:19" ht="12.5" x14ac:dyDescent="0.2">
      <c r="D93" s="10" t="s">
        <v>117</v>
      </c>
      <c r="E93" s="63" t="s">
        <v>88</v>
      </c>
      <c r="F93" s="53" t="str">
        <f t="shared" si="26"/>
        <v>Percent</v>
      </c>
      <c r="G93" s="53" t="s">
        <v>67</v>
      </c>
      <c r="H93" s="53" t="str">
        <f t="shared" si="27"/>
        <v>N/A</v>
      </c>
      <c r="J93" s="77">
        <f>RFR+MRP*Beta</f>
        <v>7.4805835780956703E-2</v>
      </c>
      <c r="K93" s="43"/>
      <c r="L93" s="43"/>
      <c r="M93" s="43"/>
      <c r="N93" s="43"/>
    </row>
    <row r="94" spans="2:19" ht="12.5" x14ac:dyDescent="0.2">
      <c r="D94" s="10" t="s">
        <v>140</v>
      </c>
      <c r="E94" s="63" t="s">
        <v>88</v>
      </c>
      <c r="F94" s="63" t="str">
        <f>Dollars</f>
        <v>Dollars</v>
      </c>
      <c r="G94" s="53" t="s">
        <v>67</v>
      </c>
      <c r="H94" s="53" t="str">
        <f t="shared" si="27"/>
        <v>N/A</v>
      </c>
      <c r="J94" s="77">
        <f>J85</f>
        <v>6.3474784244186358E-2</v>
      </c>
      <c r="K94" s="77">
        <f t="shared" ref="K94:N94" si="28">K85</f>
        <v>6.3474784244186358E-2</v>
      </c>
      <c r="L94" s="77">
        <f t="shared" si="28"/>
        <v>6.3474784244186358E-2</v>
      </c>
      <c r="M94" s="77">
        <f t="shared" si="28"/>
        <v>6.3474784244186358E-2</v>
      </c>
      <c r="N94" s="77">
        <f t="shared" si="28"/>
        <v>6.3474784244186358E-2</v>
      </c>
    </row>
    <row r="95" spans="2:19" ht="11.25" customHeight="1" x14ac:dyDescent="0.2"/>
    <row r="96" spans="2:19" x14ac:dyDescent="0.2">
      <c r="S96" s="82"/>
    </row>
    <row r="97" spans="2:2" s="2" customFormat="1" ht="15.5" x14ac:dyDescent="0.2">
      <c r="B97" s="2" t="s">
        <v>32</v>
      </c>
    </row>
  </sheetData>
  <mergeCells count="6">
    <mergeCell ref="J46:K46"/>
    <mergeCell ref="M46:N46"/>
    <mergeCell ref="P46:R46"/>
    <mergeCell ref="J16:K16"/>
    <mergeCell ref="M16:N16"/>
    <mergeCell ref="P16:R16"/>
  </mergeCells>
  <conditionalFormatting sqref="B2">
    <cfRule type="cellIs" dxfId="4" priority="1" operator="notEqual">
      <formula>"No Errors Found"</formula>
    </cfRule>
  </conditionalFormatting>
  <hyperlinks>
    <hyperlink ref="B3:E3" location="TOC!A1" display="TOC!A1" xr:uid="{00000000-0004-0000-0500-000000000000}"/>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N53"/>
  <sheetViews>
    <sheetView showGridLines="0" zoomScaleNormal="100" workbookViewId="0">
      <pane xSplit="1" ySplit="10" topLeftCell="B11" activePane="bottomRight" state="frozen"/>
      <selection activeCell="C24" sqref="C24"/>
      <selection pane="topRight" activeCell="C24" sqref="C24"/>
      <selection pane="bottomLeft" activeCell="C24" sqref="C24"/>
      <selection pane="bottomRight" activeCell="J48" sqref="J48"/>
    </sheetView>
  </sheetViews>
  <sheetFormatPr defaultColWidth="9.33203125" defaultRowHeight="10" outlineLevelRow="1" x14ac:dyDescent="0.2"/>
  <cols>
    <col min="1" max="1" width="3.33203125" customWidth="1"/>
    <col min="2" max="3" width="2.77734375" customWidth="1"/>
    <col min="4" max="4" width="45.109375" customWidth="1"/>
    <col min="5" max="5" width="11.77734375" customWidth="1"/>
    <col min="6" max="6" width="9.109375" customWidth="1"/>
    <col min="7" max="7" width="12" customWidth="1"/>
    <col min="8" max="8" width="10" customWidth="1"/>
    <col min="9" max="9" width="5.33203125" customWidth="1"/>
    <col min="10" max="14" width="12.77734375" customWidth="1"/>
    <col min="15" max="15" width="10.77734375" customWidth="1"/>
  </cols>
  <sheetData>
    <row r="1" spans="1:14" ht="19" x14ac:dyDescent="0.2">
      <c r="A1" s="58">
        <f>IF(SUM($A11:$A53)&gt;0,1,0)</f>
        <v>0</v>
      </c>
      <c r="B1" s="3" t="s">
        <v>147</v>
      </c>
    </row>
    <row r="2" spans="1:14" x14ac:dyDescent="0.2">
      <c r="B2" s="13" t="str">
        <f>Title_Msg</f>
        <v>No Errors Found</v>
      </c>
    </row>
    <row r="3" spans="1:14" x14ac:dyDescent="0.2">
      <c r="B3" s="46" t="str">
        <f>TOC!B1</f>
        <v>Table of Contents</v>
      </c>
      <c r="C3" s="41"/>
      <c r="D3" s="41"/>
      <c r="E3" s="41"/>
    </row>
    <row r="4" spans="1:14" ht="13" x14ac:dyDescent="0.2">
      <c r="B4" s="39" t="str">
        <f>Model_Name</f>
        <v>Rate of Return Model - Transgrid (TGD) - Waratah Super Battery</v>
      </c>
    </row>
    <row r="5" spans="1:14" ht="12.5" hidden="1" outlineLevel="1" x14ac:dyDescent="0.2">
      <c r="B5" s="10" t="str">
        <f>Lookup!B14</f>
        <v>Period Start Date</v>
      </c>
      <c r="J5" s="51">
        <f>Lookup!L14</f>
        <v>45474</v>
      </c>
      <c r="K5" s="51">
        <f>Lookup!M14</f>
        <v>45839</v>
      </c>
      <c r="L5" s="51">
        <f>Lookup!N14</f>
        <v>46204</v>
      </c>
      <c r="M5" s="51">
        <f>Lookup!O14</f>
        <v>46569</v>
      </c>
      <c r="N5" s="51">
        <f>Lookup!P14</f>
        <v>46935</v>
      </c>
    </row>
    <row r="6" spans="1:14" ht="12.5" hidden="1" outlineLevel="1" x14ac:dyDescent="0.2">
      <c r="B6" s="10" t="str">
        <f>Lookup!B15</f>
        <v>Period End Date</v>
      </c>
      <c r="J6" s="51">
        <f>Lookup!L15</f>
        <v>45838</v>
      </c>
      <c r="K6" s="51">
        <f>Lookup!M15</f>
        <v>46203</v>
      </c>
      <c r="L6" s="51">
        <f>Lookup!N15</f>
        <v>46568</v>
      </c>
      <c r="M6" s="51">
        <f>Lookup!O15</f>
        <v>46934</v>
      </c>
      <c r="N6" s="51">
        <f>Lookup!P15</f>
        <v>47299</v>
      </c>
    </row>
    <row r="7" spans="1:14" ht="12.5" hidden="1" outlineLevel="1" x14ac:dyDescent="0.2">
      <c r="B7" s="10" t="str">
        <f>Lookup!B16</f>
        <v>Period Counter</v>
      </c>
      <c r="J7" s="52">
        <f>Lookup!L16</f>
        <v>4</v>
      </c>
      <c r="K7" s="52">
        <f>Lookup!M16</f>
        <v>5</v>
      </c>
      <c r="L7" s="52">
        <f>Lookup!N16</f>
        <v>6</v>
      </c>
      <c r="M7" s="52">
        <f>Lookup!O16</f>
        <v>7</v>
      </c>
      <c r="N7" s="52">
        <f>Lookup!P16</f>
        <v>8</v>
      </c>
    </row>
    <row r="8" spans="1:14" ht="12.5" hidden="1" outlineLevel="1" x14ac:dyDescent="0.2">
      <c r="B8" s="10" t="str">
        <f>Lookup!B17</f>
        <v>Year</v>
      </c>
      <c r="J8" s="53">
        <f>Lookup!L17</f>
        <v>2025</v>
      </c>
      <c r="K8" s="53">
        <f>Lookup!M17</f>
        <v>2026</v>
      </c>
      <c r="L8" s="53">
        <f>Lookup!N17</f>
        <v>2027</v>
      </c>
      <c r="M8" s="53">
        <f>Lookup!O17</f>
        <v>2028</v>
      </c>
      <c r="N8" s="53">
        <f>Lookup!P17</f>
        <v>2029</v>
      </c>
    </row>
    <row r="9" spans="1:14" ht="12.5" hidden="1" outlineLevel="1" x14ac:dyDescent="0.2">
      <c r="B9" s="10" t="str">
        <f>Lookup!B18</f>
        <v>Period Type</v>
      </c>
      <c r="J9" s="53" t="str">
        <f>Lookup!L18</f>
        <v>Forecast</v>
      </c>
      <c r="K9" s="53" t="str">
        <f>Lookup!M18</f>
        <v>Forecast</v>
      </c>
      <c r="L9" s="53" t="str">
        <f>Lookup!N18</f>
        <v>Forecast</v>
      </c>
      <c r="M9" s="53" t="str">
        <f>Lookup!O18</f>
        <v>Forecast</v>
      </c>
      <c r="N9" s="53" t="str">
        <f>Lookup!P18</f>
        <v>Forecast</v>
      </c>
    </row>
    <row r="10" spans="1:14" ht="13" collapsed="1" x14ac:dyDescent="0.2">
      <c r="B10" s="5" t="str">
        <f>Lookup!B19</f>
        <v>Regulatory Year</v>
      </c>
      <c r="E10" s="50" t="str">
        <f>Lookup!E19</f>
        <v>Source</v>
      </c>
      <c r="F10" s="50" t="str">
        <f>Lookup!F19</f>
        <v>Unit</v>
      </c>
      <c r="G10" s="50" t="str">
        <f>Lookup!G19</f>
        <v>Basis</v>
      </c>
      <c r="H10" s="50" t="str">
        <f>Lookup!H19</f>
        <v>Timing</v>
      </c>
      <c r="I10" s="50"/>
      <c r="J10" s="50" t="str">
        <f>Lookup!L19</f>
        <v>FY25</v>
      </c>
      <c r="K10" s="50" t="str">
        <f>Lookup!M19</f>
        <v>FY26</v>
      </c>
      <c r="L10" s="50" t="str">
        <f>Lookup!N19</f>
        <v>FY27</v>
      </c>
      <c r="M10" s="50" t="str">
        <f>Lookup!O19</f>
        <v>FY28</v>
      </c>
      <c r="N10" s="50" t="str">
        <f>Lookup!P19</f>
        <v>FY29</v>
      </c>
    </row>
    <row r="12" spans="1:14" s="2" customFormat="1" ht="15.5" x14ac:dyDescent="0.2">
      <c r="B12" s="2" t="s">
        <v>127</v>
      </c>
    </row>
    <row r="13" spans="1:14" ht="4.5" customHeight="1" x14ac:dyDescent="0.2"/>
    <row r="14" spans="1:14" s="8" customFormat="1" ht="14" x14ac:dyDescent="0.2">
      <c r="C14" s="8" t="s">
        <v>128</v>
      </c>
    </row>
    <row r="15" spans="1:14" ht="11.25" customHeight="1" x14ac:dyDescent="0.2"/>
    <row r="16" spans="1:14" ht="13" x14ac:dyDescent="0.2">
      <c r="D16" s="61" t="s">
        <v>87</v>
      </c>
      <c r="E16" s="54" t="str">
        <f>Lookup!E$19</f>
        <v>Source</v>
      </c>
      <c r="F16" s="54" t="str">
        <f>Lookup!F$19</f>
        <v>Unit</v>
      </c>
      <c r="G16" s="54" t="str">
        <f>Lookup!G$19</f>
        <v>Basis</v>
      </c>
      <c r="H16" s="54" t="str">
        <f>Lookup!H$19</f>
        <v>Timing</v>
      </c>
      <c r="J16" s="54" t="str">
        <f>J$10</f>
        <v>FY25</v>
      </c>
      <c r="K16" s="54" t="str">
        <f t="shared" ref="K16:N16" si="0">K$10</f>
        <v>FY26</v>
      </c>
      <c r="L16" s="54" t="str">
        <f t="shared" si="0"/>
        <v>FY27</v>
      </c>
      <c r="M16" s="54" t="str">
        <f t="shared" si="0"/>
        <v>FY28</v>
      </c>
      <c r="N16" s="54" t="str">
        <f t="shared" si="0"/>
        <v>FY29</v>
      </c>
    </row>
    <row r="18" spans="3:14" ht="12.65" customHeight="1" x14ac:dyDescent="0.2">
      <c r="D18" s="10" t="s">
        <v>130</v>
      </c>
      <c r="E18" s="63" t="s">
        <v>88</v>
      </c>
      <c r="F18" s="63" t="str">
        <f>Percent</f>
        <v>Percent</v>
      </c>
      <c r="G18" s="63" t="str">
        <f>Nominal</f>
        <v>Nominal</v>
      </c>
      <c r="H18" s="63" t="str">
        <f>NA</f>
        <v>N/A</v>
      </c>
      <c r="J18" s="77">
        <f>Input_Data!M19</f>
        <v>0.03</v>
      </c>
      <c r="K18" s="77">
        <f>Input_Data!N19</f>
        <v>2.8749999999999998E-2</v>
      </c>
      <c r="L18" s="77">
        <f>Input_Data!O19</f>
        <v>2.75E-2</v>
      </c>
      <c r="M18" s="77">
        <f>Input_Data!P19</f>
        <v>2.6249999999999999E-2</v>
      </c>
      <c r="N18" s="77">
        <f>Input_Data!Q19</f>
        <v>2.5000000000000001E-2</v>
      </c>
    </row>
    <row r="19" spans="3:14" ht="12.65" customHeight="1" x14ac:dyDescent="0.2"/>
    <row r="20" spans="3:14" ht="12.65" customHeight="1" x14ac:dyDescent="0.2">
      <c r="D20" s="10" t="s">
        <v>131</v>
      </c>
      <c r="E20" s="63" t="s">
        <v>88</v>
      </c>
      <c r="F20" s="63" t="str">
        <f>Percent</f>
        <v>Percent</v>
      </c>
      <c r="G20" s="63" t="str">
        <f>Nominal</f>
        <v>Nominal</v>
      </c>
      <c r="H20" s="63" t="str">
        <f>NA</f>
        <v>N/A</v>
      </c>
      <c r="J20" s="77">
        <f>ROE</f>
        <v>7.4805835780956703E-2</v>
      </c>
      <c r="K20" s="43"/>
      <c r="L20" s="43"/>
      <c r="M20" s="43"/>
      <c r="N20" s="43"/>
    </row>
    <row r="21" spans="3:14" ht="12.65" customHeight="1" x14ac:dyDescent="0.2">
      <c r="D21" s="10" t="s">
        <v>132</v>
      </c>
      <c r="E21" s="63" t="s">
        <v>88</v>
      </c>
      <c r="F21" s="63" t="str">
        <f>Percent</f>
        <v>Percent</v>
      </c>
      <c r="G21" s="63" t="str">
        <f>Nominal</f>
        <v>Nominal</v>
      </c>
      <c r="H21" s="63" t="str">
        <f>NA</f>
        <v>N/A</v>
      </c>
      <c r="J21" s="77">
        <f>Gamma</f>
        <v>0.56999999999999995</v>
      </c>
      <c r="K21" s="43"/>
      <c r="L21" s="43"/>
      <c r="M21" s="43"/>
      <c r="N21" s="43"/>
    </row>
    <row r="22" spans="3:14" ht="12.65" customHeight="1" x14ac:dyDescent="0.2">
      <c r="D22" s="10" t="s">
        <v>133</v>
      </c>
      <c r="E22" s="63" t="s">
        <v>88</v>
      </c>
      <c r="F22" s="63" t="str">
        <f>Percent</f>
        <v>Percent</v>
      </c>
      <c r="G22" s="63" t="str">
        <f>Nominal</f>
        <v>Nominal</v>
      </c>
      <c r="H22" s="63" t="str">
        <f>NA</f>
        <v>N/A</v>
      </c>
      <c r="J22" s="77">
        <f>Leverage</f>
        <v>0.6</v>
      </c>
      <c r="K22" s="43"/>
      <c r="L22" s="43"/>
      <c r="M22" s="43"/>
      <c r="N22" s="43"/>
    </row>
    <row r="23" spans="3:14" ht="12.65" customHeight="1" x14ac:dyDescent="0.2"/>
    <row r="24" spans="3:14" ht="12.65" customHeight="1" x14ac:dyDescent="0.2">
      <c r="D24" s="10" t="s">
        <v>141</v>
      </c>
      <c r="E24" s="63" t="s">
        <v>88</v>
      </c>
      <c r="F24" s="63" t="str">
        <f>Percent</f>
        <v>Percent</v>
      </c>
      <c r="G24" s="63" t="str">
        <f>Nominal</f>
        <v>Nominal</v>
      </c>
      <c r="H24" s="63" t="str">
        <f>NA</f>
        <v>N/A</v>
      </c>
      <c r="J24" s="77">
        <f>Calc_Returns!J94</f>
        <v>6.3474784244186358E-2</v>
      </c>
      <c r="K24" s="77">
        <f>Calc_Returns!K94</f>
        <v>6.3474784244186358E-2</v>
      </c>
      <c r="L24" s="77">
        <f>Calc_Returns!L94</f>
        <v>6.3474784244186358E-2</v>
      </c>
      <c r="M24" s="77">
        <f>Calc_Returns!M94</f>
        <v>6.3474784244186358E-2</v>
      </c>
      <c r="N24" s="77">
        <f>Calc_Returns!N94</f>
        <v>6.3474784244186358E-2</v>
      </c>
    </row>
    <row r="25" spans="3:14" ht="12.65" customHeight="1" x14ac:dyDescent="0.2"/>
    <row r="26" spans="3:14" ht="12.65" customHeight="1" x14ac:dyDescent="0.2">
      <c r="D26" s="10" t="s">
        <v>171</v>
      </c>
      <c r="E26" s="63" t="s">
        <v>88</v>
      </c>
      <c r="F26" s="63" t="str">
        <f>Percent</f>
        <v>Percent</v>
      </c>
      <c r="G26" s="63" t="str">
        <f>Nominal</f>
        <v>Nominal</v>
      </c>
      <c r="H26" s="63" t="str">
        <f>NA</f>
        <v>N/A</v>
      </c>
      <c r="J26" s="77">
        <f>$J$20*(1-$J$22)+J24*$J$22</f>
        <v>6.8007204858894499E-2</v>
      </c>
      <c r="K26" s="77">
        <f t="shared" ref="K26:N26" si="1">$J$20*(1-$J$22)+K24*$J$22</f>
        <v>6.8007204858894499E-2</v>
      </c>
      <c r="L26" s="77">
        <f t="shared" si="1"/>
        <v>6.8007204858894499E-2</v>
      </c>
      <c r="M26" s="77">
        <f t="shared" si="1"/>
        <v>6.8007204858894499E-2</v>
      </c>
      <c r="N26" s="77">
        <f t="shared" si="1"/>
        <v>6.8007204858894499E-2</v>
      </c>
    </row>
    <row r="28" spans="3:14" ht="11.25" customHeight="1" x14ac:dyDescent="0.2"/>
    <row r="29" spans="3:14" s="8" customFormat="1" ht="14" x14ac:dyDescent="0.2">
      <c r="C29" s="8" t="s">
        <v>129</v>
      </c>
    </row>
    <row r="30" spans="3:14" ht="11.25" customHeight="1" x14ac:dyDescent="0.2"/>
    <row r="31" spans="3:14" ht="13" x14ac:dyDescent="0.2">
      <c r="D31" s="61" t="s">
        <v>87</v>
      </c>
      <c r="E31" s="54" t="str">
        <f>Lookup!E$19</f>
        <v>Source</v>
      </c>
      <c r="F31" s="54" t="str">
        <f>Lookup!F$19</f>
        <v>Unit</v>
      </c>
      <c r="G31" s="54" t="str">
        <f>Lookup!G$19</f>
        <v>Basis</v>
      </c>
      <c r="H31" s="54" t="str">
        <f>Lookup!H$19</f>
        <v>Timing</v>
      </c>
      <c r="J31" s="54" t="str">
        <f>J$10&amp;" - "&amp;N$10</f>
        <v>FY25 - FY29</v>
      </c>
    </row>
    <row r="32" spans="3:14" ht="11.25" customHeight="1" x14ac:dyDescent="0.2"/>
    <row r="33" spans="3:11" ht="12.65" customHeight="1" x14ac:dyDescent="0.2">
      <c r="D33" s="10" t="s">
        <v>120</v>
      </c>
      <c r="E33" s="63" t="s">
        <v>88</v>
      </c>
      <c r="F33" s="63" t="str">
        <f>Percent</f>
        <v>Percent</v>
      </c>
      <c r="G33" s="63" t="str">
        <f>Nominal</f>
        <v>Nominal</v>
      </c>
      <c r="H33" s="63" t="str">
        <f>NA</f>
        <v>N/A</v>
      </c>
      <c r="J33" s="77">
        <f>Input_Data!J128</f>
        <v>0.878670689</v>
      </c>
    </row>
    <row r="34" spans="3:11" ht="12.65" customHeight="1" x14ac:dyDescent="0.2">
      <c r="D34" s="10" t="s">
        <v>121</v>
      </c>
      <c r="E34" s="63" t="s">
        <v>88</v>
      </c>
      <c r="F34" s="63" t="str">
        <f>Percent</f>
        <v>Percent</v>
      </c>
      <c r="G34" s="63" t="str">
        <f>Nominal</f>
        <v>Nominal</v>
      </c>
      <c r="H34" s="63" t="str">
        <f>NA</f>
        <v>N/A</v>
      </c>
      <c r="J34" s="77">
        <f>Input_Data!J129</f>
        <v>0.03</v>
      </c>
    </row>
    <row r="35" spans="3:11" ht="12.65" customHeight="1" x14ac:dyDescent="0.2">
      <c r="D35" s="10" t="s">
        <v>122</v>
      </c>
      <c r="E35" s="63" t="s">
        <v>88</v>
      </c>
      <c r="F35" s="63" t="str">
        <f>Percent</f>
        <v>Percent</v>
      </c>
      <c r="G35" s="63" t="str">
        <f>Nominal</f>
        <v>Nominal</v>
      </c>
      <c r="H35" s="63" t="str">
        <f>NA</f>
        <v>N/A</v>
      </c>
      <c r="J35" s="77">
        <f>Input_Data!J130</f>
        <v>0.01</v>
      </c>
    </row>
    <row r="36" spans="3:11" ht="12.65" customHeight="1" x14ac:dyDescent="0.2">
      <c r="D36" s="10" t="s">
        <v>123</v>
      </c>
      <c r="E36" s="63" t="s">
        <v>88</v>
      </c>
      <c r="F36" s="63" t="str">
        <f>Percent</f>
        <v>Percent</v>
      </c>
      <c r="G36" s="63" t="str">
        <f>Nominal</f>
        <v>Nominal</v>
      </c>
      <c r="H36" s="63" t="str">
        <f>NA</f>
        <v>N/A</v>
      </c>
      <c r="J36" s="77">
        <f>Input_Data!J131</f>
        <v>0.3</v>
      </c>
    </row>
    <row r="37" spans="3:11" ht="12.65" customHeight="1" x14ac:dyDescent="0.2">
      <c r="D37" s="10" t="s">
        <v>100</v>
      </c>
      <c r="E37" s="63" t="s">
        <v>88</v>
      </c>
      <c r="F37" s="63" t="str">
        <f>Percent</f>
        <v>Percent</v>
      </c>
      <c r="G37" s="63" t="str">
        <f>Nominal</f>
        <v>Nominal</v>
      </c>
      <c r="H37" s="63" t="str">
        <f>NA</f>
        <v>N/A</v>
      </c>
      <c r="J37" s="77">
        <f>Input_Data!J132</f>
        <v>8.2811948728585933E-4</v>
      </c>
    </row>
    <row r="40" spans="3:11" s="8" customFormat="1" ht="14" x14ac:dyDescent="0.2">
      <c r="C40" s="8" t="s">
        <v>197</v>
      </c>
    </row>
    <row r="41" spans="3:11" ht="11.25" customHeight="1" x14ac:dyDescent="0.2"/>
    <row r="42" spans="3:11" ht="11.25" customHeight="1" x14ac:dyDescent="0.2">
      <c r="D42" s="61" t="s">
        <v>87</v>
      </c>
      <c r="E42" s="54" t="str">
        <f>Lookup!E$19</f>
        <v>Source</v>
      </c>
      <c r="F42" s="54" t="str">
        <f>Lookup!F$19</f>
        <v>Unit</v>
      </c>
      <c r="G42" s="54" t="str">
        <f>Lookup!G$19</f>
        <v>Basis</v>
      </c>
      <c r="H42" s="54" t="str">
        <f>Lookup!H$19</f>
        <v>Timing</v>
      </c>
      <c r="J42" s="54" t="str">
        <f>Lookup!J19</f>
        <v>FY23</v>
      </c>
      <c r="K42" s="54" t="str">
        <f>Lookup!K19</f>
        <v>FY24</v>
      </c>
    </row>
    <row r="43" spans="3:11" ht="11.25" customHeight="1" x14ac:dyDescent="0.2"/>
    <row r="44" spans="3:11" ht="11.25" customHeight="1" x14ac:dyDescent="0.2">
      <c r="D44" s="10" t="s">
        <v>194</v>
      </c>
      <c r="E44" s="63" t="s">
        <v>88</v>
      </c>
      <c r="F44" s="63" t="str">
        <f>Percent</f>
        <v>Percent</v>
      </c>
      <c r="G44" s="63" t="str">
        <f>Nominal</f>
        <v>Nominal</v>
      </c>
      <c r="H44" s="63" t="str">
        <f>NA</f>
        <v>N/A</v>
      </c>
      <c r="J44" s="77">
        <f>Calc_Returns!R40</f>
        <v>2.1957565319778549E-2</v>
      </c>
      <c r="K44" s="77">
        <f>RFR</f>
        <v>3.7605835780956706E-2</v>
      </c>
    </row>
    <row r="45" spans="3:11" ht="11.25" customHeight="1" x14ac:dyDescent="0.2">
      <c r="D45" s="10" t="s">
        <v>195</v>
      </c>
      <c r="E45" s="63" t="s">
        <v>88</v>
      </c>
      <c r="F45" s="63" t="str">
        <f>Percent</f>
        <v>Percent</v>
      </c>
      <c r="G45" s="63" t="str">
        <f>Nominal</f>
        <v>Nominal</v>
      </c>
      <c r="H45" s="63" t="str">
        <f>NA</f>
        <v>N/A</v>
      </c>
      <c r="J45" s="77">
        <f>MRP</f>
        <v>6.2E-2</v>
      </c>
      <c r="K45" s="77">
        <f>MRP</f>
        <v>6.2E-2</v>
      </c>
    </row>
    <row r="46" spans="3:11" ht="11.25" customHeight="1" x14ac:dyDescent="0.2">
      <c r="D46" s="10" t="s">
        <v>196</v>
      </c>
      <c r="E46" s="63" t="s">
        <v>88</v>
      </c>
      <c r="F46" s="63" t="str">
        <f>Percent</f>
        <v>Percent</v>
      </c>
      <c r="G46" s="63" t="str">
        <f>Nominal</f>
        <v>Nominal</v>
      </c>
      <c r="H46" s="63" t="str">
        <f>NA</f>
        <v>N/A</v>
      </c>
      <c r="J46" s="77">
        <f>Beta</f>
        <v>0.6</v>
      </c>
      <c r="K46" s="77">
        <f>Beta</f>
        <v>0.6</v>
      </c>
    </row>
    <row r="47" spans="3:11" ht="11.25" customHeight="1" x14ac:dyDescent="0.2"/>
    <row r="48" spans="3:11" ht="11.25" customHeight="1" x14ac:dyDescent="0.2">
      <c r="D48" s="10" t="s">
        <v>193</v>
      </c>
      <c r="E48" s="63" t="s">
        <v>88</v>
      </c>
      <c r="F48" s="63" t="str">
        <f>Percent</f>
        <v>Percent</v>
      </c>
      <c r="G48" s="63" t="str">
        <f>Nominal</f>
        <v>Nominal</v>
      </c>
      <c r="H48" s="63" t="str">
        <f>NA</f>
        <v>N/A</v>
      </c>
      <c r="J48" s="77">
        <f>Input_Data!K102</f>
        <v>3.6526059548021642E-2</v>
      </c>
      <c r="K48" s="77">
        <f>Input_Data!L102</f>
        <v>6.3474784244186358E-2</v>
      </c>
    </row>
    <row r="49" spans="2:11" ht="11.25" customHeight="1" x14ac:dyDescent="0.2"/>
    <row r="50" spans="2:11" ht="11.25" customHeight="1" x14ac:dyDescent="0.2">
      <c r="D50" s="10" t="s">
        <v>133</v>
      </c>
      <c r="E50" s="63" t="s">
        <v>88</v>
      </c>
      <c r="F50" s="63" t="str">
        <f>Percent</f>
        <v>Percent</v>
      </c>
      <c r="G50" s="63" t="str">
        <f>Nominal</f>
        <v>Nominal</v>
      </c>
      <c r="H50" s="63" t="str">
        <f>NA</f>
        <v>N/A</v>
      </c>
      <c r="J50" s="77">
        <f>Leverage</f>
        <v>0.6</v>
      </c>
      <c r="K50" s="77">
        <f>Leverage</f>
        <v>0.6</v>
      </c>
    </row>
    <row r="51" spans="2:11" ht="11.25" customHeight="1" x14ac:dyDescent="0.2"/>
    <row r="52" spans="2:11" ht="11.25" customHeight="1" x14ac:dyDescent="0.2"/>
    <row r="53" spans="2:11" s="2" customFormat="1" ht="15.5" x14ac:dyDescent="0.2">
      <c r="B53" s="2" t="s">
        <v>32</v>
      </c>
    </row>
  </sheetData>
  <conditionalFormatting sqref="B2">
    <cfRule type="cellIs" dxfId="3" priority="1" operator="notEqual">
      <formula>"No Errors Found"</formula>
    </cfRule>
  </conditionalFormatting>
  <hyperlinks>
    <hyperlink ref="B3:E3" location="TOC!A1" display="TOC!A1" xr:uid="{00000000-0004-0000-06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B1:P73"/>
  <sheetViews>
    <sheetView showGridLines="0" zoomScaleNormal="100" workbookViewId="0">
      <pane xSplit="1" ySplit="4" topLeftCell="B5" activePane="bottomRight" state="frozen"/>
      <selection activeCell="C24" sqref="C24"/>
      <selection pane="topRight" activeCell="C24" sqref="C24"/>
      <selection pane="bottomLeft" activeCell="C24" sqref="C24"/>
      <selection pane="bottomRight" activeCell="B5" sqref="B5"/>
    </sheetView>
  </sheetViews>
  <sheetFormatPr defaultColWidth="9.33203125" defaultRowHeight="10" outlineLevelRow="1" x14ac:dyDescent="0.2"/>
  <cols>
    <col min="1" max="3" width="2.77734375" customWidth="1"/>
    <col min="4" max="4" width="34" customWidth="1"/>
    <col min="5" max="8" width="20.6640625" customWidth="1"/>
    <col min="9" max="16" width="12.6640625" customWidth="1"/>
  </cols>
  <sheetData>
    <row r="1" spans="2:16" ht="19" x14ac:dyDescent="0.2">
      <c r="B1" s="3" t="s">
        <v>45</v>
      </c>
    </row>
    <row r="2" spans="2:16" x14ac:dyDescent="0.2">
      <c r="B2" s="13" t="str">
        <f>Title_Msg</f>
        <v>No Errors Found</v>
      </c>
    </row>
    <row r="3" spans="2:16" x14ac:dyDescent="0.2">
      <c r="B3" s="46" t="str">
        <f>TOC!B1</f>
        <v>Table of Contents</v>
      </c>
      <c r="C3" s="41"/>
      <c r="D3" s="41"/>
      <c r="E3" s="41"/>
    </row>
    <row r="4" spans="2:16" ht="13" x14ac:dyDescent="0.2">
      <c r="B4" s="39" t="str">
        <f>Model_Name</f>
        <v>Rate of Return Model - Transgrid (TGD) - Waratah Super Battery</v>
      </c>
    </row>
    <row r="6" spans="2:16" s="2" customFormat="1" ht="15.5" x14ac:dyDescent="0.2">
      <c r="B6" s="2" t="s">
        <v>30</v>
      </c>
    </row>
    <row r="7" spans="2:16" ht="6.75" customHeight="1" x14ac:dyDescent="0.2"/>
    <row r="8" spans="2:16" s="8" customFormat="1" ht="14" x14ac:dyDescent="0.2">
      <c r="C8" s="8" t="s">
        <v>55</v>
      </c>
    </row>
    <row r="9" spans="2:16" x14ac:dyDescent="0.2">
      <c r="D9" s="1"/>
    </row>
    <row r="10" spans="2:16" ht="12.5" x14ac:dyDescent="0.2">
      <c r="D10" s="11" t="s">
        <v>54</v>
      </c>
      <c r="E10" s="47">
        <v>44378</v>
      </c>
    </row>
    <row r="11" spans="2:16" x14ac:dyDescent="0.2">
      <c r="I11" s="18"/>
      <c r="J11" s="19"/>
      <c r="K11" s="19"/>
      <c r="L11" s="19"/>
    </row>
    <row r="12" spans="2:16" s="8" customFormat="1" ht="14" x14ac:dyDescent="0.2">
      <c r="C12" s="8" t="s">
        <v>56</v>
      </c>
    </row>
    <row r="13" spans="2:16" x14ac:dyDescent="0.2">
      <c r="I13" s="18"/>
      <c r="J13" s="19"/>
      <c r="K13" s="19"/>
      <c r="L13" s="19"/>
    </row>
    <row r="14" spans="2:16" ht="12.5" hidden="1" outlineLevel="1" x14ac:dyDescent="0.2">
      <c r="B14" s="11" t="s">
        <v>52</v>
      </c>
      <c r="I14" s="48">
        <f>IF(I16=1,Model_Start_Date,H15+1)</f>
        <v>44378</v>
      </c>
      <c r="J14" s="48">
        <f t="shared" ref="J14:P14" si="0">IF(J16=1,Model_Start_Date,I15+1)</f>
        <v>44743</v>
      </c>
      <c r="K14" s="48">
        <f t="shared" si="0"/>
        <v>45108</v>
      </c>
      <c r="L14" s="48">
        <f t="shared" si="0"/>
        <v>45474</v>
      </c>
      <c r="M14" s="48">
        <f t="shared" si="0"/>
        <v>45839</v>
      </c>
      <c r="N14" s="48">
        <f t="shared" si="0"/>
        <v>46204</v>
      </c>
      <c r="O14" s="48">
        <f t="shared" si="0"/>
        <v>46569</v>
      </c>
      <c r="P14" s="48">
        <f t="shared" si="0"/>
        <v>46935</v>
      </c>
    </row>
    <row r="15" spans="2:16" ht="12.5" hidden="1" outlineLevel="1" x14ac:dyDescent="0.2">
      <c r="B15" s="11" t="s">
        <v>53</v>
      </c>
      <c r="I15" s="48">
        <f t="shared" ref="I15:P15" si="1">EOMONTH(I14,Mths_In_Yr-1)</f>
        <v>44742</v>
      </c>
      <c r="J15" s="48">
        <f t="shared" si="1"/>
        <v>45107</v>
      </c>
      <c r="K15" s="48">
        <f t="shared" si="1"/>
        <v>45473</v>
      </c>
      <c r="L15" s="48">
        <f t="shared" si="1"/>
        <v>45838</v>
      </c>
      <c r="M15" s="48">
        <f t="shared" si="1"/>
        <v>46203</v>
      </c>
      <c r="N15" s="48">
        <f t="shared" si="1"/>
        <v>46568</v>
      </c>
      <c r="O15" s="48">
        <f t="shared" si="1"/>
        <v>46934</v>
      </c>
      <c r="P15" s="48">
        <f t="shared" si="1"/>
        <v>47299</v>
      </c>
    </row>
    <row r="16" spans="2:16" ht="12.5" hidden="1" outlineLevel="1" x14ac:dyDescent="0.2">
      <c r="B16" s="11" t="s">
        <v>51</v>
      </c>
      <c r="I16" s="21">
        <f>N(H16)+1</f>
        <v>1</v>
      </c>
      <c r="J16" s="21">
        <f t="shared" ref="J16:P16" si="2">N(I16)+1</f>
        <v>2</v>
      </c>
      <c r="K16" s="21">
        <f t="shared" si="2"/>
        <v>3</v>
      </c>
      <c r="L16" s="21">
        <f t="shared" si="2"/>
        <v>4</v>
      </c>
      <c r="M16" s="21">
        <f t="shared" si="2"/>
        <v>5</v>
      </c>
      <c r="N16" s="21">
        <f t="shared" si="2"/>
        <v>6</v>
      </c>
      <c r="O16" s="21">
        <f t="shared" si="2"/>
        <v>7</v>
      </c>
      <c r="P16" s="21">
        <f t="shared" si="2"/>
        <v>8</v>
      </c>
    </row>
    <row r="17" spans="2:16" ht="12.5" hidden="1" outlineLevel="1" x14ac:dyDescent="0.2">
      <c r="B17" s="11" t="s">
        <v>57</v>
      </c>
      <c r="I17" s="7">
        <f t="shared" ref="I17:P17" si="3">YEAR(I15)</f>
        <v>2022</v>
      </c>
      <c r="J17" s="7">
        <f t="shared" si="3"/>
        <v>2023</v>
      </c>
      <c r="K17" s="7">
        <f t="shared" si="3"/>
        <v>2024</v>
      </c>
      <c r="L17" s="7">
        <f t="shared" si="3"/>
        <v>2025</v>
      </c>
      <c r="M17" s="7">
        <f t="shared" si="3"/>
        <v>2026</v>
      </c>
      <c r="N17" s="7">
        <f t="shared" si="3"/>
        <v>2027</v>
      </c>
      <c r="O17" s="7">
        <f t="shared" si="3"/>
        <v>2028</v>
      </c>
      <c r="P17" s="7">
        <f t="shared" si="3"/>
        <v>2029</v>
      </c>
    </row>
    <row r="18" spans="2:16" ht="12.5" hidden="1" outlineLevel="1" x14ac:dyDescent="0.2">
      <c r="B18" s="11" t="s">
        <v>58</v>
      </c>
      <c r="I18" s="14" t="s">
        <v>59</v>
      </c>
      <c r="J18" s="14" t="s">
        <v>166</v>
      </c>
      <c r="K18" s="14" t="s">
        <v>166</v>
      </c>
      <c r="L18" s="14" t="s">
        <v>60</v>
      </c>
      <c r="M18" s="14" t="s">
        <v>60</v>
      </c>
      <c r="N18" s="14" t="s">
        <v>60</v>
      </c>
      <c r="O18" s="14" t="s">
        <v>60</v>
      </c>
      <c r="P18" s="14" t="s">
        <v>60</v>
      </c>
    </row>
    <row r="19" spans="2:16" ht="13" collapsed="1" x14ac:dyDescent="0.2">
      <c r="B19" s="9" t="s">
        <v>61</v>
      </c>
      <c r="E19" s="15" t="s">
        <v>62</v>
      </c>
      <c r="F19" s="15" t="s">
        <v>63</v>
      </c>
      <c r="G19" s="15" t="s">
        <v>64</v>
      </c>
      <c r="H19" s="15" t="s">
        <v>65</v>
      </c>
      <c r="I19" s="49" t="str">
        <f t="shared" ref="I19:P19" si="4">"FY"&amp;RIGHT(I17,2)</f>
        <v>FY22</v>
      </c>
      <c r="J19" s="49" t="str">
        <f t="shared" si="4"/>
        <v>FY23</v>
      </c>
      <c r="K19" s="49" t="str">
        <f t="shared" si="4"/>
        <v>FY24</v>
      </c>
      <c r="L19" s="49" t="str">
        <f t="shared" si="4"/>
        <v>FY25</v>
      </c>
      <c r="M19" s="49" t="str">
        <f t="shared" si="4"/>
        <v>FY26</v>
      </c>
      <c r="N19" s="49" t="str">
        <f t="shared" si="4"/>
        <v>FY27</v>
      </c>
      <c r="O19" s="49" t="str">
        <f t="shared" si="4"/>
        <v>FY28</v>
      </c>
      <c r="P19" s="49" t="str">
        <f t="shared" si="4"/>
        <v>FY29</v>
      </c>
    </row>
    <row r="20" spans="2:16" x14ac:dyDescent="0.2">
      <c r="I20" s="18"/>
      <c r="J20" s="19"/>
      <c r="K20" s="19"/>
      <c r="L20" s="19"/>
    </row>
    <row r="21" spans="2:16" s="2" customFormat="1" ht="15.5" x14ac:dyDescent="0.2">
      <c r="B21" s="2" t="s">
        <v>45</v>
      </c>
    </row>
    <row r="22" spans="2:16" x14ac:dyDescent="0.2">
      <c r="I22" s="18"/>
      <c r="J22" s="19"/>
      <c r="K22" s="19"/>
      <c r="L22" s="19"/>
    </row>
    <row r="23" spans="2:16" ht="13" x14ac:dyDescent="0.2">
      <c r="C23" s="4" t="s">
        <v>0</v>
      </c>
      <c r="E23" s="15" t="s">
        <v>1</v>
      </c>
    </row>
    <row r="24" spans="2:16" x14ac:dyDescent="0.2">
      <c r="E24" s="16"/>
    </row>
    <row r="25" spans="2:16" ht="12.5" x14ac:dyDescent="0.2">
      <c r="D25" s="12">
        <v>1</v>
      </c>
      <c r="E25" s="17" t="s">
        <v>2</v>
      </c>
    </row>
    <row r="26" spans="2:16" ht="12.5" x14ac:dyDescent="0.2">
      <c r="D26" s="12">
        <v>3</v>
      </c>
      <c r="E26" s="17" t="s">
        <v>3</v>
      </c>
    </row>
    <row r="27" spans="2:16" ht="12.5" x14ac:dyDescent="0.2">
      <c r="D27" s="12">
        <v>4</v>
      </c>
      <c r="E27" s="17" t="s">
        <v>33</v>
      </c>
    </row>
    <row r="28" spans="2:16" ht="12.5" x14ac:dyDescent="0.2">
      <c r="D28" s="12">
        <v>12</v>
      </c>
      <c r="E28" s="17" t="s">
        <v>4</v>
      </c>
    </row>
    <row r="29" spans="2:16" ht="12.5" x14ac:dyDescent="0.2">
      <c r="D29" s="12">
        <v>7</v>
      </c>
      <c r="E29" s="17" t="s">
        <v>13</v>
      </c>
    </row>
    <row r="30" spans="2:16" ht="12.5" x14ac:dyDescent="0.2">
      <c r="D30" s="12">
        <v>365</v>
      </c>
      <c r="E30" s="17" t="s">
        <v>46</v>
      </c>
    </row>
    <row r="31" spans="2:16" ht="12.5" x14ac:dyDescent="0.2">
      <c r="D31" s="12">
        <v>0.5</v>
      </c>
      <c r="E31" s="17" t="s">
        <v>8</v>
      </c>
    </row>
    <row r="32" spans="2:16" ht="12.5" x14ac:dyDescent="0.2">
      <c r="D32" s="12" t="s">
        <v>6</v>
      </c>
      <c r="E32" s="17" t="s">
        <v>6</v>
      </c>
    </row>
    <row r="33" spans="3:5" ht="12.5" x14ac:dyDescent="0.2">
      <c r="D33" s="12" t="s">
        <v>34</v>
      </c>
      <c r="E33" s="17" t="s">
        <v>35</v>
      </c>
    </row>
    <row r="34" spans="3:5" ht="12.5" x14ac:dyDescent="0.2">
      <c r="D34" s="12" t="s">
        <v>7</v>
      </c>
      <c r="E34" s="17" t="s">
        <v>7</v>
      </c>
    </row>
    <row r="35" spans="3:5" x14ac:dyDescent="0.2">
      <c r="E35" s="16"/>
    </row>
    <row r="36" spans="3:5" ht="13" x14ac:dyDescent="0.2">
      <c r="C36" s="4" t="s">
        <v>0</v>
      </c>
      <c r="E36" s="15" t="s">
        <v>1</v>
      </c>
    </row>
    <row r="37" spans="3:5" ht="12.5" x14ac:dyDescent="0.2">
      <c r="E37" s="17" t="s">
        <v>11</v>
      </c>
    </row>
    <row r="38" spans="3:5" ht="12.5" x14ac:dyDescent="0.2">
      <c r="D38" s="12" t="s">
        <v>9</v>
      </c>
      <c r="E38" s="17" t="s">
        <v>9</v>
      </c>
    </row>
    <row r="39" spans="3:5" ht="12.5" x14ac:dyDescent="0.2">
      <c r="D39" s="12" t="s">
        <v>10</v>
      </c>
      <c r="E39" s="17" t="s">
        <v>10</v>
      </c>
    </row>
    <row r="40" spans="3:5" x14ac:dyDescent="0.2">
      <c r="E40" s="16"/>
    </row>
    <row r="41" spans="3:5" ht="13" x14ac:dyDescent="0.2">
      <c r="C41" s="4" t="s">
        <v>70</v>
      </c>
      <c r="E41" s="15" t="s">
        <v>1</v>
      </c>
    </row>
    <row r="42" spans="3:5" ht="12.5" x14ac:dyDescent="0.2">
      <c r="E42" s="17" t="s">
        <v>78</v>
      </c>
    </row>
    <row r="43" spans="3:5" ht="12.5" x14ac:dyDescent="0.2">
      <c r="D43" s="12" t="s">
        <v>71</v>
      </c>
      <c r="E43" s="17" t="s">
        <v>71</v>
      </c>
    </row>
    <row r="44" spans="3:5" ht="12.5" x14ac:dyDescent="0.2">
      <c r="D44" s="12" t="s">
        <v>72</v>
      </c>
      <c r="E44" s="17" t="s">
        <v>72</v>
      </c>
    </row>
    <row r="45" spans="3:5" ht="12.5" x14ac:dyDescent="0.2">
      <c r="D45" s="12" t="s">
        <v>74</v>
      </c>
      <c r="E45" s="17" t="s">
        <v>76</v>
      </c>
    </row>
    <row r="46" spans="3:5" ht="12.5" x14ac:dyDescent="0.2">
      <c r="D46" s="12" t="s">
        <v>75</v>
      </c>
      <c r="E46" s="17" t="s">
        <v>77</v>
      </c>
    </row>
    <row r="47" spans="3:5" ht="12.5" x14ac:dyDescent="0.2">
      <c r="D47" s="12" t="s">
        <v>73</v>
      </c>
      <c r="E47" s="17" t="s">
        <v>73</v>
      </c>
    </row>
    <row r="48" spans="3:5" ht="12.5" x14ac:dyDescent="0.2">
      <c r="D48" s="12" t="s">
        <v>92</v>
      </c>
      <c r="E48" s="17" t="s">
        <v>92</v>
      </c>
    </row>
    <row r="49" spans="3:6" ht="12.5" x14ac:dyDescent="0.2">
      <c r="D49" s="12" t="s">
        <v>90</v>
      </c>
      <c r="E49" s="17" t="s">
        <v>160</v>
      </c>
    </row>
    <row r="50" spans="3:6" ht="12.5" x14ac:dyDescent="0.2">
      <c r="D50" s="12" t="s">
        <v>91</v>
      </c>
      <c r="E50" s="17" t="s">
        <v>161</v>
      </c>
    </row>
    <row r="51" spans="3:6" ht="12.5" x14ac:dyDescent="0.2">
      <c r="D51" s="12" t="s">
        <v>93</v>
      </c>
      <c r="E51" s="57" t="s">
        <v>94</v>
      </c>
    </row>
    <row r="52" spans="3:6" ht="12.5" x14ac:dyDescent="0.2">
      <c r="D52" s="12" t="str">
        <f>NA</f>
        <v>N/A</v>
      </c>
      <c r="E52" s="17" t="s">
        <v>89</v>
      </c>
    </row>
    <row r="53" spans="3:6" x14ac:dyDescent="0.2">
      <c r="E53" s="16"/>
    </row>
    <row r="54" spans="3:6" ht="13" x14ac:dyDescent="0.2">
      <c r="C54" s="4" t="s">
        <v>64</v>
      </c>
      <c r="E54" s="15" t="s">
        <v>1</v>
      </c>
    </row>
    <row r="55" spans="3:6" ht="12.5" x14ac:dyDescent="0.2">
      <c r="E55" s="17" t="s">
        <v>69</v>
      </c>
    </row>
    <row r="56" spans="3:6" ht="12.5" x14ac:dyDescent="0.2">
      <c r="D56" s="12" t="s">
        <v>66</v>
      </c>
      <c r="E56" s="17" t="s">
        <v>68</v>
      </c>
    </row>
    <row r="57" spans="3:6" ht="12.5" x14ac:dyDescent="0.2">
      <c r="D57" s="12" t="s">
        <v>98</v>
      </c>
      <c r="E57" s="17" t="s">
        <v>99</v>
      </c>
    </row>
    <row r="58" spans="3:6" ht="12.5" x14ac:dyDescent="0.2">
      <c r="D58" s="12" t="str">
        <f>NA</f>
        <v>N/A</v>
      </c>
      <c r="E58" s="17" t="s">
        <v>89</v>
      </c>
    </row>
    <row r="59" spans="3:6" ht="12.5" x14ac:dyDescent="0.2">
      <c r="D59" s="12" t="s">
        <v>67</v>
      </c>
      <c r="E59" s="17" t="s">
        <v>67</v>
      </c>
    </row>
    <row r="60" spans="3:6" x14ac:dyDescent="0.2">
      <c r="E60" s="16"/>
    </row>
    <row r="61" spans="3:6" ht="13" x14ac:dyDescent="0.2">
      <c r="C61" s="4" t="s">
        <v>65</v>
      </c>
      <c r="E61" s="15"/>
      <c r="F61" s="15" t="s">
        <v>1</v>
      </c>
    </row>
    <row r="62" spans="3:6" ht="12.5" x14ac:dyDescent="0.2">
      <c r="D62" s="17" t="s">
        <v>82</v>
      </c>
      <c r="E62" s="17" t="s">
        <v>83</v>
      </c>
    </row>
    <row r="63" spans="3:6" ht="12.5" x14ac:dyDescent="0.2">
      <c r="D63" s="12" t="s">
        <v>79</v>
      </c>
      <c r="E63" s="12">
        <v>0</v>
      </c>
      <c r="F63" s="17" t="s">
        <v>86</v>
      </c>
    </row>
    <row r="64" spans="3:6" ht="12.5" x14ac:dyDescent="0.2">
      <c r="D64" s="12" t="s">
        <v>80</v>
      </c>
      <c r="E64" s="12">
        <v>0.5</v>
      </c>
      <c r="F64" s="17" t="s">
        <v>85</v>
      </c>
    </row>
    <row r="65" spans="2:6" ht="12.5" x14ac:dyDescent="0.2">
      <c r="D65" s="12" t="s">
        <v>81</v>
      </c>
      <c r="E65" s="12">
        <v>1</v>
      </c>
      <c r="F65" s="17" t="s">
        <v>84</v>
      </c>
    </row>
    <row r="66" spans="2:6" ht="12.5" x14ac:dyDescent="0.2">
      <c r="D66" s="12" t="str">
        <f>NA</f>
        <v>N/A</v>
      </c>
      <c r="E66" s="12" t="str">
        <f>NA</f>
        <v>N/A</v>
      </c>
      <c r="F66" s="17"/>
    </row>
    <row r="67" spans="2:6" x14ac:dyDescent="0.2">
      <c r="E67" s="16"/>
    </row>
    <row r="68" spans="2:6" ht="13" x14ac:dyDescent="0.2">
      <c r="C68" s="4" t="s">
        <v>173</v>
      </c>
      <c r="E68" s="15" t="s">
        <v>1</v>
      </c>
    </row>
    <row r="69" spans="2:6" ht="12.5" x14ac:dyDescent="0.2">
      <c r="E69" s="17" t="s">
        <v>162</v>
      </c>
    </row>
    <row r="70" spans="2:6" ht="12.5" x14ac:dyDescent="0.2">
      <c r="D70" s="12" t="s">
        <v>59</v>
      </c>
    </row>
    <row r="71" spans="2:6" ht="12.5" x14ac:dyDescent="0.2">
      <c r="D71" s="12" t="s">
        <v>158</v>
      </c>
    </row>
    <row r="73" spans="2:6" s="2" customFormat="1" ht="15.5" x14ac:dyDescent="0.2">
      <c r="B73" s="2" t="s">
        <v>32</v>
      </c>
    </row>
  </sheetData>
  <conditionalFormatting sqref="B2">
    <cfRule type="cellIs" dxfId="2" priority="1" operator="notEqual">
      <formula>"No Errors Found"</formula>
    </cfRule>
  </conditionalFormatting>
  <hyperlinks>
    <hyperlink ref="B3:E3" location="TOC!A1" display="TOC!A1" xr:uid="{00000000-0004-0000-08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25"/>
  <sheetViews>
    <sheetView showGridLines="0" zoomScaleNormal="100" workbookViewId="0">
      <pane xSplit="1" ySplit="4" topLeftCell="B5" activePane="bottomRight" state="frozen"/>
      <selection activeCell="C24" sqref="C24"/>
      <selection pane="topRight" activeCell="C24" sqref="C24"/>
      <selection pane="bottomLeft" activeCell="C24" sqref="C24"/>
      <selection pane="bottomRight" activeCell="B5" sqref="B5"/>
    </sheetView>
  </sheetViews>
  <sheetFormatPr defaultRowHeight="10" x14ac:dyDescent="0.2"/>
  <cols>
    <col min="1" max="3" width="2.77734375" customWidth="1"/>
    <col min="4" max="4" width="65" customWidth="1"/>
    <col min="5" max="7" width="3.77734375" customWidth="1"/>
  </cols>
  <sheetData>
    <row r="1" spans="2:8" ht="19" x14ac:dyDescent="0.2">
      <c r="B1" s="3" t="s">
        <v>15</v>
      </c>
    </row>
    <row r="2" spans="2:8" x14ac:dyDescent="0.2">
      <c r="B2" s="13" t="str">
        <f>Title_Msg</f>
        <v>No Errors Found</v>
      </c>
    </row>
    <row r="3" spans="2:8" x14ac:dyDescent="0.2">
      <c r="B3" s="46" t="str">
        <f>TOC!B1</f>
        <v>Table of Contents</v>
      </c>
      <c r="C3" s="41"/>
      <c r="D3" s="41"/>
      <c r="E3" s="41"/>
    </row>
    <row r="4" spans="2:8" ht="13" x14ac:dyDescent="0.2">
      <c r="B4" s="39" t="str">
        <f>Model_Name</f>
        <v>Rate of Return Model - Transgrid (TGD) - Waratah Super Battery</v>
      </c>
    </row>
    <row r="5" spans="2:8" x14ac:dyDescent="0.2">
      <c r="B5" s="13"/>
    </row>
    <row r="6" spans="2:8" s="2" customFormat="1" ht="15.5" x14ac:dyDescent="0.2">
      <c r="B6" s="2" t="s">
        <v>17</v>
      </c>
    </row>
    <row r="8" spans="2:8" ht="12.5" x14ac:dyDescent="0.2">
      <c r="D8" s="6" t="s">
        <v>16</v>
      </c>
      <c r="H8" s="7" t="str">
        <f>IF(H23=0,"No Errors Found","Errors Found")</f>
        <v>No Errors Found</v>
      </c>
    </row>
    <row r="9" spans="2:8" ht="12.5" x14ac:dyDescent="0.2">
      <c r="D9" s="6" t="s">
        <v>18</v>
      </c>
      <c r="H9" s="6"/>
    </row>
    <row r="10" spans="2:8" ht="12.5" x14ac:dyDescent="0.2">
      <c r="D10" s="6" t="s">
        <v>19</v>
      </c>
      <c r="H10" s="23" t="str">
        <f>H8&amp;IF(H9="","",", " &amp;H9)</f>
        <v>No Errors Found</v>
      </c>
    </row>
    <row r="12" spans="2:8" s="2" customFormat="1" ht="15.5" x14ac:dyDescent="0.2">
      <c r="B12" s="2" t="s">
        <v>31</v>
      </c>
    </row>
    <row r="14" spans="2:8" s="8" customFormat="1" ht="14" x14ac:dyDescent="0.2">
      <c r="C14" s="8" t="s">
        <v>12</v>
      </c>
    </row>
    <row r="15" spans="2:8" ht="4.1500000000000004" customHeight="1" x14ac:dyDescent="0.2">
      <c r="B15" s="20"/>
    </row>
    <row r="17" spans="2:8" ht="4.1500000000000004" customHeight="1" x14ac:dyDescent="0.2">
      <c r="B17" s="20"/>
    </row>
    <row r="18" spans="2:8" ht="12.5" x14ac:dyDescent="0.2">
      <c r="D18" s="6" t="str">
        <f>Input_CPI!$B$1</f>
        <v>CPI inputs</v>
      </c>
      <c r="H18" s="58">
        <f>Input_CPI!$A$1</f>
        <v>0</v>
      </c>
    </row>
    <row r="19" spans="2:8" ht="12.5" x14ac:dyDescent="0.2">
      <c r="D19" s="6" t="str">
        <f>Input_Data!$B$1</f>
        <v>Rate of return inputs</v>
      </c>
      <c r="H19" s="58">
        <f>Input_Data!$A$1</f>
        <v>0</v>
      </c>
    </row>
    <row r="20" spans="2:8" ht="12.5" x14ac:dyDescent="0.2">
      <c r="D20" s="6" t="str">
        <f>Output_PTRM!$B$1</f>
        <v>Inputs to PTRM</v>
      </c>
      <c r="H20" s="58">
        <f>Output_PTRM!$A$1</f>
        <v>0</v>
      </c>
    </row>
    <row r="21" spans="2:8" ht="12.5" x14ac:dyDescent="0.2">
      <c r="D21" s="6" t="str">
        <f>Output_PTRM!$B$1</f>
        <v>Inputs to PTRM</v>
      </c>
      <c r="H21" s="58">
        <f>Output_PTRM!A1</f>
        <v>0</v>
      </c>
    </row>
    <row r="23" spans="2:8" ht="13" x14ac:dyDescent="0.2">
      <c r="C23" s="9" t="s">
        <v>47</v>
      </c>
      <c r="H23" s="22">
        <f>IF(SUM(H18:H21)=0,0,1)</f>
        <v>0</v>
      </c>
    </row>
    <row r="25" spans="2:8" s="2" customFormat="1" ht="15.5" x14ac:dyDescent="0.2">
      <c r="B25" s="2" t="s">
        <v>32</v>
      </c>
    </row>
  </sheetData>
  <conditionalFormatting sqref="B2 B5">
    <cfRule type="cellIs" dxfId="1" priority="21" operator="notEqual">
      <formula>"No Errors Found"</formula>
    </cfRule>
  </conditionalFormatting>
  <conditionalFormatting sqref="B15 B17">
    <cfRule type="cellIs" dxfId="0" priority="16" operator="notEqual">
      <formula>"No Errors Found"</formula>
    </cfRule>
  </conditionalFormatting>
  <hyperlinks>
    <hyperlink ref="B3:E3" location="TOC!A1" display="TOC!A1" xr:uid="{00000000-0004-0000-0900-000000000000}"/>
  </hyperlinks>
  <pageMargins left="0.7" right="0.7" top="0.75" bottom="0.75" header="0.3" footer="0.3"/>
  <pageSetup paperSize="9" orientation="portrait" r:id="rId1"/>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2536FE6E4C93459D1D66BF98EAA403" ma:contentTypeVersion="7" ma:contentTypeDescription="Create a new document." ma:contentTypeScope="" ma:versionID="9a257e00addc3b3c627f7bc44668cc98">
  <xsd:schema xmlns:xsd="http://www.w3.org/2001/XMLSchema" xmlns:xs="http://www.w3.org/2001/XMLSchema" xmlns:p="http://schemas.microsoft.com/office/2006/metadata/properties" xmlns:ns2="219a03a1-7fe7-42f3-bdad-55ca8d66a738" xmlns:ns3="4eb6023d-658b-4527-be73-24b0518f0bf9" targetNamespace="http://schemas.microsoft.com/office/2006/metadata/properties" ma:root="true" ma:fieldsID="55020f60f59bc27fe014bc9b75b92aa2" ns2:_="" ns3:_="">
    <xsd:import namespace="219a03a1-7fe7-42f3-bdad-55ca8d66a738"/>
    <xsd:import namespace="4eb6023d-658b-4527-be73-24b0518f0b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a03a1-7fe7-42f3-bdad-55ca8d66a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4eb6023d-658b-4527-be73-24b0518f0bf9">
      <UserInfo>
        <DisplayName>Eli Grace-Webb</DisplayName>
        <AccountId>13</AccountId>
        <AccountType/>
      </UserInfo>
      <UserInfo>
        <DisplayName>Ryan Barrett</DisplayName>
        <AccountId>3354</AccountId>
        <AccountType/>
      </UserInfo>
    </SharedWithUsers>
  </documentManagement>
</p:properties>
</file>

<file path=customXml/itemProps1.xml><?xml version="1.0" encoding="utf-8"?>
<ds:datastoreItem xmlns:ds="http://schemas.openxmlformats.org/officeDocument/2006/customXml" ds:itemID="{FF090574-321B-446E-A90F-A0CA831E7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a03a1-7fe7-42f3-bdad-55ca8d66a738"/>
    <ds:schemaRef ds:uri="4eb6023d-658b-4527-be73-24b0518f0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4CC24A-A301-4156-98D3-737AA101ADA0}">
  <ds:schemaRefs>
    <ds:schemaRef ds:uri="http://schemas.microsoft.com/sharepoint/v3/contenttype/forms"/>
  </ds:schemaRefs>
</ds:datastoreItem>
</file>

<file path=customXml/itemProps3.xml><?xml version="1.0" encoding="utf-8"?>
<ds:datastoreItem xmlns:ds="http://schemas.openxmlformats.org/officeDocument/2006/customXml" ds:itemID="{95D09A08-6893-45D3-8277-59D54DC068B4}">
  <ds:schemaRefs>
    <ds:schemaRef ds:uri="http://schemas.microsoft.com/PowerBIAddIn"/>
  </ds:schemaRefs>
</ds:datastoreItem>
</file>

<file path=customXml/itemProps4.xml><?xml version="1.0" encoding="utf-8"?>
<ds:datastoreItem xmlns:ds="http://schemas.openxmlformats.org/officeDocument/2006/customXml" ds:itemID="{1997CDD1-FCE8-40FA-A22B-39998E6D97A8}">
  <ds:schemaRefs>
    <ds:schemaRef ds:uri="http://purl.org/dc/terms/"/>
    <ds:schemaRef ds:uri="97db55b7-6849-467b-a514-00ca68ee4ee0"/>
    <ds:schemaRef ds:uri="http://schemas.microsoft.com/office/2006/documentManagement/types"/>
    <ds:schemaRef ds:uri="4eb6023d-658b-4527-be73-24b0518f0bf9"/>
    <ds:schemaRef ds:uri="http://schemas.openxmlformats.org/package/2006/metadata/core-properties"/>
    <ds:schemaRef ds:uri="http://purl.org/dc/elements/1.1/"/>
    <ds:schemaRef ds:uri="219a03a1-7fe7-42f3-bdad-55ca8d66a738"/>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43</vt:i4>
      </vt:variant>
    </vt:vector>
  </HeadingPairs>
  <TitlesOfParts>
    <vt:vector size="51" baseType="lpstr">
      <vt:lpstr>Cover</vt:lpstr>
      <vt:lpstr>TOC</vt:lpstr>
      <vt:lpstr>Input_CPI</vt:lpstr>
      <vt:lpstr>Input_Data</vt:lpstr>
      <vt:lpstr>Calc_Returns</vt:lpstr>
      <vt:lpstr>Output_PTRM</vt:lpstr>
      <vt:lpstr>Lookup</vt:lpstr>
      <vt:lpstr>Checks</vt:lpstr>
      <vt:lpstr>Beta</vt:lpstr>
      <vt:lpstr>Days_In_Wk</vt:lpstr>
      <vt:lpstr>Days_In_Yr</vt:lpstr>
      <vt:lpstr>Dollars</vt:lpstr>
      <vt:lpstr>End_year</vt:lpstr>
      <vt:lpstr>Error</vt:lpstr>
      <vt:lpstr>Factor</vt:lpstr>
      <vt:lpstr>Gamma</vt:lpstr>
      <vt:lpstr>Half</vt:lpstr>
      <vt:lpstr>Inflation</vt:lpstr>
      <vt:lpstr>Kilometres</vt:lpstr>
      <vt:lpstr>Leverage</vt:lpstr>
      <vt:lpstr>LU_Basis</vt:lpstr>
      <vt:lpstr>LU_Source</vt:lpstr>
      <vt:lpstr>LU_Timing</vt:lpstr>
      <vt:lpstr>LU_Timing_Value</vt:lpstr>
      <vt:lpstr>LU_Units</vt:lpstr>
      <vt:lpstr>Mid_year</vt:lpstr>
      <vt:lpstr>Millions</vt:lpstr>
      <vt:lpstr>Model_Name</vt:lpstr>
      <vt:lpstr>Model_Start_Date</vt:lpstr>
      <vt:lpstr>MRP</vt:lpstr>
      <vt:lpstr>Mths_In_Mth</vt:lpstr>
      <vt:lpstr>Mths_In_Qtr</vt:lpstr>
      <vt:lpstr>Mths_In_Yr</vt:lpstr>
      <vt:lpstr>NA</vt:lpstr>
      <vt:lpstr>No</vt:lpstr>
      <vt:lpstr>Nominal</vt:lpstr>
      <vt:lpstr>Number</vt:lpstr>
      <vt:lpstr>Ok</vt:lpstr>
      <vt:lpstr>Percent</vt:lpstr>
      <vt:lpstr>Qtrs_In_Yr</vt:lpstr>
      <vt:lpstr>Real2018</vt:lpstr>
      <vt:lpstr>Real2019</vt:lpstr>
      <vt:lpstr>RFR</vt:lpstr>
      <vt:lpstr>ROD</vt:lpstr>
      <vt:lpstr>ROE</vt:lpstr>
      <vt:lpstr>Start_year</vt:lpstr>
      <vt:lpstr>Thousands</vt:lpstr>
      <vt:lpstr>Title_Msg</vt:lpstr>
      <vt:lpstr>Weight_New_Debt</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Power and Water Corporation</dc:creator>
  <cp:lastModifiedBy>Mullins, Sean</cp:lastModifiedBy>
  <cp:lastPrinted>2013-05-06T05:05:19Z</cp:lastPrinted>
  <dcterms:created xsi:type="dcterms:W3CDTF">2012-02-19T06:14:59Z</dcterms:created>
  <dcterms:modified xsi:type="dcterms:W3CDTF">2023-06-30T04:51:29Z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0x010100462536FE6E4C93459D1D66BF98EAA403</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ies>
</file>