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5" documentId="8_{04B3F2B9-BEFF-448F-9D9F-55D1C914F838}" xr6:coauthVersionLast="47" xr6:coauthVersionMax="47" xr10:uidLastSave="{F9BAEBD7-3F15-4AAF-9480-DAFAF569999B}"/>
  <bookViews>
    <workbookView xWindow="-120" yWindow="-120" windowWidth="29040" windowHeight="15720" tabRatio="78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'[1]Real 2018 to real 2023'!$D$21</definedName>
    <definedName name="millions">#REF!</definedName>
    <definedName name="Nominal">'[1]Real 2018 to real 2023'!$I$5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'[1]Real 2018 to real 2023'!$E$21:$E$22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/>
  <c r="H5" i="14" l="1"/>
  <c r="I5" i="14"/>
  <c r="J5" i="14"/>
  <c r="K5" i="14"/>
  <c r="G5" i="14"/>
  <c r="G21" i="14" l="1"/>
  <c r="H14" i="14"/>
  <c r="G14" i="14"/>
  <c r="K14" i="14"/>
  <c r="J14" i="14"/>
  <c r="I14" i="14"/>
  <c r="D18" i="4" l="1"/>
  <c r="D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s="1"/>
  <c r="F28" i="3" l="1"/>
  <c r="E14" i="14"/>
  <c r="E12" i="14"/>
  <c r="E11" i="14"/>
  <c r="F18" i="2"/>
  <c r="I14" i="16"/>
  <c r="I6" i="16" s="1"/>
  <c r="F9" i="3"/>
  <c r="F11" i="3"/>
  <c r="F8" i="3"/>
  <c r="M7" i="13"/>
  <c r="L7" i="13"/>
  <c r="H7" i="13"/>
  <c r="I7" i="13"/>
  <c r="J7" i="13"/>
  <c r="K7" i="13"/>
  <c r="G18" i="2" l="1"/>
  <c r="J14" i="16"/>
  <c r="J6" i="16" s="1"/>
  <c r="N7" i="13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N19" i="13"/>
  <c r="H19" i="13"/>
  <c r="I19" i="13"/>
  <c r="J19" i="13"/>
  <c r="K19" i="13"/>
  <c r="H18" i="2" l="1"/>
  <c r="K14" i="16"/>
  <c r="K6" i="16" s="1"/>
  <c r="O7" i="13"/>
  <c r="O19" i="13" s="1"/>
  <c r="H15" i="3"/>
  <c r="I15" i="3"/>
  <c r="I21" i="3" s="1"/>
  <c r="L15" i="3"/>
  <c r="K15" i="3"/>
  <c r="J15" i="3"/>
  <c r="L14" i="16" l="1"/>
  <c r="L6" i="16" s="1"/>
  <c r="P7" i="13"/>
  <c r="P19" i="13" s="1"/>
  <c r="H8" i="4"/>
  <c r="C15" i="13" l="1"/>
  <c r="C10" i="13"/>
  <c r="G8" i="4"/>
  <c r="F8" i="4"/>
  <c r="E8" i="4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I8" i="13" l="1"/>
  <c r="I22" i="13"/>
  <c r="F9" i="4" s="1"/>
  <c r="I7" i="14"/>
  <c r="I9" i="14" s="1"/>
  <c r="H22" i="13"/>
  <c r="E9" i="4" s="1"/>
  <c r="E11" i="4" s="1"/>
  <c r="H8" i="13"/>
  <c r="H7" i="14"/>
  <c r="H9" i="14" s="1"/>
  <c r="J8" i="13"/>
  <c r="J7" i="14"/>
  <c r="J9" i="14" s="1"/>
  <c r="J22" i="13"/>
  <c r="G9" i="4" s="1"/>
  <c r="K8" i="13"/>
  <c r="K7" i="14"/>
  <c r="K9" i="14" s="1"/>
  <c r="J23" i="14" s="1"/>
  <c r="K22" i="13"/>
  <c r="H9" i="4" s="1"/>
  <c r="G19" i="4" s="1"/>
  <c r="G7" i="14"/>
  <c r="G8" i="13"/>
  <c r="G22" i="13"/>
  <c r="D9" i="4" s="1"/>
  <c r="G15" i="13"/>
  <c r="F19" i="4" l="1"/>
  <c r="E19" i="4" s="1"/>
  <c r="D19" i="4" s="1"/>
  <c r="D21" i="4" s="1"/>
  <c r="I23" i="14"/>
  <c r="H23" i="14" s="1"/>
  <c r="G23" i="14" s="1"/>
  <c r="G25" i="14" s="1"/>
  <c r="H15" i="13"/>
  <c r="D10" i="4"/>
  <c r="G10" i="13"/>
  <c r="H10" i="13" s="1"/>
  <c r="I10" i="13" s="1"/>
  <c r="J10" i="13" s="1"/>
  <c r="K10" i="13" s="1"/>
  <c r="G8" i="14"/>
  <c r="G9" i="14"/>
  <c r="I15" i="13" l="1"/>
  <c r="E10" i="4"/>
  <c r="E12" i="4" s="1"/>
  <c r="H8" i="14"/>
  <c r="G15" i="14"/>
  <c r="H16" i="14" l="1"/>
  <c r="H21" i="14" s="1"/>
  <c r="H25" i="14" s="1"/>
  <c r="K16" i="14"/>
  <c r="G24" i="14"/>
  <c r="I16" i="14"/>
  <c r="H15" i="14"/>
  <c r="I8" i="14"/>
  <c r="J16" i="14" s="1"/>
  <c r="G14" i="4"/>
  <c r="H14" i="4"/>
  <c r="E20" i="4"/>
  <c r="F14" i="4"/>
  <c r="J15" i="13"/>
  <c r="F10" i="4"/>
  <c r="J8" i="14" l="1"/>
  <c r="I15" i="14"/>
  <c r="J17" i="14"/>
  <c r="H24" i="14"/>
  <c r="I17" i="14"/>
  <c r="I21" i="14" s="1"/>
  <c r="I25" i="14" s="1"/>
  <c r="K15" i="13"/>
  <c r="G10" i="4"/>
  <c r="K18" i="14" l="1"/>
  <c r="I24" i="14"/>
  <c r="J18" i="14"/>
  <c r="J21" i="14" s="1"/>
  <c r="J25" i="14" s="1"/>
  <c r="K8" i="14"/>
  <c r="K15" i="14" s="1"/>
  <c r="K24" i="14" s="1"/>
  <c r="J15" i="14"/>
  <c r="K17" i="14"/>
  <c r="H10" i="4"/>
  <c r="K19" i="14" l="1"/>
  <c r="K21" i="14" s="1"/>
  <c r="K25" i="14" s="1"/>
  <c r="J24" i="14"/>
  <c r="K26" i="14" l="1"/>
  <c r="J21" i="3" l="1"/>
  <c r="K21" i="3"/>
  <c r="F11" i="4" l="1"/>
  <c r="F12" i="4" s="1"/>
  <c r="F20" i="4" s="1"/>
  <c r="G11" i="4"/>
  <c r="G12" i="4" s="1"/>
  <c r="G15" i="4" l="1"/>
  <c r="H15" i="4"/>
  <c r="G20" i="4"/>
  <c r="H16" i="4"/>
  <c r="L21" i="3" l="1"/>
  <c r="H11" i="4" l="1"/>
  <c r="H12" i="4" s="1"/>
  <c r="H20" i="4" s="1"/>
  <c r="H21" i="3" l="1"/>
  <c r="D11" i="4" l="1"/>
  <c r="D12" i="4" s="1"/>
  <c r="G13" i="4" l="1"/>
  <c r="G18" i="4" s="1"/>
  <c r="G21" i="4" s="1"/>
  <c r="D20" i="4"/>
  <c r="F13" i="4"/>
  <c r="F18" i="4" s="1"/>
  <c r="F21" i="4" s="1"/>
  <c r="H13" i="4"/>
  <c r="H18" i="4" s="1"/>
  <c r="H21" i="4" s="1"/>
  <c r="E13" i="4"/>
  <c r="E18" i="4" s="1"/>
  <c r="E21" i="4" s="1"/>
  <c r="L9" i="13"/>
  <c r="M14" i="13"/>
  <c r="L15" i="13"/>
  <c r="M15" i="13" l="1"/>
  <c r="D35" i="4"/>
  <c r="N14" i="13"/>
  <c r="H8" i="16"/>
  <c r="L10" i="13"/>
  <c r="M9" i="13"/>
  <c r="H9" i="16" l="1"/>
  <c r="H10" i="16"/>
  <c r="M10" i="13"/>
  <c r="I8" i="16"/>
  <c r="N9" i="13"/>
  <c r="O14" i="13"/>
  <c r="N15" i="13"/>
  <c r="I9" i="16" l="1"/>
  <c r="I10" i="16"/>
  <c r="N6" i="14"/>
  <c r="O6" i="14"/>
  <c r="P6" i="14"/>
  <c r="N10" i="13"/>
  <c r="O15" i="13"/>
  <c r="N22" i="13"/>
  <c r="O22" i="13"/>
  <c r="P14" i="13"/>
  <c r="P22" i="13" s="1"/>
  <c r="L6" i="14"/>
  <c r="G31" i="14" s="1"/>
  <c r="D41" i="4"/>
  <c r="E41" i="4" s="1"/>
  <c r="F41" i="4" s="1"/>
  <c r="G41" i="4" s="1"/>
  <c r="H41" i="4" s="1"/>
  <c r="L22" i="13"/>
  <c r="M6" i="14"/>
  <c r="M22" i="13"/>
  <c r="O9" i="13"/>
  <c r="J8" i="16"/>
  <c r="J9" i="16" l="1"/>
  <c r="J10" i="16"/>
  <c r="H31" i="14"/>
  <c r="I31" i="14" s="1"/>
  <c r="J31" i="14" s="1"/>
  <c r="K31" i="14" s="1"/>
  <c r="I33" i="14" s="1"/>
  <c r="F25" i="4"/>
  <c r="O10" i="13"/>
  <c r="E25" i="4"/>
  <c r="H25" i="4"/>
  <c r="D25" i="4"/>
  <c r="D27" i="4" s="1"/>
  <c r="G25" i="4"/>
  <c r="P9" i="13"/>
  <c r="K8" i="16"/>
  <c r="P15" i="13"/>
  <c r="K9" i="16" l="1"/>
  <c r="G33" i="14"/>
  <c r="H33" i="14"/>
  <c r="J33" i="14"/>
  <c r="K33" i="14"/>
  <c r="K10" i="16"/>
  <c r="G27" i="4"/>
  <c r="H27" i="4"/>
  <c r="F27" i="4"/>
  <c r="E27" i="4"/>
  <c r="L8" i="16"/>
  <c r="P10" i="13"/>
  <c r="L9" i="16" l="1"/>
  <c r="L33" i="14"/>
  <c r="L10" i="16"/>
  <c r="H18" i="16" l="1"/>
  <c r="H28" i="16" s="1"/>
  <c r="H27" i="3" s="1"/>
  <c r="H28" i="3" s="1"/>
  <c r="H29" i="3" s="1"/>
  <c r="D26" i="4" s="1"/>
  <c r="D28" i="4" s="1"/>
  <c r="K18" i="16"/>
  <c r="K28" i="16" s="1"/>
  <c r="K27" i="3" s="1"/>
  <c r="K28" i="3" s="1"/>
  <c r="K29" i="3" s="1"/>
  <c r="G26" i="4" s="1"/>
  <c r="G28" i="4" s="1"/>
  <c r="L18" i="16"/>
  <c r="L28" i="16" s="1"/>
  <c r="L27" i="3" s="1"/>
  <c r="L28" i="3" s="1"/>
  <c r="L29" i="3" s="1"/>
  <c r="H26" i="4" s="1"/>
  <c r="H28" i="4" s="1"/>
  <c r="J18" i="16"/>
  <c r="J28" i="16" s="1"/>
  <c r="J27" i="3" s="1"/>
  <c r="J28" i="3" s="1"/>
  <c r="J29" i="3" s="1"/>
  <c r="F26" i="4" s="1"/>
  <c r="F28" i="4" s="1"/>
  <c r="I18" i="16"/>
  <c r="I28" i="16" s="1"/>
  <c r="I27" i="3" s="1"/>
  <c r="I28" i="3" s="1"/>
  <c r="I29" i="3" s="1"/>
  <c r="E26" i="4" s="1"/>
  <c r="E28" i="4" s="1"/>
  <c r="D31" i="4" l="1"/>
  <c r="D33" i="4" l="1"/>
  <c r="D34" i="4"/>
  <c r="D36" i="4" s="1"/>
  <c r="D42" i="4" s="1"/>
  <c r="E42" i="4" l="1"/>
  <c r="J8" i="10"/>
  <c r="F42" i="4" l="1"/>
  <c r="K8" i="10"/>
  <c r="L8" i="10" l="1"/>
  <c r="G42" i="4"/>
  <c r="M8" i="10" l="1"/>
  <c r="H42" i="4"/>
  <c r="N8" i="10" l="1"/>
  <c r="D44" i="4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<sst xmlns="http://schemas.openxmlformats.org/spreadsheetml/2006/main" count="338" uniqueCount="150">
  <si>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</si>
  <si>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</si>
  <si>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</si>
  <si>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</si>
  <si>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</si>
  <si>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</si>
  <si>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</si>
  <si>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</si>
  <si>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</si>
  <si>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</si>
  <si>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</si>
  <si>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</si>
  <si>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</si>
  <si>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</si>
  <si>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</si>
  <si>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</si>
  <si>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</si>
  <si>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</si>
  <si>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</si>
  <si>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</si>
  <si>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</si>
  <si>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</si>
  <si>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</si>
  <si>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</si>
  <si>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</si>
  <si>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</si>
  <si>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</si>
  <si>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</si>
  <si>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</si>
  <si>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</si>
  <si>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</si>
  <si>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</si>
  <si>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</si>
  <si>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</si>
  <si>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</si>
  <si>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</si>
  <si>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</si>
  <si>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</si>
  <si>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</si>
  <si>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</si>
  <si>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</si>
  <si>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</si>
  <si>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</si>
  <si>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</si>
  <si>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</si>
  <si>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</si>
  <si>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</si>
  <si>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</si>
  <si>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</si>
  <si>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</si>
  <si>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</si>
  <si>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</si>
  <si>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</si>
  <si>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</si>
  <si>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</si>
  <si>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</si>
  <si>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</si>
  <si>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</si>
  <si>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</si>
  <si>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</si>
  <si>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</si>
  <si>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</si>
  <si>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</si>
  <si>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</si>
  <si>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</si>
  <si>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</si>
  <si>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</si>
  <si>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</si>
  <si>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</si>
  <si>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</si>
  <si>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</si>
  <si>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</si>
  <si>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</si>
  <si>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</si>
  <si>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</si>
  <si>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</si>
  <si>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</si>
  <si>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</si>
  <si>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</si>
  <si>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</si>
  <si>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</si>
  <si>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</si>
  <si>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</si>
  <si>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</si>
  <si>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</si>
  <si>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</si>
  <si>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</si>
  <si>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</si>
  <si>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</si>
  <si>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</si>
  <si>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</si>
  <si>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</si>
  <si>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</si>
  <si>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</si>
  <si>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</si>
  <si>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</si>
  <si>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</si>
  <si>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</si>
  <si>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</si>
  <si>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</si>
  <si>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</si>
  <si>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</si>
  <si>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</si>
  <si>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</si>
  <si>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</si>
  <si>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</si>
  <si>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</si>
  <si>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</si>
  <si>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</si>
  <si>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</si>
  <si>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</si>
  <si>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</si>
  <si>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</si>
  <si>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</si>
  <si>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</si>
  <si>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</si>
  <si>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</si>
  <si>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</si>
  <si>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</si>
  <si>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</si>
  <si>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</si>
  <si>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</si>
  <si>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</si>
  <si>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</si>
  <si>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</si>
  <si>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</si>
  <si>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</si>
  <si>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</si>
  <si>
    <t>1337 - Replacement of Various Circuit Breakers</t>
  </si>
  <si>
    <t>Input | Deferred and re-proposed projects</t>
  </si>
  <si>
    <t>Total deferred and re-proposed capex</t>
  </si>
  <si>
    <t>Projects forecast in nominal dollars</t>
  </si>
  <si>
    <t>Project EnergyConnect</t>
  </si>
  <si>
    <t>Projects forecast in real dollars</t>
  </si>
  <si>
    <t>Input | Inflation conversion</t>
  </si>
  <si>
    <t>Forecast inflation</t>
  </si>
  <si>
    <t>Input | Deferred and re-proposed capex</t>
  </si>
  <si>
    <t>Input | Deferred + re-proposed</t>
  </si>
  <si>
    <t>Inputs any capex deferred from the prior regulatory control period and re-proposed for the forecast period</t>
  </si>
  <si>
    <t>Supply to Strathnairn area  (EVOEnergy)</t>
  </si>
  <si>
    <t>Condition of  AusGrid cables 9SA and 92P</t>
  </si>
  <si>
    <t>Wallerwang Secondary Systems Renewal</t>
  </si>
  <si>
    <t xml:space="preserve">Regentville Secondary Systems Renewal </t>
  </si>
  <si>
    <t>FY22</t>
  </si>
  <si>
    <t>Revised Proposal</t>
  </si>
  <si>
    <t>Commercial in Confidence</t>
  </si>
  <si>
    <t>Output | Prior Period True-up</t>
  </si>
  <si>
    <t>Outputs the adjustment for the true-up for difference between actual and estimated capex in 2018-19</t>
  </si>
  <si>
    <t>Transgrid revised proposal amendments to AER's draft decision</t>
  </si>
  <si>
    <t>c-i-c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</si>
</sst>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0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43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2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2" fontId="24" fillId="105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10" fontId="24" fillId="101" borderId="26" xfId="0" applyNumberFormat="1" applyFont="1" applyFill="1" applyBorder="1" applyAlignment="1">
      <alignment horizontal="center" vertical="center"/>
    </xf>
    <xf numFmtId="10" fontId="24" fillId="104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2" fontId="24" fillId="106" borderId="24" xfId="1" applyNumberFormat="1" applyFont="1" applyFill="1" applyBorder="1" applyAlignment="1">
      <alignment horizontal="center" vertical="center"/>
    </xf>
    <xf numFmtId="0" fontId="24" fillId="104" borderId="24" xfId="1" applyFont="1" applyFill="1" applyBorder="1" applyAlignment="1">
      <alignment horizontal="center" vertical="center"/>
    </xf>
    <xf numFmtId="2" fontId="24" fillId="107" borderId="24" xfId="1" applyNumberFormat="1" applyFont="1" applyFill="1" applyBorder="1" applyAlignment="1">
      <alignment horizontal="center" vertical="center"/>
    </xf>
    <xf numFmtId="0" fontId="208" fillId="107" borderId="0" xfId="45874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 applyProtection="1">
      <alignment horizontal="left" vertical="center" indent="1"/>
      <protection locked="0"/>
    </xf>
    <xf numFmtId="0" fontId="101" fillId="104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606_TransGrid_reset_modelling_support_202328/Working/Analysis/CESS/data%20source/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  <cell r="E21">
            <v>0.5</v>
          </cell>
        </row>
        <row r="22">
          <cell r="D22" t="str">
            <v>End Period</v>
          </cell>
          <cell r="E22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>
        <row r="5">
          <cell r="I5" t="str">
            <v>Nominal</v>
          </cell>
          <cell r="J5">
            <v>2008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Q5">
            <v>2015</v>
          </cell>
          <cell r="R5">
            <v>2016</v>
          </cell>
          <cell r="S5">
            <v>2017</v>
          </cell>
          <cell r="T5">
            <v>2018</v>
          </cell>
          <cell r="U5">
            <v>2019</v>
          </cell>
          <cell r="V5">
            <v>2020</v>
          </cell>
          <cell r="W5">
            <v>2021</v>
          </cell>
          <cell r="X5">
            <v>2022</v>
          </cell>
          <cell r="Y5">
            <v>2023</v>
          </cell>
          <cell r="Z5">
            <v>2024</v>
          </cell>
          <cell r="AA5">
            <v>2025</v>
          </cell>
          <cell r="AB5">
            <v>2026</v>
          </cell>
          <cell r="AC5">
            <v>2027</v>
          </cell>
          <cell r="AD5">
            <v>2028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Transgrid 2023-28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6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8" t="s">
        <v>137</v>
      </c>
      <c r="D10" s="209" t="s">
        <v>138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58</v>
      </c>
      <c r="D11" s="26" t="s">
        <v>39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80</v>
      </c>
      <c r="D12" s="26" t="s">
        <v>54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8" t="s">
        <v>146</v>
      </c>
      <c r="D13" s="209" t="s">
        <v>147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34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2.85546875" style="11" customWidth="1"/>
    <col min="11" max="11" width="25.7109375" style="11" customWidth="1"/>
    <col min="12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2023-28 Revised Proposal - Capital expenditure sharing scheme model</v>
      </c>
      <c r="F1" s="93"/>
      <c r="G1" s="94" t="s">
        <v>47</v>
      </c>
      <c r="H1" s="137" t="s">
        <v>48</v>
      </c>
      <c r="I1" s="140" t="s">
        <v>36</v>
      </c>
      <c r="J1" s="201" t="s">
        <v>127</v>
      </c>
      <c r="K1" s="205" t="s">
        <v>148</v>
      </c>
      <c r="M1" s="95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8" t="s">
        <v>101</v>
      </c>
      <c r="J6" s="71"/>
      <c r="K6" s="71"/>
      <c r="L6" s="71"/>
      <c r="M6" s="71"/>
    </row>
    <row r="7" spans="1:13" s="62" customFormat="1" ht="11.25" customHeight="1">
      <c r="C7" s="61" t="s">
        <v>89</v>
      </c>
      <c r="D7" s="214" t="s">
        <v>144</v>
      </c>
      <c r="I7" s="71"/>
      <c r="J7" s="71"/>
      <c r="K7" s="71"/>
      <c r="L7" s="71"/>
    </row>
    <row r="8" spans="1:13" s="62" customFormat="1" ht="11.25" customHeight="1">
      <c r="C8" s="61" t="s">
        <v>90</v>
      </c>
      <c r="D8" s="138" t="s">
        <v>100</v>
      </c>
      <c r="J8" s="71"/>
      <c r="K8" s="71"/>
      <c r="L8" s="71"/>
      <c r="M8" s="71"/>
    </row>
    <row r="9" spans="1:13" s="62" customFormat="1" ht="11.25" customHeight="1">
      <c r="C9" s="165" t="s">
        <v>99</v>
      </c>
      <c r="D9" s="138" t="s">
        <v>102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88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63</v>
      </c>
      <c r="E12" s="63" t="s">
        <v>64</v>
      </c>
      <c r="F12" s="63" t="s">
        <v>65</v>
      </c>
      <c r="G12" s="63" t="s">
        <v>66</v>
      </c>
      <c r="H12" s="63" t="s">
        <v>67</v>
      </c>
      <c r="J12" s="71"/>
      <c r="K12" s="71"/>
      <c r="L12" s="71"/>
      <c r="M12" s="71"/>
    </row>
    <row r="13" spans="1:13" s="62" customFormat="1" ht="11.25" customHeight="1">
      <c r="C13" s="61" t="s">
        <v>61</v>
      </c>
      <c r="D13" s="164" t="str">
        <f t="shared" ref="D13:F13" si="0">IF(LEN(E13)&gt;4,CONCATENATE(LEFT(E13,4)-1&amp;"–"&amp;IF(RIGHT(E13,2)="00","99",IF(RIGHT(E13,2)-1&lt;10,"0","")&amp;RIGHT(E13,2)-1)),E13-1)</f>
        <v>2018–19</v>
      </c>
      <c r="E13" s="164" t="str">
        <f t="shared" si="0"/>
        <v>2019–20</v>
      </c>
      <c r="F13" s="164" t="str">
        <f t="shared" si="0"/>
        <v>2020–21</v>
      </c>
      <c r="G13" s="164" t="str">
        <f>IF(LEN(H13)&gt;4,CONCATENATE(LEFT(H13,4)-1&amp;"–"&amp;IF(RIGHT(H13,2)="00","99",IF(RIGHT(H13,2)-1&lt;10,"0","")&amp;RIGHT(H13,2)-1)),H13-1)</f>
        <v>2021–22</v>
      </c>
      <c r="H13" s="164" t="str">
        <f>IF(LEN(D9)&gt;4,CONCATENATE(LEFT(D9,4)-1&amp;"–"&amp;IF(RIGHT(D9,2)="00","99",IF(RIGHT(D9,2)-1&lt;10,"0","")&amp;RIGHT(D9,2)-1)),D9-1)</f>
        <v>2022–23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8" t="s">
        <v>8</v>
      </c>
      <c r="E14" s="138" t="s">
        <v>8</v>
      </c>
      <c r="F14" s="138" t="s">
        <v>8</v>
      </c>
      <c r="G14" s="138" t="s">
        <v>8</v>
      </c>
      <c r="H14" s="138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8" t="s">
        <v>7</v>
      </c>
      <c r="E15" s="138" t="s">
        <v>7</v>
      </c>
      <c r="F15" s="138" t="s">
        <v>7</v>
      </c>
      <c r="G15" s="214" t="s">
        <v>7</v>
      </c>
      <c r="H15" s="138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63</v>
      </c>
      <c r="E17" s="63" t="s">
        <v>64</v>
      </c>
      <c r="F17" s="63" t="s">
        <v>65</v>
      </c>
      <c r="G17" s="63" t="s">
        <v>66</v>
      </c>
      <c r="H17" s="63" t="s">
        <v>67</v>
      </c>
      <c r="J17" s="71"/>
      <c r="K17" s="71"/>
      <c r="L17" s="71"/>
      <c r="M17" s="71"/>
    </row>
    <row r="18" spans="1:13" s="62" customFormat="1" ht="11.25" customHeight="1">
      <c r="C18" s="61" t="s">
        <v>62</v>
      </c>
      <c r="D18" s="164" t="str">
        <f>D9</f>
        <v>2023-24</v>
      </c>
      <c r="E18" s="164" t="str">
        <f>IF(LEN(D18)&gt;4,CONCATENATE(LEFT(D18,4)+1&amp;"–"&amp;IF(RIGHT(D18,2)+1&gt;9,"","0")&amp;RIGHT(D18,2)+1),D18+1)</f>
        <v>2024–25</v>
      </c>
      <c r="F18" s="164" t="str">
        <f t="shared" ref="F18:H18" si="1">IF(LEN(E18)&gt;4,CONCATENATE(LEFT(E18,4)+1&amp;"–"&amp;IF(RIGHT(E18,2)+1&gt;9,"","0")&amp;RIGHT(E18,2)+1),E18+1)</f>
        <v>2025–26</v>
      </c>
      <c r="G18" s="164" t="str">
        <f t="shared" si="1"/>
        <v>2026–27</v>
      </c>
      <c r="H18" s="164" t="str">
        <f t="shared" si="1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34</v>
      </c>
    </row>
    <row r="21" spans="1:13" ht="18" hidden="1" customHeight="1"/>
  </sheetData>
  <dataValidations disablePrompts="1"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>
      <c r="B1" s="3" t="str">
        <f>'Input | General'!$B$1</f>
        <v>Transgrid 2023-28 Revised Proposal - Capital expenditure sharing scheme model</v>
      </c>
      <c r="D1" s="3"/>
      <c r="E1" s="3"/>
      <c r="F1" s="3"/>
      <c r="G1" s="93"/>
      <c r="I1" s="94" t="s">
        <v>47</v>
      </c>
      <c r="J1" s="137" t="s">
        <v>48</v>
      </c>
      <c r="K1" s="140" t="s">
        <v>36</v>
      </c>
      <c r="L1" s="201" t="s">
        <v>127</v>
      </c>
      <c r="M1" s="218" t="s">
        <v>148</v>
      </c>
      <c r="N1" s="218"/>
      <c r="O1" s="218"/>
      <c r="P1" s="71"/>
      <c r="Q1" s="71"/>
      <c r="R1" s="71"/>
      <c r="S1" s="71"/>
      <c r="T1" s="71"/>
    </row>
    <row r="2" spans="1:20" s="2" customFormat="1" ht="18" customHeight="1">
      <c r="C2" s="10" t="s">
        <v>91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2017–18</v>
      </c>
      <c r="G7" s="151" t="str">
        <f>'Input | General'!D13</f>
        <v>2018–19</v>
      </c>
      <c r="H7" s="151" t="str">
        <f>'Input | General'!E13</f>
        <v>2019–20</v>
      </c>
      <c r="I7" s="151" t="str">
        <f>'Input | General'!F13</f>
        <v>2020–21</v>
      </c>
      <c r="J7" s="151" t="str">
        <f>'Input | General'!G13</f>
        <v>2021–22</v>
      </c>
      <c r="K7" s="151" t="str">
        <f>'Input | General'!H13</f>
        <v>2022–23</v>
      </c>
      <c r="L7" s="151" t="str">
        <f>'Input | General'!D18</f>
        <v>2023-24</v>
      </c>
      <c r="M7" s="151" t="str">
        <f>'Input | General'!E18</f>
        <v>2024–25</v>
      </c>
      <c r="N7" s="151" t="str">
        <f>'Input | General'!F18</f>
        <v>2025–26</v>
      </c>
      <c r="O7" s="151" t="str">
        <f>'Input | General'!G18</f>
        <v>2026–27</v>
      </c>
      <c r="P7" s="151" t="str">
        <f>'Input | General'!H18</f>
        <v>2027–28</v>
      </c>
    </row>
    <row r="8" spans="1:20" ht="11.25" customHeight="1">
      <c r="A8" s="2"/>
      <c r="B8" s="2"/>
      <c r="C8" s="72" t="s">
        <v>81</v>
      </c>
      <c r="D8" s="70" t="s">
        <v>86</v>
      </c>
      <c r="E8" s="70" t="s">
        <v>51</v>
      </c>
      <c r="F8" s="167"/>
      <c r="G8" s="211">
        <f t="shared" ref="G8:K8" si="0">G13</f>
        <v>1.7841213202497874E-2</v>
      </c>
      <c r="H8" s="211">
        <f t="shared" si="0"/>
        <v>1.8404907975460238E-2</v>
      </c>
      <c r="I8" s="211">
        <f t="shared" si="0"/>
        <v>8.6058519793459354E-3</v>
      </c>
      <c r="J8" s="211">
        <f t="shared" si="0"/>
        <v>3.4982935153583528E-2</v>
      </c>
      <c r="K8" s="211">
        <f t="shared" si="0"/>
        <v>7.8E-2</v>
      </c>
      <c r="L8" s="168"/>
      <c r="M8" s="78"/>
      <c r="N8" s="78"/>
      <c r="O8" s="78"/>
      <c r="P8" s="78"/>
    </row>
    <row r="9" spans="1:20" ht="11.25" customHeight="1">
      <c r="A9" s="2"/>
      <c r="B9" s="2"/>
      <c r="C9" s="72" t="s">
        <v>82</v>
      </c>
      <c r="D9" s="70" t="s">
        <v>86</v>
      </c>
      <c r="E9" s="70" t="s">
        <v>51</v>
      </c>
      <c r="F9" s="70"/>
      <c r="G9" s="115"/>
      <c r="H9" s="115"/>
      <c r="I9" s="115"/>
      <c r="J9" s="115"/>
      <c r="K9" s="115"/>
      <c r="L9" s="211">
        <f>L14</f>
        <v>2.9993931995937029E-2</v>
      </c>
      <c r="M9" s="125">
        <f t="shared" ref="M9:P9" si="1">L9</f>
        <v>2.9993931995937029E-2</v>
      </c>
      <c r="N9" s="125">
        <f t="shared" si="1"/>
        <v>2.9993931995937029E-2</v>
      </c>
      <c r="O9" s="125">
        <f t="shared" si="1"/>
        <v>2.9993931995937029E-2</v>
      </c>
      <c r="P9" s="125">
        <f t="shared" si="1"/>
        <v>2.9993931995937029E-2</v>
      </c>
    </row>
    <row r="10" spans="1:20" ht="11.25" customHeight="1">
      <c r="A10" s="2"/>
      <c r="B10" s="2"/>
      <c r="C10" s="123" t="str">
        <f>"CPI Index (base year "&amp;F7&amp;")"</f>
        <v>CPI Index (base year 2017–18)</v>
      </c>
      <c r="D10" s="70" t="s">
        <v>86</v>
      </c>
      <c r="E10" s="70" t="s">
        <v>30</v>
      </c>
      <c r="F10" s="121">
        <v>1</v>
      </c>
      <c r="G10" s="110">
        <f>IF(G7&lt;&gt;"",(F10*(1+G8)),"")</f>
        <v>1.0178412132024979</v>
      </c>
      <c r="H10" s="110">
        <f>IF(H7&lt;&gt;"",(G10*(1+H8)),"")</f>
        <v>1.0365744870651206</v>
      </c>
      <c r="I10" s="110">
        <f>IF(I7&lt;&gt;"",(H10*(1+I8)),"")</f>
        <v>1.0454950936663694</v>
      </c>
      <c r="J10" s="110">
        <f>IF(J7&lt;&gt;"",(I10*(1+J8)),"")</f>
        <v>1.0820695807314897</v>
      </c>
      <c r="K10" s="110">
        <f>IF(K7&lt;&gt;"",(J10*(1+K8)),"")</f>
        <v>1.1664710080285461</v>
      </c>
      <c r="L10" s="79">
        <f t="shared" ref="L10:P10" si="2">IF(L7&lt;&gt;"",(K10*(1+L9)),"")</f>
        <v>1.2014580601185865</v>
      </c>
      <c r="M10" s="79">
        <f t="shared" si="2"/>
        <v>1.2374945114697538</v>
      </c>
      <c r="N10" s="79">
        <f t="shared" si="2"/>
        <v>1.2746118376921229</v>
      </c>
      <c r="O10" s="79">
        <f t="shared" si="2"/>
        <v>1.3128424584730769</v>
      </c>
      <c r="P10" s="79">
        <f t="shared" si="2"/>
        <v>1.3522197658938973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81</v>
      </c>
      <c r="D13" s="70" t="s">
        <v>49</v>
      </c>
      <c r="E13" s="70" t="s">
        <v>51</v>
      </c>
      <c r="F13" s="167"/>
      <c r="G13" s="210">
        <v>1.7841213202497874E-2</v>
      </c>
      <c r="H13" s="210">
        <v>1.8404907975460238E-2</v>
      </c>
      <c r="I13" s="210">
        <v>8.6058519793459354E-3</v>
      </c>
      <c r="J13" s="210">
        <v>3.4982935153583528E-2</v>
      </c>
      <c r="K13" s="210">
        <v>7.8E-2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82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210">
        <v>2.9993931995937029E-2</v>
      </c>
      <c r="M14" s="125">
        <f t="shared" ref="M14:P14" si="3">L14</f>
        <v>2.9993931995937029E-2</v>
      </c>
      <c r="N14" s="125">
        <f t="shared" si="3"/>
        <v>2.9993931995937029E-2</v>
      </c>
      <c r="O14" s="125">
        <f t="shared" si="3"/>
        <v>2.9993931995937029E-2</v>
      </c>
      <c r="P14" s="125">
        <f t="shared" si="3"/>
        <v>2.9993931995937029E-2</v>
      </c>
    </row>
    <row r="15" spans="1:20" ht="11.25" customHeight="1">
      <c r="A15" s="2"/>
      <c r="B15" s="2"/>
      <c r="C15" s="123" t="str">
        <f>"CPI Index (base year "&amp;F7&amp;")"</f>
        <v>CPI Index (base year 2017–18)</v>
      </c>
      <c r="D15" s="70" t="s">
        <v>49</v>
      </c>
      <c r="E15" s="70" t="s">
        <v>30</v>
      </c>
      <c r="F15" s="121">
        <v>1</v>
      </c>
      <c r="G15" s="110">
        <f>IF(G7&lt;&gt;"",(F15*(1+G13)),"")</f>
        <v>1.0178412132024979</v>
      </c>
      <c r="H15" s="110">
        <f>IF(H7&lt;&gt;"",(G15*(1+H13)),"")</f>
        <v>1.0365744870651206</v>
      </c>
      <c r="I15" s="110">
        <f>IF(I7&lt;&gt;"",(H15*(1+I13)),"")</f>
        <v>1.0454950936663694</v>
      </c>
      <c r="J15" s="110">
        <f>IF(J7&lt;&gt;"",(I15*(1+J13)),"")</f>
        <v>1.0820695807314897</v>
      </c>
      <c r="K15" s="79">
        <f>IF(K7&lt;&gt;"",(J15*(1+K13)),"")</f>
        <v>1.1664710080285461</v>
      </c>
      <c r="L15" s="79">
        <f t="shared" ref="L15:P15" si="4">IF(L7&lt;&gt;"",(K15*(1+L14)),"")</f>
        <v>1.2014580601185865</v>
      </c>
      <c r="M15" s="79">
        <f t="shared" si="4"/>
        <v>1.2374945114697538</v>
      </c>
      <c r="N15" s="79">
        <f t="shared" si="4"/>
        <v>1.2746118376921229</v>
      </c>
      <c r="O15" s="79">
        <f t="shared" si="4"/>
        <v>1.3128424584730769</v>
      </c>
      <c r="P15" s="79">
        <f t="shared" si="4"/>
        <v>1.3522197658938973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6" s="73" customFormat="1" ht="12.75" customHeight="1">
      <c r="C17" s="23" t="s">
        <v>68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6</v>
      </c>
      <c r="E19" s="67" t="s">
        <v>52</v>
      </c>
      <c r="F19" s="71"/>
      <c r="G19" s="151" t="str">
        <f>G7</f>
        <v>2018–19</v>
      </c>
      <c r="H19" s="151" t="str">
        <f t="shared" ref="H19:P19" si="5">H7</f>
        <v>2019–20</v>
      </c>
      <c r="I19" s="151" t="str">
        <f t="shared" si="5"/>
        <v>2020–21</v>
      </c>
      <c r="J19" s="151" t="str">
        <f t="shared" si="5"/>
        <v>2021–22</v>
      </c>
      <c r="K19" s="151" t="str">
        <f t="shared" si="5"/>
        <v>2022–23</v>
      </c>
      <c r="L19" s="151" t="str">
        <f t="shared" si="5"/>
        <v>2023-24</v>
      </c>
      <c r="M19" s="151" t="str">
        <f t="shared" si="5"/>
        <v>2024–25</v>
      </c>
      <c r="N19" s="151" t="str">
        <f t="shared" si="5"/>
        <v>2025–26</v>
      </c>
      <c r="O19" s="151" t="str">
        <f t="shared" si="5"/>
        <v>2026–27</v>
      </c>
      <c r="P19" s="151" t="str">
        <f t="shared" si="5"/>
        <v>2027–28</v>
      </c>
    </row>
    <row r="20" spans="1:16" ht="11.25" customHeight="1">
      <c r="C20" s="72" t="s">
        <v>10</v>
      </c>
      <c r="D20" s="70" t="s">
        <v>49</v>
      </c>
      <c r="E20" s="70" t="s">
        <v>51</v>
      </c>
      <c r="F20" s="71"/>
      <c r="G20" s="200">
        <v>3.993698958963017E-2</v>
      </c>
      <c r="H20" s="200">
        <v>3.8768911813005374E-2</v>
      </c>
      <c r="I20" s="200">
        <v>3.6676965385035398E-2</v>
      </c>
      <c r="J20" s="200">
        <v>3.4025171303287666E-2</v>
      </c>
      <c r="K20" s="210">
        <v>3.2257784777955135E-2</v>
      </c>
      <c r="L20" s="78"/>
      <c r="M20" s="78"/>
      <c r="N20" s="78"/>
      <c r="O20" s="78"/>
      <c r="P20" s="78"/>
    </row>
    <row r="21" spans="1:16" ht="11.25" customHeight="1">
      <c r="C21" s="133" t="s">
        <v>96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210">
        <v>2.6938811802974437E-2</v>
      </c>
      <c r="M21" s="210">
        <v>2.6804182915335192E-2</v>
      </c>
      <c r="N21" s="210">
        <v>2.7578354232841117E-2</v>
      </c>
      <c r="O21" s="210">
        <v>2.8236962642931608E-2</v>
      </c>
      <c r="P21" s="210">
        <v>2.9142675258768944E-2</v>
      </c>
    </row>
    <row r="22" spans="1:16" ht="11.25" customHeight="1">
      <c r="C22" s="72" t="s">
        <v>69</v>
      </c>
      <c r="D22" s="70" t="s">
        <v>60</v>
      </c>
      <c r="E22" s="70" t="s">
        <v>51</v>
      </c>
      <c r="F22" s="71"/>
      <c r="G22" s="126">
        <f>IF(AND(G13&lt;&gt;"",G20&lt;&gt;""),((1+G20)*(1+G13)-1),"")</f>
        <v>5.8490727138062582E-2</v>
      </c>
      <c r="H22" s="126">
        <f>IF(AND(H13&lt;&gt;"",H20&lt;&gt;""),((1+H20)*(1+H13)-1),"")</f>
        <v>5.7887358042692849E-2</v>
      </c>
      <c r="I22" s="126">
        <f>IF(AND(I13&lt;&gt;"",I20&lt;&gt;""),((1+I20)*(1+I13)-1),"")</f>
        <v>4.5598453899536651E-2</v>
      </c>
      <c r="J22" s="126">
        <f>IF(AND(J13&lt;&gt;"",J20&lt;&gt;""),((1+J20)*(1+J13)-1),"")</f>
        <v>7.0198406818163805E-2</v>
      </c>
      <c r="K22" s="126">
        <f>IF(AND(K13&lt;&gt;"",K20&lt;&gt;""),((1+K20)*(1+K13)-1),"")</f>
        <v>0.11277389199063559</v>
      </c>
      <c r="L22" s="126">
        <f>IF(AND(L14&lt;&gt;"",L21&lt;&gt;""),((1+L21)*(1+L14)-1),"")</f>
        <v>5.7740744688181245E-2</v>
      </c>
      <c r="M22" s="126">
        <f>IF(AND(M14&lt;&gt;"",M21&lt;&gt;""),((1+M21)*(1+M14)-1),"")</f>
        <v>5.7602077750841474E-2</v>
      </c>
      <c r="N22" s="126">
        <f>IF(AND(N14&lt;&gt;"",N21&lt;&gt;""),((1+N21)*(1+N14)-1),"")</f>
        <v>5.8399469510197921E-2</v>
      </c>
      <c r="O22" s="126">
        <f>IF(AND(O14&lt;&gt;"",O21&lt;&gt;""),((1+O21)*(1+O14)-1),"")</f>
        <v>5.9077832176152478E-2</v>
      </c>
      <c r="P22" s="126">
        <f>IF(AND(P14&lt;&gt;"",P21&lt;&gt;""),((1+P21)*(1+P14)-1),"")</f>
        <v>6.0010710674597068E-2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34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25.7109375" style="2" customWidth="1"/>
    <col min="14" max="14" width="2.855468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tr">
        <f>'Input | General'!$B$1</f>
        <v>Transgrid 2023-28 Revised Proposal - Capital expenditure sharing scheme model</v>
      </c>
      <c r="D1" s="3"/>
      <c r="E1" s="3"/>
      <c r="F1" s="3"/>
      <c r="G1" s="3"/>
      <c r="H1" s="93"/>
      <c r="I1" s="94" t="s">
        <v>47</v>
      </c>
      <c r="J1" s="137" t="s">
        <v>48</v>
      </c>
      <c r="K1" s="140" t="s">
        <v>36</v>
      </c>
      <c r="L1" s="201" t="s">
        <v>127</v>
      </c>
      <c r="M1" s="205" t="s">
        <v>148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3" t="str">
        <f>IF('Input | General'!D14="Yes",'Input | General'!D13,"n/a")</f>
        <v>2018–19</v>
      </c>
      <c r="I6" s="153" t="str">
        <f>IF('Input | General'!E14="Yes",'Input | General'!E13,"n/a")</f>
        <v>2019–20</v>
      </c>
      <c r="J6" s="153" t="str">
        <f>IF('Input | General'!F14="Yes",'Input | General'!F13,"n/a")</f>
        <v>2020–21</v>
      </c>
      <c r="K6" s="153" t="str">
        <f>IF('Input | General'!G14="Yes",'Input | General'!G13,"n/a")</f>
        <v>2021–22</v>
      </c>
      <c r="L6" s="153" t="str">
        <f>IF('Input | General'!H14="Yes",'Input | General'!H13,"n/a")</f>
        <v>2022–23</v>
      </c>
      <c r="M6" s="169"/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tr">
        <f>'Input | Inflation and Disc Rate'!$F$7</f>
        <v>2017–18</v>
      </c>
      <c r="G8" s="60"/>
      <c r="H8" s="139">
        <v>221.85620239677593</v>
      </c>
      <c r="I8" s="213">
        <v>358.87941763477238</v>
      </c>
      <c r="J8" s="139">
        <v>600.41313490425318</v>
      </c>
      <c r="K8" s="139">
        <v>1240.7562185115657</v>
      </c>
      <c r="L8" s="213">
        <v>907.83152882715865</v>
      </c>
    </row>
    <row r="9" spans="2:14" ht="10.5" customHeight="1">
      <c r="C9" s="72" t="s">
        <v>92</v>
      </c>
      <c r="D9" s="70" t="s">
        <v>49</v>
      </c>
      <c r="E9" s="70" t="s">
        <v>50</v>
      </c>
      <c r="F9" s="70" t="str">
        <f>'Input | Inflation and Disc Rate'!$F$7</f>
        <v>2017–18</v>
      </c>
      <c r="G9" s="60"/>
      <c r="H9" s="139">
        <v>2.5648828446675327</v>
      </c>
      <c r="I9" s="139">
        <v>2.5648828446675327</v>
      </c>
      <c r="J9" s="139">
        <v>2.5648828446675327</v>
      </c>
      <c r="K9" s="139">
        <v>2.8999624131099253</v>
      </c>
      <c r="L9" s="139">
        <v>2.5648828446675327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5</v>
      </c>
      <c r="D11" s="68" t="s">
        <v>60</v>
      </c>
      <c r="E11" s="154" t="s">
        <v>50</v>
      </c>
      <c r="F11" s="155" t="str">
        <f>'Input | Inflation and Disc Rate'!$F$7</f>
        <v>2017–18</v>
      </c>
      <c r="G11" s="60"/>
      <c r="H11" s="58">
        <f>IF(H6="", "", H8-H9)</f>
        <v>219.2913195521084</v>
      </c>
      <c r="I11" s="58">
        <f t="shared" ref="I11:L11" si="0">IF(I6="", "", I8-I9)</f>
        <v>356.31453479010486</v>
      </c>
      <c r="J11" s="58">
        <f t="shared" si="0"/>
        <v>597.84825205958566</v>
      </c>
      <c r="K11" s="58">
        <f t="shared" si="0"/>
        <v>1237.8562560984558</v>
      </c>
      <c r="L11" s="58">
        <f t="shared" si="0"/>
        <v>905.26664598249113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41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6</v>
      </c>
      <c r="E15" s="67" t="s">
        <v>52</v>
      </c>
      <c r="F15" s="67" t="s">
        <v>4</v>
      </c>
      <c r="G15" s="56"/>
      <c r="H15" s="153" t="str">
        <f>H6</f>
        <v>2018–19</v>
      </c>
      <c r="I15" s="153" t="str">
        <f>I6</f>
        <v>2019–20</v>
      </c>
      <c r="J15" s="153" t="str">
        <f>J6</f>
        <v>2020–21</v>
      </c>
      <c r="K15" s="153" t="str">
        <f>K6</f>
        <v>2021–22</v>
      </c>
      <c r="L15" s="153" t="str">
        <f>L6</f>
        <v>2022–23</v>
      </c>
      <c r="M15" s="170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77</v>
      </c>
      <c r="D17" s="70" t="s">
        <v>49</v>
      </c>
      <c r="E17" s="70" t="s">
        <v>50</v>
      </c>
      <c r="F17" s="70" t="s">
        <v>53</v>
      </c>
      <c r="G17" s="60"/>
      <c r="H17" s="139">
        <v>216.54694857849694</v>
      </c>
      <c r="I17" s="139">
        <v>323.90478146958299</v>
      </c>
      <c r="J17" s="139">
        <v>781.53356055757763</v>
      </c>
      <c r="K17" s="207">
        <v>478.00606176595693</v>
      </c>
      <c r="L17" s="207">
        <v>841.94360345539678</v>
      </c>
    </row>
    <row r="18" spans="1:14" ht="10.5" customHeight="1">
      <c r="B18" s="65"/>
      <c r="C18" s="72" t="s">
        <v>92</v>
      </c>
      <c r="D18" s="70" t="s">
        <v>49</v>
      </c>
      <c r="E18" s="70" t="s">
        <v>50</v>
      </c>
      <c r="F18" s="70" t="s">
        <v>53</v>
      </c>
      <c r="G18" s="124"/>
      <c r="H18" s="139">
        <v>4.1814481327272723</v>
      </c>
      <c r="I18" s="139">
        <v>2.1650702372727273</v>
      </c>
      <c r="J18" s="139">
        <v>3.82439741</v>
      </c>
      <c r="K18" s="207">
        <v>9.4386077299999993</v>
      </c>
      <c r="L18" s="207">
        <v>5.28217320092</v>
      </c>
    </row>
    <row r="19" spans="1:14" ht="10.5" customHeight="1">
      <c r="B19" s="65"/>
      <c r="C19" s="134" t="s">
        <v>97</v>
      </c>
      <c r="D19" s="70" t="s">
        <v>49</v>
      </c>
      <c r="E19" s="70" t="s">
        <v>50</v>
      </c>
      <c r="F19" s="70" t="s">
        <v>53</v>
      </c>
      <c r="G19" s="124"/>
      <c r="H19" s="139">
        <v>6.3319466300000009</v>
      </c>
      <c r="I19" s="139">
        <v>7.4530974299999997</v>
      </c>
      <c r="J19" s="139">
        <v>1.4042736300000001</v>
      </c>
      <c r="K19" s="207">
        <v>5.9941228799999999</v>
      </c>
      <c r="L19" s="139">
        <v>0</v>
      </c>
      <c r="M19" s="169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76</v>
      </c>
      <c r="D21" s="68" t="s">
        <v>60</v>
      </c>
      <c r="E21" s="156" t="s">
        <v>50</v>
      </c>
      <c r="F21" s="156" t="s">
        <v>53</v>
      </c>
      <c r="G21" s="60"/>
      <c r="H21" s="58">
        <f>IF(H15="", "", H17-H18-H19)</f>
        <v>206.03355381576966</v>
      </c>
      <c r="I21" s="58">
        <f t="shared" ref="I21:L21" si="1">IF(I15="", "", I17-I18-I19)</f>
        <v>314.28661380231023</v>
      </c>
      <c r="J21" s="58">
        <f t="shared" si="1"/>
        <v>776.30488951757764</v>
      </c>
      <c r="K21" s="58">
        <f t="shared" si="1"/>
        <v>462.57333115595691</v>
      </c>
      <c r="L21" s="58">
        <f t="shared" si="1"/>
        <v>836.66143025447673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42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3" t="str">
        <f>'Input | General'!D18</f>
        <v>2023-24</v>
      </c>
      <c r="I25" s="153" t="str">
        <f>'Input | General'!E18</f>
        <v>2024–25</v>
      </c>
      <c r="J25" s="153" t="str">
        <f>'Input | General'!F18</f>
        <v>2025–26</v>
      </c>
      <c r="K25" s="153" t="str">
        <f>'Input | General'!G18</f>
        <v>2026–27</v>
      </c>
      <c r="L25" s="153" t="str">
        <f>'Input | General'!H18</f>
        <v>2027–28</v>
      </c>
    </row>
    <row r="26" spans="1:14" s="14" customFormat="1" ht="10.5" customHeight="1">
      <c r="C26" s="13"/>
      <c r="D26" s="60"/>
      <c r="E26" s="60"/>
      <c r="F26" s="60"/>
      <c r="G26" s="60"/>
      <c r="M26" s="171"/>
    </row>
    <row r="27" spans="1:14" ht="11.25" customHeight="1">
      <c r="C27" s="76" t="s">
        <v>85</v>
      </c>
      <c r="D27" s="57" t="s">
        <v>86</v>
      </c>
      <c r="E27" s="70" t="s">
        <v>50</v>
      </c>
      <c r="F27" s="70" t="s">
        <v>53</v>
      </c>
      <c r="G27" s="60"/>
      <c r="H27" s="206">
        <f>'Input | Deferred + re-proposed'!H28</f>
        <v>801.53892991882742</v>
      </c>
      <c r="I27" s="206">
        <f>'Input | Deferred + re-proposed'!I28</f>
        <v>212.7384400671576</v>
      </c>
      <c r="J27" s="206">
        <f>'Input | Deferred + re-proposed'!J28</f>
        <v>4.4585846548891439</v>
      </c>
      <c r="K27" s="206">
        <f>'Input | Deferred + re-proposed'!K28</f>
        <v>14.944337339427056</v>
      </c>
      <c r="L27" s="206">
        <f>'Input | Deferred + re-proposed'!L28</f>
        <v>4.8795590597499761</v>
      </c>
      <c r="M27" s="169"/>
    </row>
    <row r="28" spans="1:14" ht="11.25" customHeight="1">
      <c r="C28" s="76" t="s">
        <v>85</v>
      </c>
      <c r="D28" s="57" t="s">
        <v>60</v>
      </c>
      <c r="E28" s="70" t="s">
        <v>50</v>
      </c>
      <c r="F28" s="70" t="str">
        <f>'Input | Inflation and Disc Rate'!$F$7</f>
        <v>2017–18</v>
      </c>
      <c r="G28" s="60"/>
      <c r="H28" s="130">
        <f>IF(H27&lt;&gt;"",H27/('Input | Inflation and Disc Rate'!K10*(1+'Input | Inflation and Disc Rate'!L9)^0.5),"")</f>
        <v>677.06963671903793</v>
      </c>
      <c r="I28" s="130">
        <f>IF(I27&lt;&gt;"",I27/('Input | Inflation and Disc Rate'!L10*(1+'Input | Inflation and Disc Rate'!M9)^0.5),"")</f>
        <v>174.46970310989289</v>
      </c>
      <c r="J28" s="130">
        <f>IF(J27&lt;&gt;"",J27/('Input | Inflation and Disc Rate'!M10*(1+'Input | Inflation and Disc Rate'!N9)^0.5),"")</f>
        <v>3.5500657979923114</v>
      </c>
      <c r="K28" s="130">
        <f>IF(K27&lt;&gt;"",K27/('Input | Inflation and Disc Rate'!N10*(1+'Input | Inflation and Disc Rate'!O9)^0.5),"")</f>
        <v>11.552643763983793</v>
      </c>
      <c r="L28" s="130">
        <f>IF(L27&lt;&gt;"",L27/('Input | Inflation and Disc Rate'!O10*(1+'Input | Inflation and Disc Rate'!P9)^0.5),"")</f>
        <v>3.6622722990544059</v>
      </c>
      <c r="M28" s="169"/>
    </row>
    <row r="29" spans="1:14" ht="11.25" customHeight="1">
      <c r="C29" s="76" t="s">
        <v>85</v>
      </c>
      <c r="D29" s="57" t="s">
        <v>49</v>
      </c>
      <c r="E29" s="70" t="s">
        <v>50</v>
      </c>
      <c r="F29" s="70" t="s">
        <v>53</v>
      </c>
      <c r="G29" s="60"/>
      <c r="H29" s="130">
        <f>IF(H27&lt;&gt;"",H28*'Input | Inflation and Disc Rate'!K15*(1+'Input | Inflation and Disc Rate'!L14)^0.5,"")</f>
        <v>801.53892991882731</v>
      </c>
      <c r="I29" s="130">
        <f>IF(I27&lt;&gt;"",I28*'Input | Inflation and Disc Rate'!L15*(1+'Input | Inflation and Disc Rate'!M14)^0.5,"")</f>
        <v>212.7384400671576</v>
      </c>
      <c r="J29" s="130">
        <f>IF(J27&lt;&gt;"",J28*'Input | Inflation and Disc Rate'!M15*(1+'Input | Inflation and Disc Rate'!N14)^0.5,"")</f>
        <v>4.4585846548891439</v>
      </c>
      <c r="K29" s="130">
        <f>IF(K27&lt;&gt;"",K28*'Input | Inflation and Disc Rate'!N15*(1+'Input | Inflation and Disc Rate'!O14)^0.5,"")</f>
        <v>14.944337339427054</v>
      </c>
      <c r="L29" s="130">
        <f>IF(L27&lt;&gt;"",L28*'Input | Inflation and Disc Rate'!O15*(1+'Input | Inflation and Disc Rate'!P14)^0.5,"")</f>
        <v>4.8795590597499769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34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17:L19">
    <cfRule type="expression" dxfId="6" priority="11">
      <formula>IF($H$6&lt;&gt;"","FALSE","TRUE")</formula>
    </cfRule>
  </conditionalFormatting>
  <conditionalFormatting sqref="H27:L27">
    <cfRule type="expression" dxfId="5" priority="5">
      <formula>IF($H$6&lt;&gt;"","FALSE","TRUE")</formula>
    </cfRule>
  </conditionalFormatting>
  <conditionalFormatting sqref="H9:L9">
    <cfRule type="expression" dxfId="4" priority="2">
      <formula>IF($H$6&lt;&gt;"","FALSE","TRUE")</formula>
    </cfRule>
  </conditionalFormatting>
  <conditionalFormatting sqref="H8:L8">
    <cfRule type="expression" dxfId="3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Normal="100" workbookViewId="0">
      <selection activeCell="L24" sqref="L24:L25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12.7109375" style="2" customWidth="1"/>
    <col min="14" max="14" width="2.855468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tr">
        <f>'Input | General'!$B$1</f>
        <v>Transgrid 2023-28 Revised Proposal - Capital expenditure sharing scheme model</v>
      </c>
      <c r="D1" s="3"/>
      <c r="E1" s="3"/>
      <c r="F1" s="3"/>
      <c r="G1" s="3"/>
      <c r="H1" s="93"/>
      <c r="I1" s="94" t="s">
        <v>47</v>
      </c>
      <c r="J1" s="137" t="s">
        <v>48</v>
      </c>
      <c r="K1" s="140" t="s">
        <v>36</v>
      </c>
      <c r="L1" s="218" t="s">
        <v>148</v>
      </c>
      <c r="M1" s="218"/>
    </row>
    <row r="2" spans="2:14" ht="18" customHeight="1">
      <c r="B2" s="10" t="s">
        <v>136</v>
      </c>
      <c r="D2" s="10"/>
      <c r="E2" s="10"/>
      <c r="F2" s="10"/>
      <c r="G2" s="10"/>
      <c r="J2" s="216" t="s">
        <v>145</v>
      </c>
      <c r="K2" s="216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134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3" t="str">
        <f>H14</f>
        <v>2023-24</v>
      </c>
      <c r="I6" s="153" t="str">
        <f>I14</f>
        <v>2024–25</v>
      </c>
      <c r="J6" s="153" t="str">
        <f>J14</f>
        <v>2025–26</v>
      </c>
      <c r="K6" s="153" t="str">
        <f>K14</f>
        <v>2026–27</v>
      </c>
      <c r="L6" s="153" t="str">
        <f>L14</f>
        <v>2027–28</v>
      </c>
      <c r="M6" s="170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135</v>
      </c>
      <c r="D8" s="70" t="s">
        <v>86</v>
      </c>
      <c r="E8" s="70" t="s">
        <v>50</v>
      </c>
      <c r="F8" s="70" t="s">
        <v>53</v>
      </c>
      <c r="G8" s="60"/>
      <c r="H8" s="125">
        <f>'Input | Inflation and Disc Rate'!L9</f>
        <v>2.9993931995937029E-2</v>
      </c>
      <c r="I8" s="125">
        <f>'Input | Inflation and Disc Rate'!M9</f>
        <v>2.9993931995937029E-2</v>
      </c>
      <c r="J8" s="125">
        <f>'Input | Inflation and Disc Rate'!N9</f>
        <v>2.9993931995937029E-2</v>
      </c>
      <c r="K8" s="125">
        <f>'Input | Inflation and Disc Rate'!O9</f>
        <v>2.9993931995937029E-2</v>
      </c>
      <c r="L8" s="125">
        <f>'Input | Inflation and Disc Rate'!P9</f>
        <v>2.9993931995937029E-2</v>
      </c>
    </row>
    <row r="9" spans="2:14" ht="10.5" customHeight="1">
      <c r="B9" s="65"/>
      <c r="C9" s="72" t="str">
        <f>"Index | Real $"&amp;'Output | Models'!$F$8&amp;" to nominal (mid-year)"</f>
        <v>Index | Real $2022–23 to nominal (mid-year)</v>
      </c>
      <c r="D9" s="70" t="s">
        <v>49</v>
      </c>
      <c r="E9" s="70" t="s">
        <v>60</v>
      </c>
      <c r="F9" s="70" t="s">
        <v>53</v>
      </c>
      <c r="G9" s="124"/>
      <c r="H9" s="110">
        <f>(1+H8)^0.5</f>
        <v>1.0148861670137874</v>
      </c>
      <c r="I9" s="110">
        <f>H9*(1+H8)^0.5*(1+I8)^0.5</f>
        <v>1.0453265936908165</v>
      </c>
      <c r="J9" s="110">
        <f t="shared" ref="J9:L9" si="0">I9*(1+I8)^0.5*(1+J8)^0.5</f>
        <v>1.0766800484555235</v>
      </c>
      <c r="K9" s="110">
        <f t="shared" si="0"/>
        <v>1.1089739166102808</v>
      </c>
      <c r="L9" s="110">
        <f t="shared" si="0"/>
        <v>1.1422364048503575</v>
      </c>
    </row>
    <row r="10" spans="2:14" ht="10.5" customHeight="1">
      <c r="B10" s="65"/>
      <c r="C10" s="212" t="str">
        <f>"Index | Real $2021-22"&amp;" to nominal (mid-year)"</f>
        <v>Index | Real $2021-22 to nominal (mid-year)</v>
      </c>
      <c r="D10" s="70" t="s">
        <v>49</v>
      </c>
      <c r="E10" s="70" t="s">
        <v>60</v>
      </c>
      <c r="F10" s="70" t="s">
        <v>53</v>
      </c>
      <c r="G10" s="124"/>
      <c r="H10" s="110">
        <f>(1+'Input | Inflation and Disc Rate'!K8)*(1+H$8)^0.5</f>
        <v>1.0940472880408629</v>
      </c>
      <c r="I10" s="110">
        <f>H10*(1+H8)^0.5*(1+I8)^0.5</f>
        <v>1.1268620679987003</v>
      </c>
      <c r="J10" s="110">
        <f t="shared" ref="J10:L10" si="1">I10*(1+I8)^0.5*(1+J8)^0.5</f>
        <v>1.1606610922350544</v>
      </c>
      <c r="K10" s="110">
        <f t="shared" si="1"/>
        <v>1.1954738821058828</v>
      </c>
      <c r="L10" s="110">
        <f t="shared" si="1"/>
        <v>1.2313308444286857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129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6</v>
      </c>
      <c r="E14" s="67" t="s">
        <v>52</v>
      </c>
      <c r="F14" s="67" t="s">
        <v>4</v>
      </c>
      <c r="G14" s="56"/>
      <c r="H14" s="153" t="str">
        <f>'Input | General'!D18</f>
        <v>2023-24</v>
      </c>
      <c r="I14" s="153" t="str">
        <f>'Input | General'!E18</f>
        <v>2024–25</v>
      </c>
      <c r="J14" s="153" t="str">
        <f>'Input | General'!F18</f>
        <v>2025–26</v>
      </c>
      <c r="K14" s="153" t="str">
        <f>'Input | General'!G18</f>
        <v>2026–27</v>
      </c>
      <c r="L14" s="153" t="str">
        <f>'Input | General'!H18</f>
        <v>2027–28</v>
      </c>
      <c r="M14" s="169"/>
    </row>
    <row r="15" spans="2:14" s="60" customFormat="1" ht="10.5" customHeight="1"/>
    <row r="16" spans="2:14" s="60" customFormat="1" ht="10.5" customHeight="1">
      <c r="C16" s="202" t="s">
        <v>131</v>
      </c>
    </row>
    <row r="17" spans="1:13" ht="10.5" customHeight="1">
      <c r="C17" s="203" t="s">
        <v>132</v>
      </c>
      <c r="D17" s="57" t="s">
        <v>86</v>
      </c>
      <c r="E17" s="70" t="s">
        <v>50</v>
      </c>
      <c r="F17" s="70" t="s">
        <v>53</v>
      </c>
      <c r="G17" s="60"/>
      <c r="H17" s="206">
        <v>799.49306149019105</v>
      </c>
      <c r="I17" s="206">
        <v>210.63120800000002</v>
      </c>
      <c r="J17" s="206">
        <v>0</v>
      </c>
      <c r="K17" s="206">
        <v>0</v>
      </c>
      <c r="L17" s="206">
        <v>0</v>
      </c>
    </row>
    <row r="18" spans="1:13" ht="11.25" customHeight="1">
      <c r="C18" s="204" t="s">
        <v>87</v>
      </c>
      <c r="D18" s="57" t="s">
        <v>60</v>
      </c>
      <c r="E18" s="70" t="s">
        <v>50</v>
      </c>
      <c r="F18" s="70" t="s">
        <v>53</v>
      </c>
      <c r="G18" s="60"/>
      <c r="H18" s="130">
        <f>SUM(H17:H17)</f>
        <v>799.49306149019105</v>
      </c>
      <c r="I18" s="130">
        <f t="shared" ref="I18:L18" si="2">SUM(I17:I17)</f>
        <v>210.63120800000002</v>
      </c>
      <c r="J18" s="130">
        <f t="shared" si="2"/>
        <v>0</v>
      </c>
      <c r="K18" s="130">
        <f t="shared" si="2"/>
        <v>0</v>
      </c>
      <c r="L18" s="130">
        <f t="shared" si="2"/>
        <v>0</v>
      </c>
      <c r="M18" s="169"/>
    </row>
    <row r="19" spans="1:13" s="60" customFormat="1" ht="10.5" customHeight="1"/>
    <row r="20" spans="1:13" ht="10.5" customHeight="1">
      <c r="C20" s="202" t="s">
        <v>133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7" t="s">
        <v>140</v>
      </c>
      <c r="D21" s="57" t="s">
        <v>86</v>
      </c>
      <c r="E21" s="70" t="s">
        <v>50</v>
      </c>
      <c r="F21" s="70" t="s">
        <v>143</v>
      </c>
      <c r="G21" s="60"/>
      <c r="H21" s="215" t="s">
        <v>149</v>
      </c>
      <c r="I21" s="215" t="s">
        <v>149</v>
      </c>
      <c r="J21" s="215" t="s">
        <v>149</v>
      </c>
      <c r="K21" s="215" t="s">
        <v>149</v>
      </c>
      <c r="L21" s="215" t="s">
        <v>149</v>
      </c>
    </row>
    <row r="22" spans="1:13" ht="10.5" customHeight="1">
      <c r="C22" s="217" t="s">
        <v>139</v>
      </c>
      <c r="D22" s="57" t="s">
        <v>86</v>
      </c>
      <c r="E22" s="70" t="s">
        <v>50</v>
      </c>
      <c r="F22" s="70" t="s">
        <v>143</v>
      </c>
      <c r="G22" s="60"/>
      <c r="H22" s="215" t="s">
        <v>149</v>
      </c>
      <c r="I22" s="215" t="s">
        <v>149</v>
      </c>
      <c r="J22" s="215" t="s">
        <v>149</v>
      </c>
      <c r="K22" s="215" t="s">
        <v>149</v>
      </c>
      <c r="L22" s="215" t="s">
        <v>149</v>
      </c>
    </row>
    <row r="23" spans="1:13" ht="10.5" customHeight="1">
      <c r="C23" s="203" t="s">
        <v>128</v>
      </c>
      <c r="D23" s="57" t="s">
        <v>86</v>
      </c>
      <c r="E23" s="70" t="s">
        <v>50</v>
      </c>
      <c r="F23" s="70" t="s">
        <v>143</v>
      </c>
      <c r="G23" s="60"/>
      <c r="H23" s="206">
        <v>1.87</v>
      </c>
      <c r="I23" s="206">
        <v>1.87</v>
      </c>
      <c r="J23" s="206">
        <v>0</v>
      </c>
      <c r="K23" s="206">
        <v>0</v>
      </c>
      <c r="L23" s="206">
        <v>0</v>
      </c>
    </row>
    <row r="24" spans="1:13" ht="10.5" customHeight="1">
      <c r="C24" s="203" t="s">
        <v>141</v>
      </c>
      <c r="D24" s="57" t="s">
        <v>86</v>
      </c>
      <c r="E24" s="70" t="s">
        <v>50</v>
      </c>
      <c r="F24" s="70" t="s">
        <v>143</v>
      </c>
      <c r="G24" s="60"/>
      <c r="H24" s="206">
        <v>0</v>
      </c>
      <c r="I24" s="206">
        <v>0</v>
      </c>
      <c r="J24" s="206">
        <v>2.3470102434684477</v>
      </c>
      <c r="K24" s="206">
        <v>6.9145559831205032</v>
      </c>
      <c r="L24" s="206">
        <v>0.27422940868453105</v>
      </c>
    </row>
    <row r="25" spans="1:13" ht="10.5" customHeight="1">
      <c r="C25" s="203" t="s">
        <v>142</v>
      </c>
      <c r="D25" s="57" t="s">
        <v>86</v>
      </c>
      <c r="E25" s="70" t="s">
        <v>50</v>
      </c>
      <c r="F25" s="70" t="s">
        <v>143</v>
      </c>
      <c r="G25" s="60"/>
      <c r="H25" s="206">
        <v>0</v>
      </c>
      <c r="I25" s="206">
        <v>0</v>
      </c>
      <c r="J25" s="206">
        <v>1.4944079661342924</v>
      </c>
      <c r="K25" s="206">
        <v>4.9793661277561165</v>
      </c>
      <c r="L25" s="206">
        <v>1.3113808751884197</v>
      </c>
    </row>
    <row r="26" spans="1:13" ht="10.5" customHeight="1">
      <c r="C26" s="204" t="s">
        <v>87</v>
      </c>
      <c r="D26" s="57" t="s">
        <v>60</v>
      </c>
      <c r="E26" s="70" t="s">
        <v>50</v>
      </c>
      <c r="F26" s="70" t="s">
        <v>143</v>
      </c>
      <c r="G26" s="60"/>
      <c r="H26" s="130">
        <v>1.87</v>
      </c>
      <c r="I26" s="130">
        <v>1.87</v>
      </c>
      <c r="J26" s="130">
        <v>3.8414182096027401</v>
      </c>
      <c r="K26" s="130">
        <v>12.500764394034197</v>
      </c>
      <c r="L26" s="130">
        <v>3.9628334511623473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130</v>
      </c>
      <c r="D28" s="68" t="s">
        <v>60</v>
      </c>
      <c r="E28" s="154" t="s">
        <v>50</v>
      </c>
      <c r="F28" s="156" t="s">
        <v>53</v>
      </c>
      <c r="G28" s="60"/>
      <c r="H28" s="58">
        <f>H26*H$10
+H18</f>
        <v>801.53892991882742</v>
      </c>
      <c r="I28" s="58">
        <f>I26*I$10
+I18</f>
        <v>212.7384400671576</v>
      </c>
      <c r="J28" s="58">
        <f>J26*J$10
+J18</f>
        <v>4.4585846548891439</v>
      </c>
      <c r="K28" s="58">
        <f>K26*K$10
+K18</f>
        <v>14.944337339427056</v>
      </c>
      <c r="L28" s="58">
        <f>L26*L$10
+L18</f>
        <v>4.8795590597499761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34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17:L17">
    <cfRule type="expression" dxfId="2" priority="4">
      <formula>IF($H$14&lt;&gt;"","FALSE","TRUE")</formula>
    </cfRule>
  </conditionalFormatting>
  <conditionalFormatting sqref="H8:L10">
    <cfRule type="expression" dxfId="1" priority="3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46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Transgrid 2023-28 Revised Proposal - Capital expenditure sharing scheme model</v>
      </c>
      <c r="C1" s="2"/>
      <c r="J1" s="109"/>
      <c r="K1" s="94" t="s">
        <v>47</v>
      </c>
      <c r="L1" s="137" t="s">
        <v>48</v>
      </c>
      <c r="M1" s="140" t="s">
        <v>36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</v>
      </c>
      <c r="D7" s="153" t="str">
        <f>IF('Input | General'!D14="Yes",'Input | General'!D13,"n/a")</f>
        <v>2018–19</v>
      </c>
      <c r="E7" s="153" t="str">
        <f>IF('Input | General'!E14="Yes",'Input | General'!E13,"n/a")</f>
        <v>2019–20</v>
      </c>
      <c r="F7" s="153" t="str">
        <f>IF('Input | General'!F14="Yes",'Input | General'!F13,"n/a")</f>
        <v>2020–21</v>
      </c>
      <c r="G7" s="153" t="str">
        <f>IF('Input | General'!G14="Yes",'Input | General'!G13,"n/a")</f>
        <v>2021–22</v>
      </c>
      <c r="H7" s="157" t="str">
        <f>IF('Input | General'!H14="Yes",'Input | General'!H13,"n/a")</f>
        <v>2022–23</v>
      </c>
      <c r="I7" s="85"/>
    </row>
    <row r="8" spans="2:23" ht="11.25" customHeight="1">
      <c r="C8" s="102" t="s">
        <v>94</v>
      </c>
      <c r="D8" s="141">
        <f>'Input | Inflation and Disc Rate'!G20</f>
        <v>3.993698958963017E-2</v>
      </c>
      <c r="E8" s="142">
        <f>'Input | Inflation and Disc Rate'!H20</f>
        <v>3.8768911813005374E-2</v>
      </c>
      <c r="F8" s="142">
        <f>'Input | Inflation and Disc Rate'!I20</f>
        <v>3.6676965385035398E-2</v>
      </c>
      <c r="G8" s="142">
        <f>'Input | Inflation and Disc Rate'!J20</f>
        <v>3.4025171303287666E-2</v>
      </c>
      <c r="H8" s="143">
        <f>'Input | Inflation and Disc Rate'!K20</f>
        <v>3.2257784777955135E-2</v>
      </c>
      <c r="I8" s="85"/>
      <c r="J8" s="71"/>
      <c r="K8" s="71"/>
    </row>
    <row r="9" spans="2:23" ht="11.25" customHeight="1">
      <c r="C9" s="102" t="s">
        <v>95</v>
      </c>
      <c r="D9" s="141">
        <f>'Input | Inflation and Disc Rate'!G22</f>
        <v>5.8490727138062582E-2</v>
      </c>
      <c r="E9" s="142">
        <f>'Input | Inflation and Disc Rate'!H22</f>
        <v>5.7887358042692849E-2</v>
      </c>
      <c r="F9" s="142">
        <f>'Input | Inflation and Disc Rate'!I22</f>
        <v>4.5598453899536651E-2</v>
      </c>
      <c r="G9" s="142">
        <f>'Input | Inflation and Disc Rate'!J22</f>
        <v>7.0198406818163805E-2</v>
      </c>
      <c r="H9" s="143">
        <f>'Input | Inflation and Disc Rate'!K22</f>
        <v>0.11277389199063559</v>
      </c>
      <c r="I9" s="85"/>
      <c r="J9" s="71"/>
      <c r="K9" s="71"/>
    </row>
    <row r="10" spans="2:23" ht="11.25" customHeight="1">
      <c r="C10" s="100" t="s">
        <v>13</v>
      </c>
      <c r="D10" s="146">
        <f>'Input | Reported Capex'!H$11*'Input | Inflation and Disc Rate'!G$15*(1+'Input | Inflation and Disc Rate'!G$20)^0.5</f>
        <v>227.61715231936552</v>
      </c>
      <c r="E10" s="144">
        <f>'Input | Reported Capex'!I$11*'Input | Inflation and Disc Rate'!H$15*(1+'Input | Inflation and Disc Rate'!H$20)^0.5</f>
        <v>376.43805926264758</v>
      </c>
      <c r="F10" s="144">
        <f>'Input | Reported Capex'!J$11*'Input | Inflation and Disc Rate'!I$15*(1+'Input | Inflation and Disc Rate'!I$20)^0.5</f>
        <v>636.40661809558821</v>
      </c>
      <c r="G10" s="144">
        <f>'Input | Reported Capex'!K$11*'Input | Inflation and Disc Rate'!J$15*(1+'Input | Inflation and Disc Rate'!J$20)^0.5</f>
        <v>1362.0434424941582</v>
      </c>
      <c r="H10" s="145">
        <f>'Input | Reported Capex'!L$11*'Input | Inflation and Disc Rate'!K$15*(1+'Input | Inflation and Disc Rate'!K$20)^0.5</f>
        <v>1072.8637013202754</v>
      </c>
      <c r="I10" s="85"/>
      <c r="J10" s="71"/>
      <c r="K10" s="71"/>
      <c r="N10" s="122"/>
    </row>
    <row r="11" spans="2:23" ht="11.25" customHeight="1">
      <c r="C11" s="100" t="s">
        <v>15</v>
      </c>
      <c r="D11" s="146">
        <f>'Input | Reported Capex'!H21*(1+D$9)^0.5</f>
        <v>211.97345693863844</v>
      </c>
      <c r="E11" s="144">
        <f>'Input | Reported Capex'!I21*(1+E$9)^0.5</f>
        <v>323.25525776160049</v>
      </c>
      <c r="F11" s="144">
        <f>'Input | Reported Capex'!J21*(1+F$9)^0.5</f>
        <v>793.80675039234757</v>
      </c>
      <c r="G11" s="144">
        <f>'Input | Reported Capex'!K21*(1+G$9)^0.5</f>
        <v>478.5339347248007</v>
      </c>
      <c r="H11" s="145">
        <f>'Input | Reported Capex'!L21*(1+H$9)^0.5</f>
        <v>882.57823345057625</v>
      </c>
      <c r="I11" s="85"/>
      <c r="J11" s="71"/>
      <c r="K11" s="71"/>
    </row>
    <row r="12" spans="2:23" s="14" customFormat="1" ht="11.25" customHeight="1">
      <c r="C12" s="100" t="s">
        <v>17</v>
      </c>
      <c r="D12" s="136">
        <f>(D10-D11)</f>
        <v>15.643695380727081</v>
      </c>
      <c r="E12" s="127">
        <f>(E10-E11)</f>
        <v>53.182801501047095</v>
      </c>
      <c r="F12" s="127">
        <f t="shared" ref="F12:H12" si="0">(F10-F11)</f>
        <v>-157.40013229675935</v>
      </c>
      <c r="G12" s="127">
        <f t="shared" si="0"/>
        <v>883.50950776935747</v>
      </c>
      <c r="H12" s="131">
        <f t="shared" si="0"/>
        <v>190.28546786969912</v>
      </c>
      <c r="I12" s="85"/>
      <c r="J12" s="191"/>
      <c r="K12" s="71"/>
    </row>
    <row r="13" spans="2:23" ht="11.25" customHeight="1">
      <c r="C13" s="100" t="s">
        <v>71</v>
      </c>
      <c r="D13" s="136"/>
      <c r="E13" s="127">
        <f>$D$12*$E$8</f>
        <v>0.60648904664492775</v>
      </c>
      <c r="F13" s="127">
        <f>$D$12*$F$8*(1+'Input | Inflation and Disc Rate'!H13)</f>
        <v>0.58432333423013649</v>
      </c>
      <c r="G13" s="127">
        <f>$D$12*$G$8*(1+'Input | Inflation and Disc Rate'!H13)*(1+'Input | Inflation and Disc Rate'!I13)</f>
        <v>0.54674099434771894</v>
      </c>
      <c r="H13" s="131">
        <f>$D$12*$H$8*(1+'Input | Inflation and Disc Rate'!H13)*(1+'Input | Inflation and Disc Rate'!I13)*(1+'Input | Inflation and Disc Rate'!J13)</f>
        <v>0.53647445480408951</v>
      </c>
      <c r="I13" s="85"/>
      <c r="J13" s="191"/>
      <c r="K13" s="71"/>
      <c r="L13" s="84"/>
      <c r="M13" s="84"/>
      <c r="N13" s="84"/>
      <c r="O13" s="84"/>
    </row>
    <row r="14" spans="2:23" ht="11.25" customHeight="1">
      <c r="C14" s="100" t="s">
        <v>72</v>
      </c>
      <c r="D14" s="136"/>
      <c r="E14" s="128"/>
      <c r="F14" s="127">
        <f>$E$12*F$8</f>
        <v>1.950583769733113</v>
      </c>
      <c r="G14" s="127">
        <f>$E$12*G$8*(1+'Input | Inflation and Disc Rate'!I13)</f>
        <v>1.8251266847446761</v>
      </c>
      <c r="H14" s="131">
        <f>$E$12*H$8*(1+'Input | Inflation and Disc Rate'!I13)*(1+'Input | Inflation and Disc Rate'!J13)</f>
        <v>1.7908549994772864</v>
      </c>
      <c r="I14" s="85"/>
      <c r="J14" s="191"/>
      <c r="K14" s="71"/>
      <c r="L14" s="84"/>
      <c r="M14" s="84"/>
      <c r="N14" s="85"/>
      <c r="O14" s="85"/>
    </row>
    <row r="15" spans="2:23" ht="11.25" customHeight="1">
      <c r="C15" s="100" t="s">
        <v>73</v>
      </c>
      <c r="D15" s="136"/>
      <c r="E15" s="127"/>
      <c r="F15" s="127"/>
      <c r="G15" s="127">
        <f>$F$12*G$8</f>
        <v>-5.3555664645573788</v>
      </c>
      <c r="H15" s="131">
        <f>$F$12*$H$8*(1+'Input | Inflation and Disc Rate'!J13)</f>
        <v>-5.255001232655367</v>
      </c>
      <c r="I15" s="85"/>
      <c r="J15" s="191"/>
      <c r="K15" s="71"/>
      <c r="L15" s="84"/>
      <c r="M15" s="84"/>
      <c r="N15" s="84"/>
      <c r="O15" s="84"/>
    </row>
    <row r="16" spans="2:23" ht="11.25" customHeight="1">
      <c r="C16" s="100" t="s">
        <v>74</v>
      </c>
      <c r="D16" s="136"/>
      <c r="E16" s="127"/>
      <c r="F16" s="127"/>
      <c r="G16" s="127"/>
      <c r="H16" s="131">
        <f>$G$12*$H$8</f>
        <v>28.500059550901014</v>
      </c>
      <c r="I16" s="85"/>
      <c r="J16" s="191"/>
      <c r="K16" s="172"/>
      <c r="L16" s="84"/>
      <c r="M16" s="84"/>
      <c r="N16" s="84"/>
      <c r="O16" s="84"/>
    </row>
    <row r="17" spans="3:15" ht="11.25" customHeight="1">
      <c r="C17" s="100" t="s">
        <v>75</v>
      </c>
      <c r="D17" s="136"/>
      <c r="E17" s="127"/>
      <c r="F17" s="127"/>
      <c r="G17" s="127"/>
      <c r="H17" s="131"/>
      <c r="I17" s="85"/>
      <c r="J17" s="191"/>
      <c r="K17" s="172"/>
      <c r="L17" s="84"/>
      <c r="M17" s="84"/>
      <c r="N17" s="84"/>
      <c r="O17" s="84"/>
    </row>
    <row r="18" spans="3:15" s="14" customFormat="1" ht="11.25" customHeight="1">
      <c r="C18" s="101" t="s">
        <v>19</v>
      </c>
      <c r="D18" s="113">
        <f>SUM(D13:D17)</f>
        <v>0</v>
      </c>
      <c r="E18" s="80">
        <f>SUM(E13:E17)</f>
        <v>0.60648904664492775</v>
      </c>
      <c r="F18" s="80">
        <f t="shared" ref="F18:H18" si="1">SUM(F13:F17)</f>
        <v>2.5349071039632496</v>
      </c>
      <c r="G18" s="80">
        <f t="shared" si="1"/>
        <v>-2.9836987854649837</v>
      </c>
      <c r="H18" s="81">
        <f t="shared" si="1"/>
        <v>25.572387772527023</v>
      </c>
      <c r="I18" s="85"/>
      <c r="J18" s="172"/>
      <c r="K18" s="71"/>
      <c r="L18" s="84"/>
      <c r="M18" s="84"/>
      <c r="N18" s="84"/>
      <c r="O18" s="84"/>
    </row>
    <row r="19" spans="3:15" ht="11.25" customHeight="1">
      <c r="C19" s="102" t="s">
        <v>93</v>
      </c>
      <c r="D19" s="113">
        <f t="shared" ref="D19:E19" si="2">E19*(1+E$9)</f>
        <v>1.3172723848234269</v>
      </c>
      <c r="E19" s="80">
        <f t="shared" si="2"/>
        <v>1.2451915365173181</v>
      </c>
      <c r="F19" s="80">
        <f>G19*(1+G$9)</f>
        <v>1.1908888463572258</v>
      </c>
      <c r="G19" s="80">
        <f>H19*(1+H$9)</f>
        <v>1.1127738919906356</v>
      </c>
      <c r="H19" s="132">
        <v>1</v>
      </c>
      <c r="I19" s="85"/>
      <c r="J19" s="172"/>
      <c r="K19" s="71"/>
      <c r="L19" s="85"/>
      <c r="M19" s="85"/>
      <c r="N19" s="85"/>
      <c r="O19" s="85"/>
    </row>
    <row r="20" spans="3:15" s="14" customFormat="1" ht="11.25" customHeight="1">
      <c r="C20" s="100" t="s">
        <v>20</v>
      </c>
      <c r="D20" s="136">
        <f>D12*D19</f>
        <v>20.607007921621591</v>
      </c>
      <c r="E20" s="127">
        <f>E12*E19</f>
        <v>66.222774317384363</v>
      </c>
      <c r="F20" s="127">
        <f t="shared" ref="F20:H20" si="3">F12*F19</f>
        <v>-187.44606196736245</v>
      </c>
      <c r="G20" s="127">
        <f t="shared" si="3"/>
        <v>983.14631357123858</v>
      </c>
      <c r="H20" s="131">
        <f t="shared" si="3"/>
        <v>190.28546786969912</v>
      </c>
      <c r="I20" s="85"/>
      <c r="J20" s="172"/>
      <c r="K20" s="71"/>
      <c r="L20" s="85"/>
      <c r="M20" s="85"/>
      <c r="N20" s="85"/>
      <c r="O20" s="85"/>
    </row>
    <row r="21" spans="3:15" s="14" customFormat="1" ht="11.25" customHeight="1">
      <c r="C21" s="101" t="s">
        <v>21</v>
      </c>
      <c r="D21" s="113">
        <f>D18*D19</f>
        <v>0</v>
      </c>
      <c r="E21" s="80">
        <f>E18*E19</f>
        <v>0.75519502787272097</v>
      </c>
      <c r="F21" s="80">
        <f t="shared" ref="F21:H21" si="4">F18*F19</f>
        <v>3.0187925966615308</v>
      </c>
      <c r="G21" s="80">
        <f t="shared" si="4"/>
        <v>-3.3201821100296023</v>
      </c>
      <c r="H21" s="81">
        <f t="shared" si="4"/>
        <v>25.572387772527023</v>
      </c>
      <c r="I21" s="85"/>
      <c r="J21" s="172"/>
      <c r="K21" s="71"/>
      <c r="L21" s="85"/>
      <c r="M21" s="85"/>
      <c r="N21" s="85"/>
      <c r="O21" s="85"/>
    </row>
    <row r="22" spans="3:15" s="71" customFormat="1" ht="11.25" customHeight="1">
      <c r="J22" s="172"/>
    </row>
    <row r="23" spans="3:15" ht="11.25" customHeight="1">
      <c r="C23" s="105" t="s">
        <v>12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</v>
      </c>
      <c r="D24" s="158" t="str">
        <f>'Input | General'!$D$18</f>
        <v>2023-24</v>
      </c>
      <c r="E24" s="158" t="str">
        <f>'Input | General'!$E$18</f>
        <v>2024–25</v>
      </c>
      <c r="F24" s="158" t="str">
        <f>'Input | General'!$F$18</f>
        <v>2025–26</v>
      </c>
      <c r="G24" s="158" t="str">
        <f>'Input | General'!$G$18</f>
        <v>2026–27</v>
      </c>
      <c r="H24" s="159" t="str">
        <f>'Input | General'!$H$18</f>
        <v>2027–28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70</v>
      </c>
      <c r="D25" s="147">
        <f>'Input | Inflation and Disc Rate'!L$22</f>
        <v>5.7740744688181245E-2</v>
      </c>
      <c r="E25" s="147">
        <f>'Input | Inflation and Disc Rate'!M$22</f>
        <v>5.7602077750841474E-2</v>
      </c>
      <c r="F25" s="147">
        <f>'Input | Inflation and Disc Rate'!N$22</f>
        <v>5.8399469510197921E-2</v>
      </c>
      <c r="G25" s="147">
        <f>'Input | Inflation and Disc Rate'!O$22</f>
        <v>5.9077832176152478E-2</v>
      </c>
      <c r="H25" s="148">
        <f>'Input | Inflation and Disc Rate'!P$22</f>
        <v>6.0010710674597068E-2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14</v>
      </c>
      <c r="D26" s="144">
        <f>'Input | Reported Capex'!H29</f>
        <v>801.53892991882731</v>
      </c>
      <c r="E26" s="144">
        <f>'Input | Reported Capex'!I29</f>
        <v>212.7384400671576</v>
      </c>
      <c r="F26" s="144">
        <f>'Input | Reported Capex'!J29</f>
        <v>4.4585846548891439</v>
      </c>
      <c r="G26" s="144">
        <f>'Input | Reported Capex'!K29</f>
        <v>14.944337339427054</v>
      </c>
      <c r="H26" s="145">
        <f>'Input | Reported Capex'!L29</f>
        <v>4.8795590597499769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16</v>
      </c>
      <c r="D27" s="111">
        <f>1/(1+D25)^(0.5)</f>
        <v>0.97232260611754395</v>
      </c>
      <c r="E27" s="111">
        <f>1/((1+E25)^(0.5)*(1+D25))</f>
        <v>0.91930499197814886</v>
      </c>
      <c r="F27" s="111">
        <f>1/((1+F25)^(0.5)*(1+E25)*(1+D25))</f>
        <v>0.86890773633152218</v>
      </c>
      <c r="G27" s="111">
        <f>1/((1+G25)^(0.5)*(1+F25)*(1+E25)*(1+D25))</f>
        <v>0.82070091634868125</v>
      </c>
      <c r="H27" s="112">
        <f>1/((1+H25)^(0.5)*(1+G25)*(1+F25)*(1+E25)*(1+D25))</f>
        <v>0.77457923940281792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18</v>
      </c>
      <c r="D28" s="80">
        <f>D26*D27</f>
        <v>779.35442124334156</v>
      </c>
      <c r="E28" s="80">
        <f t="shared" ref="E28:G28" si="5">E26*E27</f>
        <v>195.57150993938222</v>
      </c>
      <c r="F28" s="80">
        <f t="shared" si="5"/>
        <v>3.8740986997221869</v>
      </c>
      <c r="G28" s="80">
        <f t="shared" si="5"/>
        <v>12.264831348691597</v>
      </c>
      <c r="H28" s="81">
        <f>H26*H27</f>
        <v>3.7796051451222663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22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23</v>
      </c>
      <c r="D31" s="90">
        <f>SUM(D20:H20)-SUM(D28:H28)</f>
        <v>77.971035336321393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24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25</v>
      </c>
      <c r="D33" s="90">
        <f>(1-D32)*D31</f>
        <v>54.579724735424975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26</v>
      </c>
      <c r="D34" s="90">
        <f>D32*D31</f>
        <v>23.391310600896418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27</v>
      </c>
      <c r="D35" s="90">
        <f>SUM(D21:H21)</f>
        <v>26.026193287031674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28</v>
      </c>
      <c r="D36" s="91">
        <f>D34-D35</f>
        <v>-2.6348826861352563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60" t="str">
        <f>'Input | General'!D18</f>
        <v>2023-24</v>
      </c>
      <c r="E40" s="160" t="str">
        <f>'Input | General'!E18</f>
        <v>2024–25</v>
      </c>
      <c r="F40" s="160" t="str">
        <f>'Input | General'!F18</f>
        <v>2025–26</v>
      </c>
      <c r="G40" s="160" t="str">
        <f>'Input | General'!G18</f>
        <v>2026–27</v>
      </c>
      <c r="H40" s="160" t="str">
        <f>'Input | General'!H18</f>
        <v>2027–28</v>
      </c>
    </row>
    <row r="41" spans="1:16382" s="24" customFormat="1" ht="11.25" customHeight="1">
      <c r="C41" s="88" t="s">
        <v>98</v>
      </c>
      <c r="D41" s="149">
        <f>1/(1+'Input | Inflation and Disc Rate'!L21)</f>
        <v>0.9737678511189205</v>
      </c>
      <c r="E41" s="149">
        <f>D41/(1+'Input | Inflation and Disc Rate'!M21)</f>
        <v>0.9483481537386883</v>
      </c>
      <c r="F41" s="149">
        <f>E41/(1+'Input | Inflation and Disc Rate'!N21)</f>
        <v>0.92289619553799995</v>
      </c>
      <c r="G41" s="149">
        <f>F41/(1+'Input | Inflation and Disc Rate'!O21)</f>
        <v>0.89755205178175212</v>
      </c>
      <c r="H41" s="150">
        <f>G41/(1+'Input | Inflation and Disc Rate'!P21)</f>
        <v>0.87213568473979619</v>
      </c>
    </row>
    <row r="42" spans="1:16382" s="24" customFormat="1" ht="11.25" customHeight="1">
      <c r="C42" s="166" t="str">
        <f>CONCATENATE("CESS Payment Per Year ($", 'Output | Models'!$F$8," million)")</f>
        <v>CESS Payment Per Year ($2022–23 million)</v>
      </c>
      <c r="D42" s="97">
        <f>D36/(SUM(D41:H41))</f>
        <v>-0.57097595123280864</v>
      </c>
      <c r="E42" s="97">
        <f>D42</f>
        <v>-0.57097595123280864</v>
      </c>
      <c r="F42" s="97">
        <f t="shared" ref="F42:H42" si="6">E42</f>
        <v>-0.57097595123280864</v>
      </c>
      <c r="G42" s="97">
        <f t="shared" si="6"/>
        <v>-0.57097595123280864</v>
      </c>
      <c r="H42" s="129">
        <f t="shared" si="6"/>
        <v>-0.57097595123280864</v>
      </c>
    </row>
    <row r="43" spans="1:16382" s="71" customFormat="1" ht="11.25" customHeight="1"/>
    <row r="44" spans="1:16382" s="24" customFormat="1" ht="11.25" customHeight="1">
      <c r="C44" s="166" t="str">
        <f>CONCATENATE("Total CESS Payment ($", 'Output | Models'!$F$8," million)")</f>
        <v>Total CESS Payment ($2022–23 million)</v>
      </c>
      <c r="D44" s="135">
        <f>SUM(D42:H42)</f>
        <v>-2.8548797561640433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6" width="7.140625" style="44" customWidth="1"/>
    <col min="17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27">
      <c r="B1" s="3" t="str">
        <f>'Input | General'!$B$1</f>
        <v>Transgrid 2023-28 Revised Proposal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47</v>
      </c>
      <c r="L1" s="137" t="s">
        <v>48</v>
      </c>
      <c r="M1" s="140" t="s">
        <v>36</v>
      </c>
      <c r="N1" s="201" t="s">
        <v>127</v>
      </c>
      <c r="R1" s="95"/>
      <c r="S1" s="71"/>
      <c r="T1" s="71"/>
      <c r="U1" s="71"/>
      <c r="V1" s="71"/>
      <c r="W1" s="71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19"/>
      <c r="K3" s="219"/>
      <c r="L3" s="219"/>
      <c r="M3" s="35"/>
      <c r="N3" s="219"/>
      <c r="O3" s="219"/>
      <c r="P3" s="219"/>
      <c r="Q3" s="219"/>
      <c r="R3" s="219"/>
      <c r="S3" s="219"/>
      <c r="T3" s="219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61" t="str">
        <f>'Calc | CESS Revenue Increments'!D40</f>
        <v>2023-24</v>
      </c>
      <c r="K6" s="161" t="str">
        <f>'Calc | CESS Revenue Increments'!E40</f>
        <v>2024–25</v>
      </c>
      <c r="L6" s="161" t="str">
        <f>'Calc | CESS Revenue Increments'!F40</f>
        <v>2025–26</v>
      </c>
      <c r="M6" s="161" t="str">
        <f>'Calc | CESS Revenue Increments'!G40</f>
        <v>2026–27</v>
      </c>
      <c r="N6" s="161" t="str">
        <f>'Calc | CESS Revenue Increments'!H40</f>
        <v>2027–28</v>
      </c>
      <c r="O6" s="49" t="s">
        <v>87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83</v>
      </c>
      <c r="D8" s="163" t="s">
        <v>58</v>
      </c>
      <c r="E8" s="45" t="s">
        <v>50</v>
      </c>
      <c r="F8" s="162" t="str">
        <f>IF(LEN(J6)&gt;4,CONCATENATE(LEFT(J6,4)-1&amp;"–"&amp;IF(RIGHT(J6,2)="00","99",IF(RIGHT(J6,2)-1&lt;10,"0","")&amp;RIGHT(J6,2)-1)),J6-1)</f>
        <v>2022–23</v>
      </c>
      <c r="H8" s="48"/>
      <c r="I8" s="48"/>
      <c r="J8" s="118">
        <f>'Calc | CESS Revenue Increments'!D42</f>
        <v>-0.57097595123280864</v>
      </c>
      <c r="K8" s="118">
        <f>'Calc | CESS Revenue Increments'!E42</f>
        <v>-0.57097595123280864</v>
      </c>
      <c r="L8" s="118">
        <f>'Calc | CESS Revenue Increments'!F42</f>
        <v>-0.57097595123280864</v>
      </c>
      <c r="M8" s="118">
        <f>'Calc | CESS Revenue Increments'!G42</f>
        <v>-0.57097595123280864</v>
      </c>
      <c r="N8" s="118">
        <f>'Calc | CESS Revenue Increments'!H42</f>
        <v>-0.57097595123280864</v>
      </c>
      <c r="O8" s="52">
        <f>SUM(J8:N8)</f>
        <v>-2.8548797561640433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3"/>
      <c r="I9" s="194"/>
      <c r="J9" s="195"/>
      <c r="K9" s="195"/>
      <c r="L9" s="195"/>
      <c r="M9" s="195"/>
      <c r="N9" s="196"/>
      <c r="O9" s="195"/>
      <c r="P9" s="192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7"/>
      <c r="I10" s="197"/>
      <c r="J10" s="195"/>
      <c r="K10" s="195"/>
      <c r="L10" s="195"/>
      <c r="M10" s="195"/>
      <c r="N10" s="195"/>
      <c r="O10" s="195"/>
      <c r="P10" s="192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Normal="100" workbookViewId="0">
      <selection activeCell="O16" sqref="O16"/>
    </sheetView>
  </sheetViews>
  <sheetFormatPr defaultColWidth="0" defaultRowHeight="15" zeroHeight="1"/>
  <cols>
    <col min="1" max="2" width="2.140625" customWidth="1"/>
    <col min="3" max="3" width="57.140625" bestFit="1" customWidth="1"/>
    <col min="4" max="4" width="10.42578125" customWidth="1"/>
    <col min="5" max="5" width="9.140625" customWidth="1"/>
    <col min="6" max="6" width="3.7109375" customWidth="1"/>
    <col min="7" max="17" width="9.140625" customWidth="1"/>
    <col min="18" max="16384" width="9.140625" hidden="1"/>
  </cols>
  <sheetData>
    <row r="1" spans="1:17" ht="15.75">
      <c r="B1" s="3" t="s">
        <v>121</v>
      </c>
      <c r="N1" s="94" t="s">
        <v>47</v>
      </c>
      <c r="O1" s="137" t="s">
        <v>48</v>
      </c>
      <c r="P1" s="140" t="s">
        <v>36</v>
      </c>
    </row>
    <row r="2" spans="1:17" ht="15.75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3"/>
      <c r="D4" s="67" t="s">
        <v>52</v>
      </c>
      <c r="E4" s="67" t="s">
        <v>4</v>
      </c>
      <c r="F4" s="67"/>
      <c r="G4" s="47" t="s">
        <v>103</v>
      </c>
      <c r="H4" s="47" t="s">
        <v>104</v>
      </c>
      <c r="I4" s="47" t="s">
        <v>105</v>
      </c>
      <c r="J4" s="47" t="s">
        <v>106</v>
      </c>
      <c r="K4" s="47" t="s">
        <v>107</v>
      </c>
      <c r="L4" s="47" t="s">
        <v>102</v>
      </c>
      <c r="M4" s="47" t="s">
        <v>108</v>
      </c>
      <c r="N4" s="47" t="s">
        <v>109</v>
      </c>
      <c r="O4" s="47" t="s">
        <v>110</v>
      </c>
      <c r="P4" s="47" t="s">
        <v>111</v>
      </c>
    </row>
    <row r="5" spans="1:17">
      <c r="C5" s="50" t="s">
        <v>112</v>
      </c>
      <c r="D5" s="70" t="s">
        <v>51</v>
      </c>
      <c r="G5" s="199">
        <f>'Input | Inflation and Disc Rate'!G20</f>
        <v>3.993698958963017E-2</v>
      </c>
      <c r="H5" s="199">
        <f>'Input | Inflation and Disc Rate'!H20</f>
        <v>3.8768911813005374E-2</v>
      </c>
      <c r="I5" s="199">
        <f>'Input | Inflation and Disc Rate'!I20</f>
        <v>3.6676965385035398E-2</v>
      </c>
      <c r="J5" s="199">
        <f>'Input | Inflation and Disc Rate'!J20</f>
        <v>3.4025171303287666E-2</v>
      </c>
      <c r="K5" s="199">
        <f>'Input | Inflation and Disc Rate'!K20</f>
        <v>3.2257784777955135E-2</v>
      </c>
      <c r="L5" s="182"/>
      <c r="M5" s="182"/>
      <c r="N5" s="182"/>
      <c r="O5" s="182"/>
      <c r="P5" s="182"/>
    </row>
    <row r="6" spans="1:17">
      <c r="C6" s="50" t="s">
        <v>113</v>
      </c>
      <c r="D6" s="70" t="s">
        <v>51</v>
      </c>
      <c r="G6" s="182"/>
      <c r="H6" s="182"/>
      <c r="I6" s="182"/>
      <c r="J6" s="182"/>
      <c r="K6" s="182"/>
      <c r="L6" s="199">
        <f>'Input | Inflation and Disc Rate'!L21</f>
        <v>2.6938811802974437E-2</v>
      </c>
      <c r="M6" s="199">
        <f>'Input | Inflation and Disc Rate'!M21</f>
        <v>2.6804182915335192E-2</v>
      </c>
      <c r="N6" s="199">
        <f>'Input | Inflation and Disc Rate'!N21</f>
        <v>2.7578354232841117E-2</v>
      </c>
      <c r="O6" s="199">
        <f>'Input | Inflation and Disc Rate'!O21</f>
        <v>2.8236962642931608E-2</v>
      </c>
      <c r="P6" s="199">
        <f>'Input | Inflation and Disc Rate'!P21</f>
        <v>2.9142675258768944E-2</v>
      </c>
    </row>
    <row r="7" spans="1:17">
      <c r="C7" s="50" t="s">
        <v>114</v>
      </c>
      <c r="D7" s="70" t="s">
        <v>51</v>
      </c>
      <c r="G7" s="199">
        <f>'Input | Inflation and Disc Rate'!G13</f>
        <v>1.7841213202497874E-2</v>
      </c>
      <c r="H7" s="199">
        <f>'Input | Inflation and Disc Rate'!H13</f>
        <v>1.8404907975460238E-2</v>
      </c>
      <c r="I7" s="199">
        <f>'Input | Inflation and Disc Rate'!I13</f>
        <v>8.6058519793459354E-3</v>
      </c>
      <c r="J7" s="199">
        <f>'Input | Inflation and Disc Rate'!J13</f>
        <v>3.4982935153583528E-2</v>
      </c>
      <c r="K7" s="199">
        <f>'Input | Inflation and Disc Rate'!K13</f>
        <v>7.8E-2</v>
      </c>
      <c r="L7" s="198"/>
      <c r="M7" s="198"/>
      <c r="N7" s="198"/>
      <c r="O7" s="198"/>
      <c r="P7" s="198"/>
    </row>
    <row r="8" spans="1:17">
      <c r="C8" s="50" t="s">
        <v>115</v>
      </c>
      <c r="D8" s="70" t="s">
        <v>30</v>
      </c>
      <c r="G8" s="184">
        <f>(1+G7)</f>
        <v>1.0178412132024979</v>
      </c>
      <c r="H8" s="184">
        <f>G8*(1+H7)</f>
        <v>1.0365744870651206</v>
      </c>
      <c r="I8" s="184">
        <f t="shared" ref="I8:K8" si="0">H8*(1+I7)</f>
        <v>1.0454950936663694</v>
      </c>
      <c r="J8" s="184">
        <f t="shared" si="0"/>
        <v>1.0820695807314897</v>
      </c>
      <c r="K8" s="184">
        <f t="shared" si="0"/>
        <v>1.1664710080285461</v>
      </c>
      <c r="L8" s="182"/>
      <c r="M8" s="182"/>
      <c r="N8" s="182"/>
      <c r="O8" s="182"/>
      <c r="P8" s="182"/>
    </row>
    <row r="9" spans="1:17">
      <c r="C9" s="50" t="s">
        <v>116</v>
      </c>
      <c r="D9" s="70" t="s">
        <v>51</v>
      </c>
      <c r="G9" s="183">
        <f>(1+G5)*(1+G7)-1</f>
        <v>5.8490727138062582E-2</v>
      </c>
      <c r="H9" s="183">
        <f t="shared" ref="H9:K9" si="1">(1+H5)*(1+H7)-1</f>
        <v>5.7887358042692849E-2</v>
      </c>
      <c r="I9" s="183">
        <f t="shared" si="1"/>
        <v>4.5598453899536651E-2</v>
      </c>
      <c r="J9" s="183">
        <f t="shared" si="1"/>
        <v>7.0198406818163805E-2</v>
      </c>
      <c r="K9" s="183">
        <f t="shared" si="1"/>
        <v>0.11277389199063559</v>
      </c>
      <c r="L9" s="182"/>
      <c r="M9" s="182"/>
      <c r="N9" s="182"/>
      <c r="O9" s="182"/>
      <c r="P9" s="182"/>
    </row>
    <row r="10" spans="1:17">
      <c r="C10" s="50"/>
      <c r="D10" s="50"/>
      <c r="G10" s="174"/>
      <c r="H10" s="174"/>
      <c r="I10" s="174"/>
      <c r="J10" s="174"/>
      <c r="K10" s="174"/>
      <c r="L10" s="174"/>
    </row>
    <row r="11" spans="1:17">
      <c r="C11" s="50" t="s">
        <v>123</v>
      </c>
      <c r="D11" s="70" t="s">
        <v>50</v>
      </c>
      <c r="E11" s="70" t="str">
        <f>'Input | Inflation and Disc Rate'!$F$7</f>
        <v>2017–18</v>
      </c>
      <c r="F11" s="70"/>
      <c r="G11" s="185">
        <v>6.7255642007890835</v>
      </c>
      <c r="H11" s="185">
        <v>6.7255642007890835</v>
      </c>
      <c r="I11" s="185">
        <v>6.7255642007890835</v>
      </c>
      <c r="J11" s="185">
        <v>6.7255642007890835</v>
      </c>
      <c r="K11" s="185">
        <v>6.7255642007890835</v>
      </c>
    </row>
    <row r="12" spans="1:17">
      <c r="C12" s="50" t="s">
        <v>124</v>
      </c>
      <c r="D12" s="70" t="s">
        <v>50</v>
      </c>
      <c r="E12" s="70" t="str">
        <f>'Input | Inflation and Disc Rate'!$F$7</f>
        <v>2017–18</v>
      </c>
      <c r="F12" s="70"/>
      <c r="G12" s="185">
        <v>6.8733894906294184</v>
      </c>
      <c r="H12" s="185">
        <v>6.8733894906294184</v>
      </c>
      <c r="I12" s="185">
        <v>6.8733894906294184</v>
      </c>
      <c r="J12" s="185">
        <v>6.8733894906294184</v>
      </c>
      <c r="K12" s="185">
        <v>6.8733894906294184</v>
      </c>
    </row>
    <row r="13" spans="1:17">
      <c r="C13" s="50"/>
      <c r="D13" s="50"/>
    </row>
    <row r="14" spans="1:17">
      <c r="C14" s="50" t="s">
        <v>117</v>
      </c>
      <c r="D14" s="70" t="s">
        <v>50</v>
      </c>
      <c r="E14" s="70" t="str">
        <f>'Input | Inflation and Disc Rate'!$F$7</f>
        <v>2017–18</v>
      </c>
      <c r="F14" s="70"/>
      <c r="G14" s="186">
        <f>G12-G11</f>
        <v>0.14782528984033494</v>
      </c>
      <c r="H14" s="186">
        <f t="shared" ref="H14:K14" si="2">H12-H11</f>
        <v>0.14782528984033494</v>
      </c>
      <c r="I14" s="186">
        <f t="shared" si="2"/>
        <v>0.14782528984033494</v>
      </c>
      <c r="J14" s="186">
        <f t="shared" si="2"/>
        <v>0.14782528984033494</v>
      </c>
      <c r="K14" s="186">
        <f t="shared" si="2"/>
        <v>0.14782528984033494</v>
      </c>
    </row>
    <row r="15" spans="1:17">
      <c r="C15" s="50" t="s">
        <v>117</v>
      </c>
      <c r="D15" s="70" t="s">
        <v>50</v>
      </c>
      <c r="E15" s="45" t="s">
        <v>53</v>
      </c>
      <c r="F15" s="45"/>
      <c r="G15" s="186">
        <f>G14*G8</f>
        <v>0.1504626723530974</v>
      </c>
      <c r="H15" s="186">
        <f>H14*H8</f>
        <v>0.15323192399149796</v>
      </c>
      <c r="I15" s="186">
        <f>I14*I8</f>
        <v>0.15455061524787919</v>
      </c>
      <c r="J15" s="186">
        <f>J14*J8</f>
        <v>0.15995724939904218</v>
      </c>
      <c r="K15" s="186">
        <f>K14*K8</f>
        <v>0.1724339148521675</v>
      </c>
    </row>
    <row r="16" spans="1:17">
      <c r="C16" s="50" t="s">
        <v>71</v>
      </c>
      <c r="D16" s="50"/>
      <c r="E16" s="45"/>
      <c r="F16" s="45"/>
      <c r="G16" s="182"/>
      <c r="H16" s="186">
        <f>$G$15*H$5</f>
        <v>5.8332740756063548E-3</v>
      </c>
      <c r="I16" s="186">
        <f>$G$15*H$8/$G$8*I$5</f>
        <v>5.620081972118547E-3</v>
      </c>
      <c r="J16" s="186">
        <f>$G$15*I$8/$G$8*J$5</f>
        <v>5.2586111588375922E-3</v>
      </c>
      <c r="K16" s="186">
        <f>$G$15*J$7/$G$7*K$5</f>
        <v>9.5168927038824982E-3</v>
      </c>
    </row>
    <row r="17" spans="1:17">
      <c r="C17" s="50" t="s">
        <v>72</v>
      </c>
      <c r="D17" s="50"/>
      <c r="E17" s="45"/>
      <c r="F17" s="45"/>
      <c r="G17" s="182"/>
      <c r="H17" s="186"/>
      <c r="I17" s="186">
        <f>$H$15*I$5</f>
        <v>5.6200819721185461E-3</v>
      </c>
      <c r="J17" s="186">
        <f>$H$15*I$7/$H$7*J$5</f>
        <v>2.4378658102688286E-3</v>
      </c>
      <c r="K17" s="186">
        <f>$G$15*J$8/$G$8*K$5</f>
        <v>5.159866524787996E-3</v>
      </c>
    </row>
    <row r="18" spans="1:17">
      <c r="C18" s="50" t="s">
        <v>73</v>
      </c>
      <c r="D18" s="50"/>
      <c r="E18" s="45"/>
      <c r="F18" s="45"/>
      <c r="G18" s="182"/>
      <c r="H18" s="186"/>
      <c r="I18" s="186"/>
      <c r="J18" s="186">
        <f>$I$15*J$5</f>
        <v>5.2586111588375922E-3</v>
      </c>
      <c r="K18" s="186">
        <f>$I$15*J$7/$I$7*K$5</f>
        <v>2.0265981943441855E-2</v>
      </c>
    </row>
    <row r="19" spans="1:17">
      <c r="C19" s="50" t="s">
        <v>74</v>
      </c>
      <c r="D19" s="50"/>
      <c r="E19" s="45"/>
      <c r="F19" s="45"/>
      <c r="G19" s="182"/>
      <c r="H19" s="186"/>
      <c r="I19" s="186"/>
      <c r="J19" s="186"/>
      <c r="K19" s="186">
        <f>$J$15*K$5</f>
        <v>5.159866524787996E-3</v>
      </c>
    </row>
    <row r="20" spans="1:17">
      <c r="C20" s="50" t="s">
        <v>75</v>
      </c>
      <c r="D20" s="50"/>
      <c r="E20" s="45"/>
      <c r="F20" s="45"/>
      <c r="G20" s="182"/>
      <c r="H20" s="182"/>
      <c r="I20" s="182"/>
      <c r="J20" s="182"/>
      <c r="K20" s="182"/>
    </row>
    <row r="21" spans="1:17">
      <c r="C21" s="50" t="s">
        <v>19</v>
      </c>
      <c r="D21" s="50"/>
      <c r="E21" s="45"/>
      <c r="F21" s="45"/>
      <c r="G21" s="186">
        <f>SUM(G16:G20)</f>
        <v>0</v>
      </c>
      <c r="H21" s="186">
        <f>SUM(H16:H20)</f>
        <v>5.8332740756063548E-3</v>
      </c>
      <c r="I21" s="186">
        <f t="shared" ref="I21:K21" si="3">SUM(I16:I20)</f>
        <v>1.1240163944237092E-2</v>
      </c>
      <c r="J21" s="186">
        <f t="shared" si="3"/>
        <v>1.2955088127944013E-2</v>
      </c>
      <c r="K21" s="186">
        <f t="shared" si="3"/>
        <v>4.0102607696900348E-2</v>
      </c>
    </row>
    <row r="22" spans="1:17">
      <c r="C22" s="50"/>
      <c r="D22" s="50"/>
      <c r="E22" s="45"/>
      <c r="F22" s="45"/>
      <c r="G22" s="182"/>
      <c r="H22" s="182"/>
      <c r="I22" s="182"/>
      <c r="J22" s="182"/>
      <c r="K22" s="182"/>
    </row>
    <row r="23" spans="1:17">
      <c r="C23" s="50" t="s">
        <v>93</v>
      </c>
      <c r="D23" s="50"/>
      <c r="E23" s="45"/>
      <c r="F23" s="45"/>
      <c r="G23" s="186">
        <f>H23*(1+H9)</f>
        <v>1.3172723848234269</v>
      </c>
      <c r="H23" s="186">
        <f>I23*(1+I9)</f>
        <v>1.2451915365173181</v>
      </c>
      <c r="I23" s="186">
        <f>J23*(1+J9)</f>
        <v>1.1908888463572258</v>
      </c>
      <c r="J23" s="186">
        <f>K23*(1+K9)</f>
        <v>1.1127738919906356</v>
      </c>
      <c r="K23" s="187">
        <v>1</v>
      </c>
    </row>
    <row r="24" spans="1:17">
      <c r="C24" s="50" t="s">
        <v>118</v>
      </c>
      <c r="D24" s="50"/>
      <c r="E24" s="45"/>
      <c r="F24" s="45"/>
      <c r="G24" s="186">
        <f>G15*G23</f>
        <v>0.19820032323747053</v>
      </c>
      <c r="H24" s="186">
        <f t="shared" ref="H24:K24" si="4">H15*H23</f>
        <v>0.19080309487847824</v>
      </c>
      <c r="I24" s="186">
        <f t="shared" si="4"/>
        <v>0.18405260389634631</v>
      </c>
      <c r="J24" s="186">
        <f t="shared" si="4"/>
        <v>0.17799625096588892</v>
      </c>
      <c r="K24" s="186">
        <f t="shared" si="4"/>
        <v>0.1724339148521675</v>
      </c>
    </row>
    <row r="25" spans="1:17">
      <c r="C25" s="50" t="s">
        <v>21</v>
      </c>
      <c r="D25" s="50"/>
      <c r="E25" s="45"/>
      <c r="F25" s="45"/>
      <c r="G25" s="188">
        <f>G21*G23</f>
        <v>0</v>
      </c>
      <c r="H25" s="188">
        <f t="shared" ref="H25:K25" si="5">H21*H23</f>
        <v>7.2635435091309153E-3</v>
      </c>
      <c r="I25" s="188">
        <f t="shared" si="5"/>
        <v>1.3385785872418596E-2</v>
      </c>
      <c r="J25" s="188">
        <f t="shared" si="5"/>
        <v>1.4416083837213937E-2</v>
      </c>
      <c r="K25" s="188">
        <f t="shared" si="5"/>
        <v>4.0102607696900348E-2</v>
      </c>
    </row>
    <row r="26" spans="1:17">
      <c r="C26" s="69" t="s">
        <v>119</v>
      </c>
      <c r="D26" s="154"/>
      <c r="E26" s="155"/>
      <c r="F26" s="180"/>
      <c r="G26" s="69"/>
      <c r="H26" s="69"/>
      <c r="I26" s="69"/>
      <c r="J26" s="69"/>
      <c r="K26" s="181">
        <f>SUM(G24:K25)</f>
        <v>0.99865420874601529</v>
      </c>
    </row>
    <row r="27" spans="1:17"/>
    <row r="28" spans="1:17">
      <c r="A28" s="37"/>
      <c r="B28" s="38" t="s">
        <v>56</v>
      </c>
      <c r="C28" s="41"/>
      <c r="D28" s="41"/>
      <c r="E28" s="40" t="s">
        <v>57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5"/>
      <c r="C29" s="176"/>
      <c r="D29" s="176"/>
      <c r="E29" s="177"/>
      <c r="F29" s="177"/>
      <c r="G29" s="43"/>
      <c r="H29" s="43"/>
      <c r="I29" s="43"/>
      <c r="J29" s="178"/>
      <c r="K29" s="178"/>
      <c r="L29" s="178"/>
      <c r="M29" s="176"/>
      <c r="N29" s="179"/>
      <c r="O29" s="176"/>
      <c r="P29" s="176"/>
    </row>
    <row r="30" spans="1:17">
      <c r="C30" s="47" t="s">
        <v>120</v>
      </c>
      <c r="D30" s="67" t="s">
        <v>52</v>
      </c>
      <c r="E30" s="67" t="s">
        <v>4</v>
      </c>
      <c r="F30" s="67"/>
      <c r="G30" s="47" t="s">
        <v>102</v>
      </c>
      <c r="H30" s="47" t="s">
        <v>108</v>
      </c>
      <c r="I30" s="47" t="s">
        <v>109</v>
      </c>
      <c r="J30" s="47" t="s">
        <v>110</v>
      </c>
      <c r="K30" s="47" t="s">
        <v>111</v>
      </c>
      <c r="L30" s="47" t="s">
        <v>87</v>
      </c>
    </row>
    <row r="31" spans="1:17">
      <c r="C31" s="50" t="s">
        <v>98</v>
      </c>
      <c r="D31" s="70" t="s">
        <v>50</v>
      </c>
      <c r="E31" s="70" t="s">
        <v>126</v>
      </c>
      <c r="F31" s="70"/>
      <c r="G31" s="186">
        <f>1/(1+L6)</f>
        <v>0.9737678511189205</v>
      </c>
      <c r="H31" s="186">
        <f>G31/(1+M6)</f>
        <v>0.9483481537386883</v>
      </c>
      <c r="I31" s="186">
        <f>H31/(1+N6)</f>
        <v>0.92289619553799995</v>
      </c>
      <c r="J31" s="186">
        <f>I31/(1+O6)</f>
        <v>0.89755205178175212</v>
      </c>
      <c r="K31" s="186">
        <f>J31/(1+P6)</f>
        <v>0.87213568473979619</v>
      </c>
      <c r="L31" s="182"/>
    </row>
    <row r="32" spans="1:17">
      <c r="C32" s="50"/>
      <c r="D32" s="70"/>
      <c r="E32" s="70"/>
      <c r="F32" s="70"/>
      <c r="G32" s="189"/>
      <c r="H32" s="189"/>
      <c r="I32" s="189"/>
      <c r="J32" s="189"/>
      <c r="K32" s="189"/>
      <c r="L32" s="190"/>
    </row>
    <row r="33" spans="1:17">
      <c r="C33" s="69" t="s">
        <v>125</v>
      </c>
      <c r="D33" s="154"/>
      <c r="E33" s="155"/>
      <c r="F33" s="180"/>
      <c r="G33" s="181">
        <f>$K$26/SUM($G$31:$K$31)</f>
        <v>0.21640718191813019</v>
      </c>
      <c r="H33" s="181">
        <f>$K$26/SUM($G$31:$K$31)</f>
        <v>0.21640718191813019</v>
      </c>
      <c r="I33" s="181">
        <f>$K$26/SUM($G$31:$K$31)</f>
        <v>0.21640718191813019</v>
      </c>
      <c r="J33" s="181">
        <f>$K$26/SUM($G$31:$K$31)</f>
        <v>0.21640718191813019</v>
      </c>
      <c r="K33" s="181">
        <f>$K$26/SUM($G$31:$K$31)</f>
        <v>0.21640718191813019</v>
      </c>
      <c r="L33" s="181">
        <f>SUM(G33:K33)</f>
        <v>1.0820359095906509</v>
      </c>
    </row>
    <row r="34" spans="1:17"/>
    <row r="35" spans="1:17">
      <c r="A35" s="23"/>
      <c r="B35" s="23" t="s">
        <v>34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A8250C83EF049A6081B6ABE2EC208" ma:contentTypeVersion="9" ma:contentTypeDescription="Create a new document." ma:contentTypeScope="" ma:versionID="5899300b55b32bfc167ba1cf97f31b4a">
  <xsd:schema xmlns:xsd="http://www.w3.org/2001/XMLSchema" xmlns:xs="http://www.w3.org/2001/XMLSchema" xmlns:p="http://schemas.microsoft.com/office/2006/metadata/properties" xmlns:ns2="219a03a1-7fe7-42f3-bdad-55ca8d66a738" xmlns:ns3="4eb6023d-658b-4527-be73-24b0518f0bf9" xmlns:ns4="97db55b7-6849-467b-a514-00ca68ee4ee0" targetNamespace="http://schemas.microsoft.com/office/2006/metadata/properties" ma:root="true" ma:fieldsID="968fcfc8334bfb21df38a6431dff2315" ns2:_="" ns3:_="" ns4:_="">
    <xsd:import namespace="219a03a1-7fe7-42f3-bdad-55ca8d66a738"/>
    <xsd:import namespace="4eb6023d-658b-4527-be73-24b0518f0bf9"/>
    <xsd:import namespace="97db55b7-6849-467b-a514-00ca68ee4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b55b7-6849-467b-a514-00ca68ee4ee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F662F-DF74-4F66-AA01-7DD5A2DFD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67231F-DDAF-4EAE-B547-F31CE92FF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97db55b7-6849-467b-a514-00ca68ee4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2022-11-30T23:57:46Z</dcterms:modified>
  <cp:category/>
  <cp:contentStatus/>
</cp:coreProperties>
</file>