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N:\Revenue Strategy\REVENUE RESET\2023-28 Reset\0.01_Project Management\0.000A REVENUE PROPOSAL_31 JAN 2022\0.00A_RESUBMITTED TO AER\FEB 2022\"/>
    </mc:Choice>
  </mc:AlternateContent>
  <bookViews>
    <workbookView xWindow="-28920" yWindow="1875" windowWidth="29040" windowHeight="15720" tabRatio="738"/>
  </bookViews>
  <sheets>
    <sheet name="Cover" sheetId="27" r:id="rId1"/>
    <sheet name="TOC" sheetId="28" r:id="rId2"/>
    <sheet name="Input_CPI" sheetId="113" r:id="rId3"/>
    <sheet name="WkB_1_2.1.1" sheetId="100" r:id="rId4"/>
    <sheet name="WkB_1_2.1.8" sheetId="101" r:id="rId5"/>
    <sheet name="WkB_1_2.2.1" sheetId="114" r:id="rId6"/>
    <sheet name="WkB_1_2.2.1(a)" sheetId="126" r:id="rId7"/>
    <sheet name="WkB_1_2.3a" sheetId="122" r:id="rId8"/>
    <sheet name="WkB_1_2.3.2" sheetId="123" r:id="rId9"/>
    <sheet name="WkB_1_2.3.4" sheetId="102" r:id="rId10"/>
    <sheet name="WkB_1_2.5.1" sheetId="115" r:id="rId11"/>
    <sheet name="WkB_1_2.6.1" sheetId="116" r:id="rId12"/>
    <sheet name="WkB_1_2.6.4" sheetId="125" r:id="rId13"/>
    <sheet name="WkB_1_2.10" sheetId="103" r:id="rId14"/>
    <sheet name="WkB_1_2.14" sheetId="104" r:id="rId15"/>
    <sheet name="WkB_1_2.16" sheetId="105" r:id="rId16"/>
    <sheet name="WkB_1_2.17.1" sheetId="106" r:id="rId17"/>
    <sheet name="WkB_1_2.17.2" sheetId="107" r:id="rId18"/>
    <sheet name="WkB_1_2.17.5" sheetId="108" r:id="rId19"/>
    <sheet name="WkB_1_3.1.1" sheetId="109" r:id="rId20"/>
    <sheet name="WkB_1_3.1.2" sheetId="130" r:id="rId21"/>
    <sheet name="WkB_1_3.1.3" sheetId="131" r:id="rId22"/>
    <sheet name="WkB_1_3.2" sheetId="120" r:id="rId23"/>
    <sheet name="WkB_1_3.3" sheetId="117" r:id="rId24"/>
    <sheet name="WkB_1_7.2" sheetId="127" r:id="rId25"/>
    <sheet name="WkB_1_7.4" sheetId="121" r:id="rId26"/>
    <sheet name="WkB_1_7.9" sheetId="124" r:id="rId27"/>
    <sheet name="WkB_1_8.2.7" sheetId="112" r:id="rId28"/>
    <sheet name="WkB_7_7.6" sheetId="118" r:id="rId29"/>
    <sheet name="WkB_8_8.2.7" sheetId="119" r:id="rId30"/>
    <sheet name="WkB_1_Reconciliation" sheetId="129" r:id="rId31"/>
    <sheet name="Lookup" sheetId="4" r:id="rId32"/>
    <sheet name="Checks" sheetId="25" r:id="rId33"/>
  </sheets>
  <definedNames>
    <definedName name="_xlnm._FilterDatabase" localSheetId="2" hidden="1">Input_CPI!$C$9:$X$29</definedName>
    <definedName name="Base_Year">Lookup!$E$11</definedName>
    <definedName name="Cash_Timing">Lookup!$D$65:$D$68</definedName>
    <definedName name="Days_In_Wk">Lookup!$D$30</definedName>
    <definedName name="Days_In_Yr">Lookup!$D$31</definedName>
    <definedName name="Dollars">Lookup!$D$46</definedName>
    <definedName name="End_Period">Lookup!$D$67</definedName>
    <definedName name="Error">Lookup!$D$36</definedName>
    <definedName name="Factor">Lookup!$D$49</definedName>
    <definedName name="GWh">Lookup!$D$51</definedName>
    <definedName name="Half">Lookup!$D$32</definedName>
    <definedName name="Index_Period">Lookup!$J$18:$Y$18</definedName>
    <definedName name="Kilometres">Lookup!$D$53</definedName>
    <definedName name="LU_Basis">Lookup!$D$58:$D$61</definedName>
    <definedName name="LU_Data_Status">Lookup!$D$124:$D$130</definedName>
    <definedName name="LU_Project_Teams">Lookup!$D$98:$D$108</definedName>
    <definedName name="LU_Proposal_Strategy">Lookup!$D$112:$D$120</definedName>
    <definedName name="LU_Submission_area">Lookup!$D$74:$D$76</definedName>
    <definedName name="LU_Team_Data_Owners">Lookup!$E$98:$E$108</definedName>
    <definedName name="LU_Units">Lookup!$D$45:$D$54</definedName>
    <definedName name="LU_Workbook_name">Lookup!$D$80:$D$94</definedName>
    <definedName name="Mid_Period">Lookup!$D$66</definedName>
    <definedName name="Million">Lookup!$D$33</definedName>
    <definedName name="Millions">Lookup!$D$47</definedName>
    <definedName name="Model_Name">Cover!$B$3</definedName>
    <definedName name="Model_Start_Date">Lookup!$E$10</definedName>
    <definedName name="Mths_In_Mth">Lookup!$D$26</definedName>
    <definedName name="Mths_In_Qtr">Lookup!$D$27</definedName>
    <definedName name="Mths_In_Yr">Lookup!$D$29</definedName>
    <definedName name="MWh">Lookup!$D$52</definedName>
    <definedName name="NA">Lookup!$D$35</definedName>
    <definedName name="No">Lookup!$D$41</definedName>
    <definedName name="Nominal">Lookup!$D$61</definedName>
    <definedName name="Number">Lookup!$D$50</definedName>
    <definedName name="Ok">Lookup!$D$34</definedName>
    <definedName name="Percent">Lookup!$D$45</definedName>
    <definedName name="Qtrs_In_Yr">Lookup!$D$28</definedName>
    <definedName name="Real2018">Lookup!$D$59</definedName>
    <definedName name="Real2023">Lookup!$D$58</definedName>
    <definedName name="Start_Period">Lookup!$D$65</definedName>
    <definedName name="Thousands">Lookup!$D$48</definedName>
    <definedName name="Timing_Adj">Lookup!$E$65:$E$68</definedName>
    <definedName name="Title_Msg">Checks!$H$10</definedName>
    <definedName name="Yes">Lookup!$D$40</definedName>
    <definedName name="Yes_No">Lookup!$D$40:$D$41</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21" l="1"/>
  <c r="E11" i="121"/>
  <c r="E12" i="121"/>
  <c r="E13" i="121"/>
  <c r="E14" i="121"/>
  <c r="K142" i="120" l="1"/>
  <c r="J142" i="120"/>
  <c r="I142" i="120"/>
  <c r="H142" i="120"/>
  <c r="G142" i="120"/>
  <c r="F63" i="112"/>
  <c r="E63" i="112"/>
  <c r="F60" i="112"/>
  <c r="E60" i="112"/>
  <c r="F59" i="112"/>
  <c r="E59" i="112"/>
  <c r="F58" i="112"/>
  <c r="E58" i="112"/>
  <c r="F57" i="112"/>
  <c r="E57" i="112"/>
  <c r="F56" i="112"/>
  <c r="E56" i="112"/>
  <c r="F55" i="112"/>
  <c r="E55" i="112"/>
  <c r="F54" i="112"/>
  <c r="E54" i="112"/>
  <c r="F53" i="112"/>
  <c r="E53" i="112"/>
  <c r="F52" i="112"/>
  <c r="E52" i="112"/>
  <c r="F51" i="112"/>
  <c r="E51" i="112"/>
  <c r="F50" i="112"/>
  <c r="E50" i="112"/>
  <c r="F49" i="112"/>
  <c r="E49" i="112"/>
  <c r="F48" i="112"/>
  <c r="E48" i="112"/>
  <c r="F47" i="112"/>
  <c r="E47" i="112"/>
  <c r="F46" i="112"/>
  <c r="E46" i="112"/>
  <c r="F45" i="112"/>
  <c r="E45" i="112"/>
  <c r="F44" i="112"/>
  <c r="E44" i="112"/>
  <c r="F43" i="112"/>
  <c r="E43" i="112"/>
  <c r="F42" i="112"/>
  <c r="E42" i="112"/>
  <c r="F41" i="112"/>
  <c r="E41" i="112"/>
  <c r="F40" i="112"/>
  <c r="E40" i="112"/>
  <c r="F39" i="112"/>
  <c r="E39" i="112"/>
  <c r="F38" i="112"/>
  <c r="E38" i="112"/>
  <c r="F37" i="112"/>
  <c r="E37" i="112"/>
  <c r="F36" i="112"/>
  <c r="E36" i="112"/>
  <c r="F35" i="112"/>
  <c r="E35" i="112"/>
  <c r="F34" i="112"/>
  <c r="E34" i="112"/>
  <c r="F33" i="112"/>
  <c r="E33" i="112"/>
  <c r="F32" i="112"/>
  <c r="E32" i="112"/>
  <c r="F31" i="112"/>
  <c r="E31" i="112"/>
  <c r="F30" i="112"/>
  <c r="E30" i="112"/>
  <c r="F29" i="112"/>
  <c r="E29" i="112"/>
  <c r="F28" i="112"/>
  <c r="E28" i="112"/>
  <c r="F27" i="112"/>
  <c r="E27" i="112"/>
  <c r="F26" i="112"/>
  <c r="E26" i="112"/>
  <c r="F25" i="112"/>
  <c r="E25" i="112"/>
  <c r="F24" i="112"/>
  <c r="E24" i="112"/>
  <c r="F23" i="112"/>
  <c r="E23" i="112"/>
  <c r="F22" i="112"/>
  <c r="E22" i="112"/>
  <c r="F21" i="112"/>
  <c r="E21" i="112"/>
  <c r="F20" i="112"/>
  <c r="E20" i="112"/>
  <c r="F19" i="112"/>
  <c r="E19" i="112"/>
  <c r="F18" i="112"/>
  <c r="E18" i="112"/>
  <c r="F17" i="112"/>
  <c r="E17" i="112"/>
  <c r="F16" i="112"/>
  <c r="E16" i="112"/>
  <c r="F15" i="112"/>
  <c r="E15" i="112"/>
  <c r="F14" i="112"/>
  <c r="E14" i="112"/>
  <c r="F13" i="112"/>
  <c r="E13" i="112"/>
  <c r="F12" i="112"/>
  <c r="F61" i="112" s="1"/>
  <c r="F64" i="112" s="1"/>
  <c r="E12" i="112"/>
  <c r="E61" i="112" s="1"/>
  <c r="E64" i="112" s="1"/>
  <c r="F11" i="112"/>
  <c r="E11" i="112"/>
  <c r="I64" i="112"/>
  <c r="K61" i="112"/>
  <c r="K64" i="112" s="1"/>
  <c r="J61" i="112"/>
  <c r="J64" i="112" s="1"/>
  <c r="I61" i="112"/>
  <c r="H61" i="112"/>
  <c r="H64" i="112" s="1"/>
  <c r="G61" i="112"/>
  <c r="G64" i="112" s="1"/>
  <c r="F120" i="112"/>
  <c r="E120" i="112"/>
  <c r="D79" i="103"/>
  <c r="D80" i="103"/>
  <c r="I66" i="103" l="1"/>
  <c r="I68" i="103"/>
  <c r="F71" i="103"/>
  <c r="I70" i="103"/>
  <c r="I69" i="103"/>
  <c r="H71" i="103"/>
  <c r="I67" i="103"/>
  <c r="G71" i="103"/>
  <c r="I71" i="103" l="1"/>
  <c r="J67" i="103" s="1"/>
  <c r="J66" i="103" l="1"/>
  <c r="J71" i="103"/>
  <c r="J68" i="103"/>
  <c r="J69" i="103"/>
  <c r="J70" i="103"/>
  <c r="B3" i="112" l="1"/>
  <c r="I115" i="116" l="1"/>
  <c r="I114" i="116"/>
  <c r="I113" i="116"/>
  <c r="I112" i="116"/>
  <c r="H116" i="116"/>
  <c r="G116" i="116"/>
  <c r="F116" i="116"/>
  <c r="I116" i="116" l="1"/>
  <c r="F142" i="120" l="1"/>
  <c r="E142" i="120"/>
  <c r="G189" i="120" l="1"/>
  <c r="H189" i="120"/>
  <c r="I189" i="120"/>
  <c r="J189" i="120"/>
  <c r="K189" i="120"/>
  <c r="E189" i="120" l="1"/>
  <c r="F189" i="120"/>
  <c r="K22" i="131" l="1"/>
  <c r="J22" i="131"/>
  <c r="I22" i="131"/>
  <c r="H22" i="131"/>
  <c r="G22" i="131"/>
  <c r="K18" i="131"/>
  <c r="J18" i="131"/>
  <c r="I18" i="131"/>
  <c r="H18" i="131"/>
  <c r="G18" i="131"/>
  <c r="F18" i="131"/>
  <c r="E18" i="131"/>
  <c r="D29" i="28"/>
  <c r="D28" i="28"/>
  <c r="D37" i="25"/>
  <c r="D36" i="25"/>
  <c r="F22" i="131" l="1"/>
  <c r="G25" i="130" l="1"/>
  <c r="D21" i="131"/>
  <c r="D20" i="131"/>
  <c r="E22" i="131"/>
  <c r="D19" i="131"/>
  <c r="K9" i="131"/>
  <c r="J9" i="131"/>
  <c r="I9" i="131"/>
  <c r="H9" i="131"/>
  <c r="G9" i="131"/>
  <c r="F9" i="131"/>
  <c r="E9" i="131"/>
  <c r="E8" i="131"/>
  <c r="D7" i="131"/>
  <c r="C5" i="131"/>
  <c r="B3" i="131"/>
  <c r="D28" i="130"/>
  <c r="D27" i="130"/>
  <c r="D26" i="130"/>
  <c r="D25" i="130"/>
  <c r="D24" i="130"/>
  <c r="K9" i="130"/>
  <c r="J9" i="130"/>
  <c r="I9" i="130"/>
  <c r="H9" i="130"/>
  <c r="G9" i="130"/>
  <c r="F9" i="130"/>
  <c r="E9" i="130"/>
  <c r="E8" i="130"/>
  <c r="D7" i="130"/>
  <c r="C5" i="130"/>
  <c r="B3" i="130"/>
  <c r="F25" i="118"/>
  <c r="F34" i="118"/>
  <c r="G27" i="130" l="1"/>
  <c r="G24" i="130"/>
  <c r="G26" i="130"/>
  <c r="F29" i="130"/>
  <c r="G28" i="130"/>
  <c r="E29" i="130"/>
  <c r="G29" i="130" l="1"/>
  <c r="H24" i="130" s="1"/>
  <c r="H28" i="130" l="1"/>
  <c r="H27" i="130"/>
  <c r="H25" i="130"/>
  <c r="H29" i="130"/>
  <c r="H26" i="130"/>
  <c r="H14" i="121" l="1"/>
  <c r="G14" i="121"/>
  <c r="F14" i="121"/>
  <c r="A1" i="131" l="1"/>
  <c r="H37" i="25" s="1"/>
  <c r="K180" i="123" l="1"/>
  <c r="S180" i="123"/>
  <c r="L156" i="123"/>
  <c r="K164" i="123"/>
  <c r="S164" i="123"/>
  <c r="L124" i="123"/>
  <c r="K140" i="123"/>
  <c r="L140" i="123"/>
  <c r="L148" i="123"/>
  <c r="V132" i="123"/>
  <c r="V148" i="123"/>
  <c r="S140" i="123"/>
  <c r="K156" i="123"/>
  <c r="S156" i="123"/>
  <c r="V164" i="123"/>
  <c r="V180" i="123"/>
  <c r="S124" i="123"/>
  <c r="K132" i="123"/>
  <c r="L132" i="123"/>
  <c r="K148" i="123"/>
  <c r="S148" i="123"/>
  <c r="K172" i="123"/>
  <c r="S172" i="123"/>
  <c r="L172" i="123"/>
  <c r="K188" i="123"/>
  <c r="S188" i="123"/>
  <c r="V188" i="123"/>
  <c r="L164" i="123"/>
  <c r="L180" i="123"/>
  <c r="L188" i="123"/>
  <c r="K124" i="123"/>
  <c r="V124" i="123"/>
  <c r="V140" i="123"/>
  <c r="V156" i="123"/>
  <c r="S132" i="123"/>
  <c r="V172" i="123"/>
  <c r="AJ325" i="122" l="1"/>
  <c r="AJ324" i="122"/>
  <c r="AJ323" i="122"/>
  <c r="AJ322" i="122"/>
  <c r="AJ321" i="122"/>
  <c r="AJ320" i="122"/>
  <c r="AJ319" i="122"/>
  <c r="AJ318" i="122"/>
  <c r="AJ317" i="122"/>
  <c r="AJ316" i="122"/>
  <c r="AJ315" i="122"/>
  <c r="AJ314" i="122"/>
  <c r="AJ313" i="122"/>
  <c r="AJ312" i="122"/>
  <c r="AJ311" i="122"/>
  <c r="AJ310" i="122"/>
  <c r="AJ309" i="122"/>
  <c r="AJ308" i="122"/>
  <c r="AJ307" i="122"/>
  <c r="AJ306" i="122"/>
  <c r="AJ305" i="122"/>
  <c r="AJ304" i="122"/>
  <c r="AJ303" i="122"/>
  <c r="AJ302" i="122"/>
  <c r="AJ301" i="122"/>
  <c r="AJ300" i="122"/>
  <c r="AJ299" i="122"/>
  <c r="AJ298" i="122"/>
  <c r="AJ297" i="122"/>
  <c r="AJ296" i="122"/>
  <c r="AJ295" i="122"/>
  <c r="AJ294" i="122"/>
  <c r="AJ293" i="122"/>
  <c r="AJ292" i="122"/>
  <c r="AJ291" i="122"/>
  <c r="AJ290" i="122"/>
  <c r="AJ289" i="122"/>
  <c r="AJ288" i="122"/>
  <c r="AJ287" i="122"/>
  <c r="AJ286" i="122"/>
  <c r="AJ285" i="122"/>
  <c r="AJ284" i="122"/>
  <c r="AJ283" i="122"/>
  <c r="AJ282" i="122"/>
  <c r="AJ281" i="122"/>
  <c r="AJ280" i="122"/>
  <c r="AJ279" i="122"/>
  <c r="AJ278" i="122"/>
  <c r="AJ277" i="122"/>
  <c r="AJ276" i="122"/>
  <c r="AJ275" i="122"/>
  <c r="AJ274" i="122"/>
  <c r="AJ273" i="122"/>
  <c r="AJ272" i="122"/>
  <c r="AJ271" i="122"/>
  <c r="AJ270" i="122"/>
  <c r="AJ269" i="122"/>
  <c r="AJ268" i="122"/>
  <c r="AJ267" i="122"/>
  <c r="AJ266" i="122"/>
  <c r="AJ265" i="122"/>
  <c r="AJ264" i="122"/>
  <c r="AJ263" i="122"/>
  <c r="AJ262" i="122"/>
  <c r="AJ261" i="122"/>
  <c r="AJ260" i="122"/>
  <c r="AJ259" i="122"/>
  <c r="AJ258" i="122"/>
  <c r="AJ257" i="122"/>
  <c r="AJ256" i="122"/>
  <c r="AJ255" i="122"/>
  <c r="AJ254" i="122"/>
  <c r="AJ253" i="122"/>
  <c r="AJ252" i="122"/>
  <c r="AJ251" i="122"/>
  <c r="AJ250" i="122"/>
  <c r="AJ249" i="122"/>
  <c r="AJ248" i="122"/>
  <c r="AJ247" i="122"/>
  <c r="AJ246" i="122"/>
  <c r="AJ245" i="122"/>
  <c r="AJ244" i="122"/>
  <c r="AJ243" i="122"/>
  <c r="AJ242" i="122"/>
  <c r="AJ241" i="122"/>
  <c r="AJ240" i="122"/>
  <c r="AJ239" i="122"/>
  <c r="AJ238" i="122"/>
  <c r="AJ237" i="122"/>
  <c r="AJ236" i="122"/>
  <c r="AJ235" i="122"/>
  <c r="AJ234" i="122"/>
  <c r="AJ233" i="122"/>
  <c r="AJ232" i="122"/>
  <c r="AJ231" i="122"/>
  <c r="AJ230" i="122"/>
  <c r="AJ229" i="122"/>
  <c r="AJ228" i="122"/>
  <c r="AJ227" i="122"/>
  <c r="AJ226" i="122"/>
  <c r="AJ225" i="122"/>
  <c r="AJ224" i="122"/>
  <c r="AJ223" i="122"/>
  <c r="AJ222" i="122"/>
  <c r="AJ221" i="122"/>
  <c r="AJ220" i="122"/>
  <c r="AJ219" i="122"/>
  <c r="AJ218" i="122"/>
  <c r="AJ217" i="122"/>
  <c r="AJ216" i="122"/>
  <c r="AJ215" i="122"/>
  <c r="AJ214" i="122"/>
  <c r="AJ213" i="122"/>
  <c r="AJ212" i="122"/>
  <c r="AJ211" i="122"/>
  <c r="AJ210" i="122"/>
  <c r="AJ209" i="122"/>
  <c r="AJ208" i="122"/>
  <c r="AJ207" i="122"/>
  <c r="AJ206" i="122"/>
  <c r="AJ205" i="122"/>
  <c r="AJ204" i="122"/>
  <c r="AJ203" i="122"/>
  <c r="AJ202" i="122"/>
  <c r="AJ201" i="122"/>
  <c r="AJ200" i="122"/>
  <c r="AJ199" i="122"/>
  <c r="AJ198" i="122"/>
  <c r="AJ197" i="122"/>
  <c r="AJ196" i="122"/>
  <c r="AJ195" i="122"/>
  <c r="AJ194" i="122"/>
  <c r="AJ193" i="122"/>
  <c r="AJ192" i="122"/>
  <c r="AJ191" i="122"/>
  <c r="AJ190" i="122"/>
  <c r="AJ189" i="122"/>
  <c r="AJ188" i="122"/>
  <c r="AJ187" i="122"/>
  <c r="AJ186" i="122"/>
  <c r="AJ185" i="122"/>
  <c r="AJ184" i="122"/>
  <c r="AJ183" i="122"/>
  <c r="AJ182" i="122"/>
  <c r="AJ181" i="122"/>
  <c r="AJ180" i="122"/>
  <c r="AJ179" i="122"/>
  <c r="AJ178" i="122"/>
  <c r="AJ177" i="122"/>
  <c r="AJ176" i="122"/>
  <c r="AJ175" i="122"/>
  <c r="AJ174" i="122"/>
  <c r="AJ173" i="122"/>
  <c r="AJ172" i="122"/>
  <c r="AJ171" i="122"/>
  <c r="AJ170" i="122"/>
  <c r="AJ169" i="122"/>
  <c r="AJ168" i="122"/>
  <c r="AJ167" i="122"/>
  <c r="AJ166" i="122"/>
  <c r="AJ165" i="122"/>
  <c r="AJ164" i="122"/>
  <c r="AJ163" i="122"/>
  <c r="AJ162" i="122"/>
  <c r="AJ161" i="122"/>
  <c r="AJ160" i="122"/>
  <c r="AJ159" i="122"/>
  <c r="AJ158" i="122"/>
  <c r="AJ157" i="122"/>
  <c r="AJ156" i="122"/>
  <c r="AJ155" i="122"/>
  <c r="AJ154" i="122"/>
  <c r="AJ153" i="122"/>
  <c r="AJ152" i="122"/>
  <c r="AJ151" i="122"/>
  <c r="AJ150" i="122"/>
  <c r="AJ149" i="122"/>
  <c r="AJ148" i="122"/>
  <c r="AJ147" i="122"/>
  <c r="AJ146" i="122"/>
  <c r="AJ145" i="122"/>
  <c r="AJ144" i="122"/>
  <c r="AJ143" i="122"/>
  <c r="AJ142" i="122"/>
  <c r="AJ141" i="122"/>
  <c r="AJ140" i="122"/>
  <c r="AJ139" i="122"/>
  <c r="AJ138" i="122"/>
  <c r="AJ137" i="122"/>
  <c r="AJ136" i="122"/>
  <c r="AJ135" i="122"/>
  <c r="AJ134" i="122"/>
  <c r="AJ133" i="122"/>
  <c r="AJ132" i="122"/>
  <c r="AJ131" i="122"/>
  <c r="AJ130" i="122"/>
  <c r="AJ129" i="122"/>
  <c r="AJ128" i="122"/>
  <c r="AJ127" i="122"/>
  <c r="AJ126" i="122"/>
  <c r="AJ125" i="122"/>
  <c r="AJ124" i="122"/>
  <c r="AJ123" i="122"/>
  <c r="AJ122" i="122"/>
  <c r="AJ121" i="122"/>
  <c r="AJ120" i="122"/>
  <c r="AJ119" i="122"/>
  <c r="AJ118" i="122"/>
  <c r="AJ117" i="122"/>
  <c r="AJ116" i="122"/>
  <c r="AJ115" i="122"/>
  <c r="AJ114" i="122"/>
  <c r="AJ113" i="122"/>
  <c r="AJ112" i="122"/>
  <c r="AJ111" i="122"/>
  <c r="AJ110" i="122"/>
  <c r="AJ109" i="122"/>
  <c r="AJ108" i="122"/>
  <c r="AJ107" i="122"/>
  <c r="AJ106" i="122"/>
  <c r="AJ105" i="122"/>
  <c r="AJ104" i="122"/>
  <c r="AJ103" i="122"/>
  <c r="AJ102" i="122"/>
  <c r="AJ101" i="122"/>
  <c r="AJ100" i="122"/>
  <c r="AJ99" i="122"/>
  <c r="AJ98" i="122"/>
  <c r="AJ97" i="122"/>
  <c r="AJ96" i="122"/>
  <c r="AJ95" i="122"/>
  <c r="AJ94" i="122"/>
  <c r="AJ93" i="122"/>
  <c r="AJ92" i="122"/>
  <c r="AJ91" i="122"/>
  <c r="AJ90" i="122"/>
  <c r="AJ89" i="122"/>
  <c r="AJ88" i="122"/>
  <c r="AJ87" i="122"/>
  <c r="AJ86" i="122"/>
  <c r="AJ85" i="122"/>
  <c r="AJ84" i="122"/>
  <c r="AJ83" i="122"/>
  <c r="AJ82" i="122"/>
  <c r="AJ81" i="122"/>
  <c r="AJ80" i="122"/>
  <c r="AJ79" i="122"/>
  <c r="AJ78" i="122"/>
  <c r="AJ77" i="122"/>
  <c r="AJ76" i="122"/>
  <c r="AJ75" i="122"/>
  <c r="AJ74" i="122"/>
  <c r="AJ73" i="122"/>
  <c r="AJ72" i="122"/>
  <c r="AJ71" i="122"/>
  <c r="AJ70" i="122"/>
  <c r="AJ69" i="122"/>
  <c r="AJ68" i="122"/>
  <c r="AJ67" i="122"/>
  <c r="AJ66" i="122"/>
  <c r="AJ65" i="122"/>
  <c r="AJ64" i="122"/>
  <c r="AJ63" i="122"/>
  <c r="AJ62" i="122"/>
  <c r="AJ61" i="122"/>
  <c r="AJ60" i="122"/>
  <c r="AJ59" i="122"/>
  <c r="AJ58" i="122"/>
  <c r="AJ57" i="122"/>
  <c r="AJ56" i="122"/>
  <c r="AJ55" i="122"/>
  <c r="AJ54" i="122"/>
  <c r="AJ53" i="122"/>
  <c r="AJ52" i="122"/>
  <c r="AJ51" i="122"/>
  <c r="AJ50" i="122"/>
  <c r="AJ49" i="122"/>
  <c r="AJ48" i="122"/>
  <c r="AJ47" i="122"/>
  <c r="AJ46" i="122"/>
  <c r="AJ45" i="122"/>
  <c r="AJ44" i="122"/>
  <c r="AJ43" i="122"/>
  <c r="AJ42" i="122"/>
  <c r="AJ41" i="122"/>
  <c r="AJ40" i="122"/>
  <c r="AJ39" i="122"/>
  <c r="AJ38" i="122"/>
  <c r="AJ37" i="122"/>
  <c r="AJ36" i="122"/>
  <c r="AJ35" i="122"/>
  <c r="AJ34" i="122"/>
  <c r="AJ33" i="122"/>
  <c r="AJ32" i="122"/>
  <c r="AJ31" i="122"/>
  <c r="AJ30" i="122"/>
  <c r="AJ29" i="122"/>
  <c r="AJ28" i="122"/>
  <c r="AJ27" i="122"/>
  <c r="AJ26" i="122"/>
  <c r="AJ25" i="122"/>
  <c r="AJ24" i="122"/>
  <c r="AJ23" i="122"/>
  <c r="AJ22" i="122"/>
  <c r="AJ21" i="122"/>
  <c r="AJ20" i="122"/>
  <c r="AJ19" i="122"/>
  <c r="AJ18" i="122"/>
  <c r="AJ17" i="122"/>
  <c r="AJ16" i="122"/>
  <c r="AJ15" i="122"/>
  <c r="AJ14" i="122"/>
  <c r="AJ13" i="122"/>
  <c r="AJ12" i="122"/>
  <c r="AJ11" i="122"/>
  <c r="AJ10" i="122"/>
  <c r="AD323" i="122"/>
  <c r="AD322" i="122"/>
  <c r="AD321" i="122"/>
  <c r="AD320" i="122"/>
  <c r="AD319" i="122"/>
  <c r="AD316" i="122"/>
  <c r="AD315" i="122"/>
  <c r="AD314" i="122"/>
  <c r="AD313" i="122"/>
  <c r="AD312" i="122"/>
  <c r="AD309" i="122"/>
  <c r="AD308" i="122"/>
  <c r="AD307" i="122"/>
  <c r="AD306" i="122"/>
  <c r="AD305" i="122"/>
  <c r="AD302" i="122"/>
  <c r="AD301" i="122"/>
  <c r="AD300" i="122"/>
  <c r="AD299" i="122"/>
  <c r="AD298" i="122"/>
  <c r="AD295" i="122"/>
  <c r="AD294" i="122"/>
  <c r="AD293" i="122"/>
  <c r="AD292" i="122"/>
  <c r="AD291" i="122"/>
  <c r="AD288" i="122"/>
  <c r="AD287" i="122"/>
  <c r="AD286" i="122"/>
  <c r="AD285" i="122"/>
  <c r="AD284" i="122"/>
  <c r="AD281" i="122"/>
  <c r="AD280" i="122"/>
  <c r="AD279" i="122"/>
  <c r="AD278" i="122"/>
  <c r="AD277" i="122"/>
  <c r="AD274" i="122"/>
  <c r="AD273" i="122"/>
  <c r="AD272" i="122"/>
  <c r="AD271" i="122"/>
  <c r="AD270" i="122"/>
  <c r="AD267" i="122"/>
  <c r="AD266" i="122"/>
  <c r="AD265" i="122"/>
  <c r="AD264" i="122"/>
  <c r="AD263" i="122"/>
  <c r="AD260" i="122"/>
  <c r="AD259" i="122"/>
  <c r="AD258" i="122"/>
  <c r="AD257" i="122"/>
  <c r="AD256" i="122"/>
  <c r="AD253" i="122"/>
  <c r="AD252" i="122"/>
  <c r="AD251" i="122"/>
  <c r="AD250" i="122"/>
  <c r="AD249" i="122"/>
  <c r="AD246" i="122"/>
  <c r="AD245" i="122"/>
  <c r="AD244" i="122"/>
  <c r="AD243" i="122"/>
  <c r="AD242" i="122"/>
  <c r="AD239" i="122"/>
  <c r="AD238" i="122"/>
  <c r="AD237" i="122"/>
  <c r="AD236" i="122"/>
  <c r="AD235" i="122"/>
  <c r="AD232" i="122"/>
  <c r="AD231" i="122"/>
  <c r="AD230" i="122"/>
  <c r="AD229" i="122"/>
  <c r="AD228" i="122"/>
  <c r="AD225" i="122"/>
  <c r="AD224" i="122"/>
  <c r="AD223" i="122"/>
  <c r="AD222" i="122"/>
  <c r="AD221" i="122"/>
  <c r="AD218" i="122"/>
  <c r="AD217" i="122"/>
  <c r="AD216" i="122"/>
  <c r="AD215" i="122"/>
  <c r="AD214" i="122"/>
  <c r="AD211" i="122"/>
  <c r="AD210" i="122"/>
  <c r="AD209" i="122"/>
  <c r="AD208" i="122"/>
  <c r="AD207" i="122"/>
  <c r="AD204" i="122"/>
  <c r="AD203" i="122"/>
  <c r="AD202" i="122"/>
  <c r="AD201" i="122"/>
  <c r="AD200" i="122"/>
  <c r="AD197" i="122"/>
  <c r="AD196" i="122"/>
  <c r="AD195" i="122"/>
  <c r="AD194" i="122"/>
  <c r="AD193" i="122"/>
  <c r="AD190" i="122"/>
  <c r="AD189" i="122"/>
  <c r="AD188" i="122"/>
  <c r="AD187" i="122"/>
  <c r="AD186" i="122"/>
  <c r="AD183" i="122"/>
  <c r="AD182" i="122"/>
  <c r="AD181" i="122"/>
  <c r="AD180" i="122"/>
  <c r="AD179" i="122"/>
  <c r="AD176" i="122"/>
  <c r="AD175" i="122"/>
  <c r="AD174" i="122"/>
  <c r="AD173" i="122"/>
  <c r="AD172" i="122"/>
  <c r="AD169" i="122"/>
  <c r="AD168" i="122"/>
  <c r="AD167" i="122"/>
  <c r="AD166" i="122"/>
  <c r="AD165" i="122"/>
  <c r="AD162" i="122"/>
  <c r="AD161" i="122"/>
  <c r="AD160" i="122"/>
  <c r="AD159" i="122"/>
  <c r="AD158" i="122"/>
  <c r="AD155" i="122"/>
  <c r="AD154" i="122"/>
  <c r="AD153" i="122"/>
  <c r="AD152" i="122"/>
  <c r="AD151" i="122"/>
  <c r="AD148" i="122"/>
  <c r="AD147" i="122"/>
  <c r="AD146" i="122"/>
  <c r="AD145" i="122"/>
  <c r="AD144" i="122"/>
  <c r="AD141" i="122"/>
  <c r="AD140" i="122"/>
  <c r="AD139" i="122"/>
  <c r="AD138" i="122"/>
  <c r="AD137" i="122"/>
  <c r="AD134" i="122"/>
  <c r="AD133" i="122"/>
  <c r="AD132" i="122"/>
  <c r="AD131" i="122"/>
  <c r="AD130" i="122"/>
  <c r="AD127" i="122"/>
  <c r="AD126" i="122"/>
  <c r="AD125" i="122"/>
  <c r="AD124" i="122"/>
  <c r="AD123" i="122"/>
  <c r="AD120" i="122"/>
  <c r="AD119" i="122"/>
  <c r="AD118" i="122"/>
  <c r="AD117" i="122"/>
  <c r="AD116" i="122"/>
  <c r="AD113" i="122"/>
  <c r="AD112" i="122"/>
  <c r="AD111" i="122"/>
  <c r="AD110" i="122"/>
  <c r="AD109" i="122"/>
  <c r="AD106" i="122"/>
  <c r="AD105" i="122"/>
  <c r="AD104" i="122"/>
  <c r="AD103" i="122"/>
  <c r="AD102" i="122"/>
  <c r="AD99" i="122"/>
  <c r="AD98" i="122"/>
  <c r="AD97" i="122"/>
  <c r="AD96" i="122"/>
  <c r="AD95" i="122"/>
  <c r="AD92" i="122"/>
  <c r="AD91" i="122"/>
  <c r="AD90" i="122"/>
  <c r="AD89" i="122"/>
  <c r="AD88" i="122"/>
  <c r="AD85" i="122"/>
  <c r="AD84" i="122"/>
  <c r="AD83" i="122"/>
  <c r="AD82" i="122"/>
  <c r="AD81" i="122"/>
  <c r="AD78" i="122"/>
  <c r="AD77" i="122"/>
  <c r="AD76" i="122"/>
  <c r="AD75" i="122"/>
  <c r="AD74" i="122"/>
  <c r="AD71" i="122"/>
  <c r="AD70" i="122"/>
  <c r="AD69" i="122"/>
  <c r="AD68" i="122"/>
  <c r="AD67" i="122"/>
  <c r="AD64" i="122"/>
  <c r="AD63" i="122"/>
  <c r="AD62" i="122"/>
  <c r="AD61" i="122"/>
  <c r="AD60" i="122"/>
  <c r="AD57" i="122"/>
  <c r="AD56" i="122"/>
  <c r="AD55" i="122"/>
  <c r="AD54" i="122"/>
  <c r="AD53" i="122"/>
  <c r="AD50" i="122"/>
  <c r="AD49" i="122"/>
  <c r="AD48" i="122"/>
  <c r="AD47" i="122"/>
  <c r="AD46" i="122"/>
  <c r="AD43" i="122"/>
  <c r="AD42" i="122"/>
  <c r="AD41" i="122"/>
  <c r="AD40" i="122"/>
  <c r="AD39" i="122"/>
  <c r="AD36" i="122"/>
  <c r="AD35" i="122"/>
  <c r="AD34" i="122"/>
  <c r="AD33" i="122"/>
  <c r="AD32" i="122"/>
  <c r="AD29" i="122"/>
  <c r="AD28" i="122"/>
  <c r="AD27" i="122"/>
  <c r="AD26" i="122"/>
  <c r="AD25" i="122"/>
  <c r="AD22" i="122"/>
  <c r="AD21" i="122"/>
  <c r="AD20" i="122"/>
  <c r="AD19" i="122"/>
  <c r="AD18" i="122"/>
  <c r="AA92" i="123" l="1"/>
  <c r="AA91" i="123"/>
  <c r="AA90" i="123"/>
  <c r="AA89" i="123"/>
  <c r="AA88" i="123"/>
  <c r="AA87" i="123"/>
  <c r="AA84" i="123"/>
  <c r="AA83" i="123"/>
  <c r="AA82" i="123"/>
  <c r="AA81" i="123"/>
  <c r="AA80" i="123"/>
  <c r="AA79" i="123"/>
  <c r="AA76" i="123"/>
  <c r="AA75" i="123"/>
  <c r="AA74" i="123"/>
  <c r="AA73" i="123"/>
  <c r="AA72" i="123"/>
  <c r="AA71" i="123"/>
  <c r="AA68" i="123"/>
  <c r="AA67" i="123"/>
  <c r="AA66" i="123"/>
  <c r="AA65" i="123"/>
  <c r="AA64" i="123"/>
  <c r="AA63" i="123"/>
  <c r="AA60" i="123"/>
  <c r="AA59" i="123"/>
  <c r="AA58" i="123"/>
  <c r="AA57" i="123"/>
  <c r="AA56" i="123"/>
  <c r="AA55" i="123"/>
  <c r="AA52" i="123"/>
  <c r="AA51" i="123"/>
  <c r="AA50" i="123"/>
  <c r="AA49" i="123"/>
  <c r="AA48" i="123"/>
  <c r="AA47" i="123"/>
  <c r="AA44" i="123"/>
  <c r="AA43" i="123"/>
  <c r="AA42" i="123"/>
  <c r="AA41" i="123"/>
  <c r="AA40" i="123"/>
  <c r="AA39" i="123"/>
  <c r="AA36" i="123"/>
  <c r="AA35" i="123"/>
  <c r="AA34" i="123"/>
  <c r="AA33" i="123"/>
  <c r="AA32" i="123"/>
  <c r="AA31" i="123"/>
  <c r="AA28" i="123"/>
  <c r="AA27" i="123"/>
  <c r="AA26" i="123"/>
  <c r="AA25" i="123"/>
  <c r="AA24" i="123"/>
  <c r="AA23" i="123"/>
  <c r="AI110" i="123" l="1"/>
  <c r="AI111" i="123"/>
  <c r="AI112" i="123"/>
  <c r="AI113" i="123"/>
  <c r="AI114" i="123"/>
  <c r="AI115" i="123"/>
  <c r="AI116" i="123"/>
  <c r="AI117" i="123"/>
  <c r="AI118" i="123"/>
  <c r="AI119" i="123"/>
  <c r="AI120" i="123"/>
  <c r="AI121" i="123"/>
  <c r="AI122" i="123"/>
  <c r="AI123" i="123"/>
  <c r="AI124" i="123"/>
  <c r="AI125" i="123"/>
  <c r="AI126" i="123"/>
  <c r="AI127" i="123"/>
  <c r="AI128" i="123"/>
  <c r="AI129" i="123"/>
  <c r="AI130" i="123"/>
  <c r="AI131" i="123"/>
  <c r="AI132" i="123"/>
  <c r="AI133" i="123"/>
  <c r="AI134" i="123"/>
  <c r="AI135" i="123"/>
  <c r="AI136" i="123"/>
  <c r="AI137" i="123"/>
  <c r="AI138" i="123"/>
  <c r="AI139" i="123"/>
  <c r="AI140" i="123"/>
  <c r="AI141" i="123"/>
  <c r="AI142" i="123"/>
  <c r="AI143" i="123"/>
  <c r="AI144" i="123"/>
  <c r="AI145" i="123"/>
  <c r="AI146" i="123"/>
  <c r="AI147" i="123"/>
  <c r="AI148" i="123"/>
  <c r="AI149" i="123"/>
  <c r="AI150" i="123"/>
  <c r="AI151" i="123"/>
  <c r="AI152" i="123"/>
  <c r="AI153" i="123"/>
  <c r="AI154" i="123"/>
  <c r="AI155" i="123"/>
  <c r="AI156" i="123"/>
  <c r="AI157" i="123"/>
  <c r="AI158" i="123"/>
  <c r="AI159" i="123"/>
  <c r="AI160" i="123"/>
  <c r="AI161" i="123"/>
  <c r="AI162" i="123"/>
  <c r="AI163" i="123"/>
  <c r="AI164" i="123"/>
  <c r="AI165" i="123"/>
  <c r="AI166" i="123"/>
  <c r="AI167" i="123"/>
  <c r="AI168" i="123"/>
  <c r="AI169" i="123"/>
  <c r="AI170" i="123"/>
  <c r="AI171" i="123"/>
  <c r="AI172" i="123"/>
  <c r="AI173" i="123"/>
  <c r="AI174" i="123"/>
  <c r="AI175" i="123"/>
  <c r="AI176" i="123"/>
  <c r="AI177" i="123"/>
  <c r="AI178" i="123"/>
  <c r="AI179" i="123"/>
  <c r="AI180" i="123"/>
  <c r="AI181" i="123"/>
  <c r="AI182" i="123"/>
  <c r="AI183" i="123"/>
  <c r="AI184" i="123"/>
  <c r="AI185" i="123"/>
  <c r="AI186" i="123"/>
  <c r="AI187" i="123"/>
  <c r="AI188" i="123"/>
  <c r="AI189" i="123"/>
  <c r="AI109" i="123"/>
  <c r="AL668" i="122"/>
  <c r="AL353" i="122"/>
  <c r="AL354" i="122"/>
  <c r="AL355" i="122"/>
  <c r="AL356" i="122"/>
  <c r="AL357" i="122"/>
  <c r="AL358" i="122"/>
  <c r="AL359" i="122"/>
  <c r="AL360" i="122"/>
  <c r="AL361" i="122"/>
  <c r="AL362" i="122"/>
  <c r="AL363" i="122"/>
  <c r="AL364" i="122"/>
  <c r="AL365" i="122"/>
  <c r="AL366" i="122"/>
  <c r="AL367" i="122"/>
  <c r="AL368" i="122"/>
  <c r="AL369" i="122"/>
  <c r="AL370" i="122"/>
  <c r="AL371" i="122"/>
  <c r="AL372" i="122"/>
  <c r="AL373" i="122"/>
  <c r="AL374" i="122"/>
  <c r="AL375" i="122"/>
  <c r="AL376" i="122"/>
  <c r="AL377" i="122"/>
  <c r="AL378" i="122"/>
  <c r="AL379" i="122"/>
  <c r="AL380" i="122"/>
  <c r="AL381" i="122"/>
  <c r="AL382" i="122"/>
  <c r="AL383" i="122"/>
  <c r="AL384" i="122"/>
  <c r="AL385" i="122"/>
  <c r="AL386" i="122"/>
  <c r="AL387" i="122"/>
  <c r="AL388" i="122"/>
  <c r="AL389" i="122"/>
  <c r="AL390" i="122"/>
  <c r="AL391" i="122"/>
  <c r="AL392" i="122"/>
  <c r="AL393" i="122"/>
  <c r="AL394" i="122"/>
  <c r="AL395" i="122"/>
  <c r="AL396" i="122"/>
  <c r="AL397" i="122"/>
  <c r="AL398" i="122"/>
  <c r="AL399" i="122"/>
  <c r="AL400" i="122"/>
  <c r="AL401" i="122"/>
  <c r="AL402" i="122"/>
  <c r="AL403" i="122"/>
  <c r="AL404" i="122"/>
  <c r="AL405" i="122"/>
  <c r="AL406" i="122"/>
  <c r="AL407" i="122"/>
  <c r="AL408" i="122"/>
  <c r="AL409" i="122"/>
  <c r="AL410" i="122"/>
  <c r="AL411" i="122"/>
  <c r="AL412" i="122"/>
  <c r="AL413" i="122"/>
  <c r="AL414" i="122"/>
  <c r="AL415" i="122"/>
  <c r="AL416" i="122"/>
  <c r="AL417" i="122"/>
  <c r="AL418" i="122"/>
  <c r="AL419" i="122"/>
  <c r="AL420" i="122"/>
  <c r="AL421" i="122"/>
  <c r="AL422" i="122"/>
  <c r="AL423" i="122"/>
  <c r="AL424" i="122"/>
  <c r="AL425" i="122"/>
  <c r="AL426" i="122"/>
  <c r="AL427" i="122"/>
  <c r="AL428" i="122"/>
  <c r="AL429" i="122"/>
  <c r="AL430" i="122"/>
  <c r="AL431" i="122"/>
  <c r="AL432" i="122"/>
  <c r="AL433" i="122"/>
  <c r="AL434" i="122"/>
  <c r="AL435" i="122"/>
  <c r="AL436" i="122"/>
  <c r="AL437" i="122"/>
  <c r="AL438" i="122"/>
  <c r="AL439" i="122"/>
  <c r="AL440" i="122"/>
  <c r="AL441" i="122"/>
  <c r="AL442" i="122"/>
  <c r="AL443" i="122"/>
  <c r="AL444" i="122"/>
  <c r="AL445" i="122"/>
  <c r="AL446" i="122"/>
  <c r="AL447" i="122"/>
  <c r="AL448" i="122"/>
  <c r="AL449" i="122"/>
  <c r="AL450" i="122"/>
  <c r="AL451" i="122"/>
  <c r="AL452" i="122"/>
  <c r="AL453" i="122"/>
  <c r="AL454" i="122"/>
  <c r="AL455" i="122"/>
  <c r="AL456" i="122"/>
  <c r="AL457" i="122"/>
  <c r="AL458" i="122"/>
  <c r="AL459" i="122"/>
  <c r="AL460" i="122"/>
  <c r="AL461" i="122"/>
  <c r="AL462" i="122"/>
  <c r="AL463" i="122"/>
  <c r="AL464" i="122"/>
  <c r="AL465" i="122"/>
  <c r="AL466" i="122"/>
  <c r="AL467" i="122"/>
  <c r="AL468" i="122"/>
  <c r="AL469" i="122"/>
  <c r="AL470" i="122"/>
  <c r="AL471" i="122"/>
  <c r="AL472" i="122"/>
  <c r="AL473" i="122"/>
  <c r="AL474" i="122"/>
  <c r="AL475" i="122"/>
  <c r="AL476" i="122"/>
  <c r="AL477" i="122"/>
  <c r="AL478" i="122"/>
  <c r="AL479" i="122"/>
  <c r="AL480" i="122"/>
  <c r="AL481" i="122"/>
  <c r="AL482" i="122"/>
  <c r="AL483" i="122"/>
  <c r="AL484" i="122"/>
  <c r="AL485" i="122"/>
  <c r="AL486" i="122"/>
  <c r="AL487" i="122"/>
  <c r="AL488" i="122"/>
  <c r="AL489" i="122"/>
  <c r="AL490" i="122"/>
  <c r="AL491" i="122"/>
  <c r="AL492" i="122"/>
  <c r="AL493" i="122"/>
  <c r="AL494" i="122"/>
  <c r="AL495" i="122"/>
  <c r="AL496" i="122"/>
  <c r="AL497" i="122"/>
  <c r="AL498" i="122"/>
  <c r="AL499" i="122"/>
  <c r="AL500" i="122"/>
  <c r="AL501" i="122"/>
  <c r="AL502" i="122"/>
  <c r="AL503" i="122"/>
  <c r="AL504" i="122"/>
  <c r="AL505" i="122"/>
  <c r="AL506" i="122"/>
  <c r="AL507" i="122"/>
  <c r="AL508" i="122"/>
  <c r="AL509" i="122"/>
  <c r="AL510" i="122"/>
  <c r="AL511" i="122"/>
  <c r="AL512" i="122"/>
  <c r="AL513" i="122"/>
  <c r="AL514" i="122"/>
  <c r="AL515" i="122"/>
  <c r="AL516" i="122"/>
  <c r="AL517" i="122"/>
  <c r="AL518" i="122"/>
  <c r="AL519" i="122"/>
  <c r="AL520" i="122"/>
  <c r="AL521" i="122"/>
  <c r="AL522" i="122"/>
  <c r="AL523" i="122"/>
  <c r="AL524" i="122"/>
  <c r="AL525" i="122"/>
  <c r="AL526" i="122"/>
  <c r="AL527" i="122"/>
  <c r="AL528" i="122"/>
  <c r="AL529" i="122"/>
  <c r="AL530" i="122"/>
  <c r="AL531" i="122"/>
  <c r="AL532" i="122"/>
  <c r="AL533" i="122"/>
  <c r="AL534" i="122"/>
  <c r="AL535" i="122"/>
  <c r="AL536" i="122"/>
  <c r="AL537" i="122"/>
  <c r="AL538" i="122"/>
  <c r="AL539" i="122"/>
  <c r="AL540" i="122"/>
  <c r="AL541" i="122"/>
  <c r="AL542" i="122"/>
  <c r="AL543" i="122"/>
  <c r="AL544" i="122"/>
  <c r="AL545" i="122"/>
  <c r="AL546" i="122"/>
  <c r="AL547" i="122"/>
  <c r="AL548" i="122"/>
  <c r="AL549" i="122"/>
  <c r="AL550" i="122"/>
  <c r="AL551" i="122"/>
  <c r="AL552" i="122"/>
  <c r="AL553" i="122"/>
  <c r="AL554" i="122"/>
  <c r="AL555" i="122"/>
  <c r="AL556" i="122"/>
  <c r="AL557" i="122"/>
  <c r="AL558" i="122"/>
  <c r="AL559" i="122"/>
  <c r="AL560" i="122"/>
  <c r="AL561" i="122"/>
  <c r="AL562" i="122"/>
  <c r="AL563" i="122"/>
  <c r="AL564" i="122"/>
  <c r="AL565" i="122"/>
  <c r="AL566" i="122"/>
  <c r="AL567" i="122"/>
  <c r="AL568" i="122"/>
  <c r="AL569" i="122"/>
  <c r="AL570" i="122"/>
  <c r="AL571" i="122"/>
  <c r="AL572" i="122"/>
  <c r="AL573" i="122"/>
  <c r="AL574" i="122"/>
  <c r="AL575" i="122"/>
  <c r="AL576" i="122"/>
  <c r="AL577" i="122"/>
  <c r="AL578" i="122"/>
  <c r="AL579" i="122"/>
  <c r="AL580" i="122"/>
  <c r="AL581" i="122"/>
  <c r="AL582" i="122"/>
  <c r="AL583" i="122"/>
  <c r="AL584" i="122"/>
  <c r="AL585" i="122"/>
  <c r="AL586" i="122"/>
  <c r="AL587" i="122"/>
  <c r="AL588" i="122"/>
  <c r="AL589" i="122"/>
  <c r="AL590" i="122"/>
  <c r="AL591" i="122"/>
  <c r="AL592" i="122"/>
  <c r="AL593" i="122"/>
  <c r="AL594" i="122"/>
  <c r="AL595" i="122"/>
  <c r="AL596" i="122"/>
  <c r="AL597" i="122"/>
  <c r="AL598" i="122"/>
  <c r="AL599" i="122"/>
  <c r="AL600" i="122"/>
  <c r="AL601" i="122"/>
  <c r="AL602" i="122"/>
  <c r="AL603" i="122"/>
  <c r="AL604" i="122"/>
  <c r="AL605" i="122"/>
  <c r="AL606" i="122"/>
  <c r="AL607" i="122"/>
  <c r="AL608" i="122"/>
  <c r="AL609" i="122"/>
  <c r="AL610" i="122"/>
  <c r="AL611" i="122"/>
  <c r="AL612" i="122"/>
  <c r="AL613" i="122"/>
  <c r="AL614" i="122"/>
  <c r="AL615" i="122"/>
  <c r="AL616" i="122"/>
  <c r="AL617" i="122"/>
  <c r="AL618" i="122"/>
  <c r="AL619" i="122"/>
  <c r="AL620" i="122"/>
  <c r="AL621" i="122"/>
  <c r="AL622" i="122"/>
  <c r="AL623" i="122"/>
  <c r="AL624" i="122"/>
  <c r="AL625" i="122"/>
  <c r="AL626" i="122"/>
  <c r="AL627" i="122"/>
  <c r="AL628" i="122"/>
  <c r="AL629" i="122"/>
  <c r="AL630" i="122"/>
  <c r="AL631" i="122"/>
  <c r="AL632" i="122"/>
  <c r="AL633" i="122"/>
  <c r="AL634" i="122"/>
  <c r="AL635" i="122"/>
  <c r="AL636" i="122"/>
  <c r="AL637" i="122"/>
  <c r="AL638" i="122"/>
  <c r="AL639" i="122"/>
  <c r="AL640" i="122"/>
  <c r="AL641" i="122"/>
  <c r="AL642" i="122"/>
  <c r="AL643" i="122"/>
  <c r="AL644" i="122"/>
  <c r="AL645" i="122"/>
  <c r="AL646" i="122"/>
  <c r="AL647" i="122"/>
  <c r="AL648" i="122"/>
  <c r="AL649" i="122"/>
  <c r="AL650" i="122"/>
  <c r="AL651" i="122"/>
  <c r="AL652" i="122"/>
  <c r="AL653" i="122"/>
  <c r="AL654" i="122"/>
  <c r="AL655" i="122"/>
  <c r="AL656" i="122"/>
  <c r="AL657" i="122"/>
  <c r="AL658" i="122"/>
  <c r="AL659" i="122"/>
  <c r="AL660" i="122"/>
  <c r="AL661" i="122"/>
  <c r="AL662" i="122"/>
  <c r="AL663" i="122"/>
  <c r="AL664" i="122"/>
  <c r="AL665" i="122"/>
  <c r="AL666" i="122"/>
  <c r="AL667" i="122"/>
  <c r="AL352" i="122"/>
  <c r="D46" i="25" l="1"/>
  <c r="D47" i="28"/>
  <c r="J53" i="129" l="1"/>
  <c r="F48" i="129"/>
  <c r="H48" i="129"/>
  <c r="G48" i="129"/>
  <c r="K48" i="129"/>
  <c r="I48" i="129"/>
  <c r="J48" i="129"/>
  <c r="F9" i="112" l="1"/>
  <c r="K21" i="129" l="1"/>
  <c r="J21" i="129"/>
  <c r="I21" i="129"/>
  <c r="H21" i="129"/>
  <c r="G21" i="129"/>
  <c r="F21" i="129"/>
  <c r="E21" i="129"/>
  <c r="D25" i="129"/>
  <c r="D24" i="129"/>
  <c r="D23" i="129"/>
  <c r="D22" i="129"/>
  <c r="K10" i="129"/>
  <c r="J10" i="129"/>
  <c r="I10" i="129"/>
  <c r="H10" i="129"/>
  <c r="G10" i="129"/>
  <c r="F10" i="129"/>
  <c r="E10" i="129"/>
  <c r="D29" i="129" l="1"/>
  <c r="D30" i="129"/>
  <c r="D31" i="129"/>
  <c r="A46" i="124" l="1"/>
  <c r="A47" i="124"/>
  <c r="A48" i="124"/>
  <c r="A49" i="124"/>
  <c r="A50" i="124"/>
  <c r="A51" i="124"/>
  <c r="A52" i="124"/>
  <c r="A53" i="124"/>
  <c r="A54" i="124"/>
  <c r="A55" i="124"/>
  <c r="A56" i="124"/>
  <c r="E37" i="116" l="1"/>
  <c r="E36" i="116"/>
  <c r="I92" i="123" l="1"/>
  <c r="H92" i="123"/>
  <c r="G92" i="123"/>
  <c r="F92" i="123"/>
  <c r="E92" i="123"/>
  <c r="D92" i="123"/>
  <c r="I91" i="123"/>
  <c r="H91" i="123"/>
  <c r="G91" i="123"/>
  <c r="F91" i="123"/>
  <c r="E91" i="123"/>
  <c r="D91" i="123"/>
  <c r="I90" i="123"/>
  <c r="H90" i="123"/>
  <c r="G90" i="123"/>
  <c r="F90" i="123"/>
  <c r="E90" i="123"/>
  <c r="D90" i="123"/>
  <c r="I89" i="123"/>
  <c r="H89" i="123"/>
  <c r="G89" i="123"/>
  <c r="F89" i="123"/>
  <c r="E89" i="123"/>
  <c r="D89" i="123"/>
  <c r="I88" i="123"/>
  <c r="H88" i="123"/>
  <c r="G88" i="123"/>
  <c r="F88" i="123"/>
  <c r="E88" i="123"/>
  <c r="D88" i="123"/>
  <c r="I87" i="123"/>
  <c r="H87" i="123"/>
  <c r="G87" i="123"/>
  <c r="F87" i="123"/>
  <c r="E87" i="123"/>
  <c r="D87" i="123"/>
  <c r="I84" i="123"/>
  <c r="H84" i="123"/>
  <c r="G84" i="123"/>
  <c r="F84" i="123"/>
  <c r="E84" i="123"/>
  <c r="D84" i="123"/>
  <c r="I83" i="123"/>
  <c r="H83" i="123"/>
  <c r="G83" i="123"/>
  <c r="F83" i="123"/>
  <c r="E83" i="123"/>
  <c r="D83" i="123"/>
  <c r="I82" i="123"/>
  <c r="H82" i="123"/>
  <c r="G82" i="123"/>
  <c r="F82" i="123"/>
  <c r="E82" i="123"/>
  <c r="D82" i="123"/>
  <c r="I81" i="123"/>
  <c r="H81" i="123"/>
  <c r="G81" i="123"/>
  <c r="F81" i="123"/>
  <c r="E81" i="123"/>
  <c r="D81" i="123"/>
  <c r="I80" i="123"/>
  <c r="H80" i="123"/>
  <c r="G80" i="123"/>
  <c r="F80" i="123"/>
  <c r="E80" i="123"/>
  <c r="D80" i="123"/>
  <c r="I79" i="123"/>
  <c r="H79" i="123"/>
  <c r="G79" i="123"/>
  <c r="F79" i="123"/>
  <c r="E79" i="123"/>
  <c r="D79" i="123"/>
  <c r="I76" i="123"/>
  <c r="H76" i="123"/>
  <c r="G76" i="123"/>
  <c r="F76" i="123"/>
  <c r="E76" i="123"/>
  <c r="D76" i="123"/>
  <c r="I75" i="123"/>
  <c r="H75" i="123"/>
  <c r="G75" i="123"/>
  <c r="F75" i="123"/>
  <c r="E75" i="123"/>
  <c r="D75" i="123"/>
  <c r="I74" i="123"/>
  <c r="H74" i="123"/>
  <c r="G74" i="123"/>
  <c r="F74" i="123"/>
  <c r="E74" i="123"/>
  <c r="D74" i="123"/>
  <c r="I73" i="123"/>
  <c r="H73" i="123"/>
  <c r="G73" i="123"/>
  <c r="F73" i="123"/>
  <c r="E73" i="123"/>
  <c r="D73" i="123"/>
  <c r="I72" i="123"/>
  <c r="H72" i="123"/>
  <c r="G72" i="123"/>
  <c r="F72" i="123"/>
  <c r="E72" i="123"/>
  <c r="D72" i="123"/>
  <c r="I71" i="123"/>
  <c r="H71" i="123"/>
  <c r="G71" i="123"/>
  <c r="F71" i="123"/>
  <c r="E71" i="123"/>
  <c r="D71" i="123"/>
  <c r="AG92" i="123"/>
  <c r="V92" i="123"/>
  <c r="S92" i="123"/>
  <c r="R92" i="123"/>
  <c r="Q92" i="123"/>
  <c r="P92" i="123"/>
  <c r="O92" i="123"/>
  <c r="N92" i="123"/>
  <c r="L92" i="123"/>
  <c r="K92" i="123"/>
  <c r="J92" i="123"/>
  <c r="AG91" i="123"/>
  <c r="V91" i="123"/>
  <c r="S91" i="123"/>
  <c r="R91" i="123"/>
  <c r="Q91" i="123"/>
  <c r="P91" i="123"/>
  <c r="O91" i="123"/>
  <c r="N91" i="123"/>
  <c r="L91" i="123"/>
  <c r="K91" i="123"/>
  <c r="J91" i="123"/>
  <c r="AG90" i="123"/>
  <c r="V90" i="123"/>
  <c r="S90" i="123"/>
  <c r="R90" i="123"/>
  <c r="Q90" i="123"/>
  <c r="P90" i="123"/>
  <c r="O90" i="123"/>
  <c r="N90" i="123"/>
  <c r="L90" i="123"/>
  <c r="K90" i="123"/>
  <c r="J90" i="123"/>
  <c r="AG89" i="123"/>
  <c r="V89" i="123"/>
  <c r="S89" i="123"/>
  <c r="R89" i="123"/>
  <c r="Q89" i="123"/>
  <c r="P89" i="123"/>
  <c r="O89" i="123"/>
  <c r="N89" i="123"/>
  <c r="L89" i="123"/>
  <c r="K89" i="123"/>
  <c r="J89" i="123"/>
  <c r="AG88" i="123"/>
  <c r="V88" i="123"/>
  <c r="S88" i="123"/>
  <c r="R88" i="123"/>
  <c r="Q88" i="123"/>
  <c r="P88" i="123"/>
  <c r="O88" i="123"/>
  <c r="N88" i="123"/>
  <c r="L88" i="123"/>
  <c r="K88" i="123"/>
  <c r="J88" i="123"/>
  <c r="AG87" i="123"/>
  <c r="V87" i="123"/>
  <c r="S87" i="123"/>
  <c r="R87" i="123"/>
  <c r="Q87" i="123"/>
  <c r="P87" i="123"/>
  <c r="O87" i="123"/>
  <c r="N87" i="123"/>
  <c r="L87" i="123"/>
  <c r="K87" i="123"/>
  <c r="J87" i="123"/>
  <c r="AG86" i="123"/>
  <c r="AA86" i="123"/>
  <c r="V86" i="123"/>
  <c r="S86" i="123"/>
  <c r="R86" i="123"/>
  <c r="Q86" i="123"/>
  <c r="P86" i="123"/>
  <c r="O86" i="123"/>
  <c r="N86" i="123"/>
  <c r="L86" i="123"/>
  <c r="K86" i="123"/>
  <c r="J86" i="123"/>
  <c r="I86" i="123"/>
  <c r="H86" i="123"/>
  <c r="G86" i="123"/>
  <c r="F86" i="123"/>
  <c r="E86" i="123"/>
  <c r="D86" i="123"/>
  <c r="AG84" i="123"/>
  <c r="V84" i="123"/>
  <c r="S84" i="123"/>
  <c r="R84" i="123"/>
  <c r="Q84" i="123"/>
  <c r="P84" i="123"/>
  <c r="O84" i="123"/>
  <c r="N84" i="123"/>
  <c r="L84" i="123"/>
  <c r="K84" i="123"/>
  <c r="J84" i="123"/>
  <c r="AG83" i="123"/>
  <c r="V83" i="123"/>
  <c r="S83" i="123"/>
  <c r="R83" i="123"/>
  <c r="Q83" i="123"/>
  <c r="P83" i="123"/>
  <c r="O83" i="123"/>
  <c r="N83" i="123"/>
  <c r="L83" i="123"/>
  <c r="K83" i="123"/>
  <c r="J83" i="123"/>
  <c r="AG82" i="123"/>
  <c r="V82" i="123"/>
  <c r="S82" i="123"/>
  <c r="R82" i="123"/>
  <c r="Q82" i="123"/>
  <c r="P82" i="123"/>
  <c r="O82" i="123"/>
  <c r="N82" i="123"/>
  <c r="L82" i="123"/>
  <c r="K82" i="123"/>
  <c r="J82" i="123"/>
  <c r="AG81" i="123"/>
  <c r="V81" i="123"/>
  <c r="S81" i="123"/>
  <c r="R81" i="123"/>
  <c r="Q81" i="123"/>
  <c r="P81" i="123"/>
  <c r="O81" i="123"/>
  <c r="N81" i="123"/>
  <c r="L81" i="123"/>
  <c r="K81" i="123"/>
  <c r="J81" i="123"/>
  <c r="AG80" i="123"/>
  <c r="V80" i="123"/>
  <c r="S80" i="123"/>
  <c r="R80" i="123"/>
  <c r="Q80" i="123"/>
  <c r="P80" i="123"/>
  <c r="O80" i="123"/>
  <c r="N80" i="123"/>
  <c r="L80" i="123"/>
  <c r="K80" i="123"/>
  <c r="J80" i="123"/>
  <c r="AG79" i="123"/>
  <c r="V79" i="123"/>
  <c r="S79" i="123"/>
  <c r="R79" i="123"/>
  <c r="Q79" i="123"/>
  <c r="P79" i="123"/>
  <c r="O79" i="123"/>
  <c r="N79" i="123"/>
  <c r="L79" i="123"/>
  <c r="K79" i="123"/>
  <c r="J79" i="123"/>
  <c r="AG78" i="123"/>
  <c r="AA78" i="123"/>
  <c r="V78" i="123"/>
  <c r="S78" i="123"/>
  <c r="R78" i="123"/>
  <c r="Q78" i="123"/>
  <c r="P78" i="123"/>
  <c r="O78" i="123"/>
  <c r="N78" i="123"/>
  <c r="L78" i="123"/>
  <c r="K78" i="123"/>
  <c r="J78" i="123"/>
  <c r="I78" i="123"/>
  <c r="H78" i="123"/>
  <c r="G78" i="123"/>
  <c r="F78" i="123"/>
  <c r="E78" i="123"/>
  <c r="D78" i="123"/>
  <c r="AG76" i="123"/>
  <c r="V76" i="123"/>
  <c r="S76" i="123"/>
  <c r="R76" i="123"/>
  <c r="Q76" i="123"/>
  <c r="P76" i="123"/>
  <c r="O76" i="123"/>
  <c r="N76" i="123"/>
  <c r="L76" i="123"/>
  <c r="K76" i="123"/>
  <c r="J76" i="123"/>
  <c r="AG75" i="123"/>
  <c r="V75" i="123"/>
  <c r="S75" i="123"/>
  <c r="R75" i="123"/>
  <c r="Q75" i="123"/>
  <c r="P75" i="123"/>
  <c r="O75" i="123"/>
  <c r="N75" i="123"/>
  <c r="L75" i="123"/>
  <c r="K75" i="123"/>
  <c r="J75" i="123"/>
  <c r="AG74" i="123"/>
  <c r="V74" i="123"/>
  <c r="S74" i="123"/>
  <c r="R74" i="123"/>
  <c r="Q74" i="123"/>
  <c r="P74" i="123"/>
  <c r="O74" i="123"/>
  <c r="N74" i="123"/>
  <c r="L74" i="123"/>
  <c r="K74" i="123"/>
  <c r="J74" i="123"/>
  <c r="AG73" i="123"/>
  <c r="V73" i="123"/>
  <c r="S73" i="123"/>
  <c r="R73" i="123"/>
  <c r="Q73" i="123"/>
  <c r="P73" i="123"/>
  <c r="O73" i="123"/>
  <c r="N73" i="123"/>
  <c r="L73" i="123"/>
  <c r="K73" i="123"/>
  <c r="J73" i="123"/>
  <c r="AG72" i="123"/>
  <c r="V72" i="123"/>
  <c r="S72" i="123"/>
  <c r="R72" i="123"/>
  <c r="Q72" i="123"/>
  <c r="P72" i="123"/>
  <c r="O72" i="123"/>
  <c r="N72" i="123"/>
  <c r="L72" i="123"/>
  <c r="K72" i="123"/>
  <c r="J72" i="123"/>
  <c r="AG71" i="123"/>
  <c r="V71" i="123"/>
  <c r="S71" i="123"/>
  <c r="R71" i="123"/>
  <c r="Q71" i="123"/>
  <c r="P71" i="123"/>
  <c r="O71" i="123"/>
  <c r="N71" i="123"/>
  <c r="L71" i="123"/>
  <c r="K71" i="123"/>
  <c r="J71" i="123"/>
  <c r="AG70" i="123"/>
  <c r="AA70" i="123"/>
  <c r="V70" i="123"/>
  <c r="S70" i="123"/>
  <c r="R70" i="123"/>
  <c r="Q70" i="123"/>
  <c r="P70" i="123"/>
  <c r="O70" i="123"/>
  <c r="N70" i="123"/>
  <c r="L70" i="123"/>
  <c r="K70" i="123"/>
  <c r="J70" i="123"/>
  <c r="I70" i="123"/>
  <c r="H70" i="123"/>
  <c r="G70" i="123"/>
  <c r="F70" i="123"/>
  <c r="E70" i="123"/>
  <c r="D70" i="123"/>
  <c r="V68" i="123"/>
  <c r="S68" i="123"/>
  <c r="R68" i="123"/>
  <c r="Q68" i="123"/>
  <c r="P68" i="123"/>
  <c r="O68" i="123"/>
  <c r="N68" i="123"/>
  <c r="V67" i="123"/>
  <c r="S67" i="123"/>
  <c r="R67" i="123"/>
  <c r="Q67" i="123"/>
  <c r="P67" i="123"/>
  <c r="O67" i="123"/>
  <c r="N67" i="123"/>
  <c r="V66" i="123"/>
  <c r="S66" i="123"/>
  <c r="R66" i="123"/>
  <c r="Q66" i="123"/>
  <c r="P66" i="123"/>
  <c r="O66" i="123"/>
  <c r="N66" i="123"/>
  <c r="V65" i="123"/>
  <c r="S65" i="123"/>
  <c r="R65" i="123"/>
  <c r="Q65" i="123"/>
  <c r="P65" i="123"/>
  <c r="O65" i="123"/>
  <c r="N65" i="123"/>
  <c r="V64" i="123"/>
  <c r="S64" i="123"/>
  <c r="R64" i="123"/>
  <c r="Q64" i="123"/>
  <c r="P64" i="123"/>
  <c r="O64" i="123"/>
  <c r="N64" i="123"/>
  <c r="V63" i="123"/>
  <c r="S63" i="123"/>
  <c r="R63" i="123"/>
  <c r="Q63" i="123"/>
  <c r="P63" i="123"/>
  <c r="O63" i="123"/>
  <c r="N63" i="123"/>
  <c r="AA62" i="123"/>
  <c r="V62" i="123"/>
  <c r="S62" i="123"/>
  <c r="R62" i="123"/>
  <c r="Q62" i="123"/>
  <c r="P62" i="123"/>
  <c r="O62" i="123"/>
  <c r="N62" i="123"/>
  <c r="V60" i="123"/>
  <c r="S60" i="123"/>
  <c r="R60" i="123"/>
  <c r="Q60" i="123"/>
  <c r="P60" i="123"/>
  <c r="O60" i="123"/>
  <c r="N60" i="123"/>
  <c r="V59" i="123"/>
  <c r="S59" i="123"/>
  <c r="R59" i="123"/>
  <c r="Q59" i="123"/>
  <c r="P59" i="123"/>
  <c r="O59" i="123"/>
  <c r="N59" i="123"/>
  <c r="V58" i="123"/>
  <c r="S58" i="123"/>
  <c r="R58" i="123"/>
  <c r="Q58" i="123"/>
  <c r="P58" i="123"/>
  <c r="O58" i="123"/>
  <c r="N58" i="123"/>
  <c r="V57" i="123"/>
  <c r="S57" i="123"/>
  <c r="R57" i="123"/>
  <c r="Q57" i="123"/>
  <c r="P57" i="123"/>
  <c r="O57" i="123"/>
  <c r="N57" i="123"/>
  <c r="V56" i="123"/>
  <c r="S56" i="123"/>
  <c r="R56" i="123"/>
  <c r="Q56" i="123"/>
  <c r="P56" i="123"/>
  <c r="O56" i="123"/>
  <c r="N56" i="123"/>
  <c r="V55" i="123"/>
  <c r="S55" i="123"/>
  <c r="R55" i="123"/>
  <c r="Q55" i="123"/>
  <c r="P55" i="123"/>
  <c r="O55" i="123"/>
  <c r="N55" i="123"/>
  <c r="AA54" i="123"/>
  <c r="V54" i="123"/>
  <c r="S54" i="123"/>
  <c r="R54" i="123"/>
  <c r="Q54" i="123"/>
  <c r="P54" i="123"/>
  <c r="O54" i="123"/>
  <c r="N54" i="123"/>
  <c r="V52" i="123"/>
  <c r="S52" i="123"/>
  <c r="R52" i="123"/>
  <c r="Q52" i="123"/>
  <c r="P52" i="123"/>
  <c r="O52" i="123"/>
  <c r="N52" i="123"/>
  <c r="V51" i="123"/>
  <c r="S51" i="123"/>
  <c r="R51" i="123"/>
  <c r="Q51" i="123"/>
  <c r="P51" i="123"/>
  <c r="O51" i="123"/>
  <c r="N51" i="123"/>
  <c r="V50" i="123"/>
  <c r="S50" i="123"/>
  <c r="R50" i="123"/>
  <c r="Q50" i="123"/>
  <c r="P50" i="123"/>
  <c r="O50" i="123"/>
  <c r="N50" i="123"/>
  <c r="V49" i="123"/>
  <c r="S49" i="123"/>
  <c r="R49" i="123"/>
  <c r="Q49" i="123"/>
  <c r="P49" i="123"/>
  <c r="O49" i="123"/>
  <c r="N49" i="123"/>
  <c r="V48" i="123"/>
  <c r="S48" i="123"/>
  <c r="R48" i="123"/>
  <c r="Q48" i="123"/>
  <c r="P48" i="123"/>
  <c r="O48" i="123"/>
  <c r="N48" i="123"/>
  <c r="V47" i="123"/>
  <c r="S47" i="123"/>
  <c r="R47" i="123"/>
  <c r="Q47" i="123"/>
  <c r="P47" i="123"/>
  <c r="O47" i="123"/>
  <c r="N47" i="123"/>
  <c r="AA46" i="123"/>
  <c r="V46" i="123"/>
  <c r="S46" i="123"/>
  <c r="R46" i="123"/>
  <c r="Q46" i="123"/>
  <c r="P46" i="123"/>
  <c r="O46" i="123"/>
  <c r="N46" i="123"/>
  <c r="V44" i="123"/>
  <c r="S44" i="123"/>
  <c r="R44" i="123"/>
  <c r="Q44" i="123"/>
  <c r="P44" i="123"/>
  <c r="O44" i="123"/>
  <c r="N44" i="123"/>
  <c r="V43" i="123"/>
  <c r="S43" i="123"/>
  <c r="R43" i="123"/>
  <c r="Q43" i="123"/>
  <c r="P43" i="123"/>
  <c r="O43" i="123"/>
  <c r="N43" i="123"/>
  <c r="V42" i="123"/>
  <c r="S42" i="123"/>
  <c r="R42" i="123"/>
  <c r="Q42" i="123"/>
  <c r="P42" i="123"/>
  <c r="O42" i="123"/>
  <c r="N42" i="123"/>
  <c r="V41" i="123"/>
  <c r="S41" i="123"/>
  <c r="R41" i="123"/>
  <c r="Q41" i="123"/>
  <c r="P41" i="123"/>
  <c r="O41" i="123"/>
  <c r="N41" i="123"/>
  <c r="V40" i="123"/>
  <c r="S40" i="123"/>
  <c r="R40" i="123"/>
  <c r="Q40" i="123"/>
  <c r="P40" i="123"/>
  <c r="O40" i="123"/>
  <c r="N40" i="123"/>
  <c r="V39" i="123"/>
  <c r="S39" i="123"/>
  <c r="R39" i="123"/>
  <c r="Q39" i="123"/>
  <c r="P39" i="123"/>
  <c r="O39" i="123"/>
  <c r="N39" i="123"/>
  <c r="AA38" i="123"/>
  <c r="V38" i="123"/>
  <c r="S38" i="123"/>
  <c r="R38" i="123"/>
  <c r="Q38" i="123"/>
  <c r="P38" i="123"/>
  <c r="O38" i="123"/>
  <c r="N38" i="123"/>
  <c r="V36" i="123"/>
  <c r="S36" i="123"/>
  <c r="R36" i="123"/>
  <c r="Q36" i="123"/>
  <c r="P36" i="123"/>
  <c r="O36" i="123"/>
  <c r="N36" i="123"/>
  <c r="V35" i="123"/>
  <c r="S35" i="123"/>
  <c r="R35" i="123"/>
  <c r="Q35" i="123"/>
  <c r="P35" i="123"/>
  <c r="O35" i="123"/>
  <c r="N35" i="123"/>
  <c r="V34" i="123"/>
  <c r="S34" i="123"/>
  <c r="R34" i="123"/>
  <c r="Q34" i="123"/>
  <c r="P34" i="123"/>
  <c r="O34" i="123"/>
  <c r="N34" i="123"/>
  <c r="V33" i="123"/>
  <c r="S33" i="123"/>
  <c r="R33" i="123"/>
  <c r="Q33" i="123"/>
  <c r="P33" i="123"/>
  <c r="O33" i="123"/>
  <c r="N33" i="123"/>
  <c r="V32" i="123"/>
  <c r="S32" i="123"/>
  <c r="R32" i="123"/>
  <c r="Q32" i="123"/>
  <c r="P32" i="123"/>
  <c r="O32" i="123"/>
  <c r="N32" i="123"/>
  <c r="V31" i="123"/>
  <c r="S31" i="123"/>
  <c r="R31" i="123"/>
  <c r="Q31" i="123"/>
  <c r="P31" i="123"/>
  <c r="O31" i="123"/>
  <c r="N31" i="123"/>
  <c r="AA30" i="123"/>
  <c r="V30" i="123"/>
  <c r="S30" i="123"/>
  <c r="R30" i="123"/>
  <c r="Q30" i="123"/>
  <c r="P30" i="123"/>
  <c r="O30" i="123"/>
  <c r="N30" i="123"/>
  <c r="V28" i="123"/>
  <c r="S28" i="123"/>
  <c r="R28" i="123"/>
  <c r="Q28" i="123"/>
  <c r="P28" i="123"/>
  <c r="O28" i="123"/>
  <c r="N28" i="123"/>
  <c r="V27" i="123"/>
  <c r="S27" i="123"/>
  <c r="R27" i="123"/>
  <c r="Q27" i="123"/>
  <c r="P27" i="123"/>
  <c r="O27" i="123"/>
  <c r="N27" i="123"/>
  <c r="V26" i="123"/>
  <c r="S26" i="123"/>
  <c r="R26" i="123"/>
  <c r="Q26" i="123"/>
  <c r="P26" i="123"/>
  <c r="O26" i="123"/>
  <c r="N26" i="123"/>
  <c r="V25" i="123"/>
  <c r="S25" i="123"/>
  <c r="R25" i="123"/>
  <c r="Q25" i="123"/>
  <c r="P25" i="123"/>
  <c r="O25" i="123"/>
  <c r="N25" i="123"/>
  <c r="V24" i="123"/>
  <c r="S24" i="123"/>
  <c r="R24" i="123"/>
  <c r="Q24" i="123"/>
  <c r="P24" i="123"/>
  <c r="O24" i="123"/>
  <c r="N24" i="123"/>
  <c r="V23" i="123"/>
  <c r="S23" i="123"/>
  <c r="R23" i="123"/>
  <c r="Q23" i="123"/>
  <c r="P23" i="123"/>
  <c r="O23" i="123"/>
  <c r="N23" i="123"/>
  <c r="AA22" i="123"/>
  <c r="V22" i="123"/>
  <c r="S22" i="123"/>
  <c r="R22" i="123"/>
  <c r="Q22" i="123"/>
  <c r="P22" i="123"/>
  <c r="O22" i="123"/>
  <c r="N22" i="123"/>
  <c r="F668" i="122"/>
  <c r="Y323" i="122"/>
  <c r="V323" i="122"/>
  <c r="U323" i="122"/>
  <c r="S323" i="122"/>
  <c r="R323" i="122"/>
  <c r="P323" i="122"/>
  <c r="O323" i="122"/>
  <c r="N323" i="122"/>
  <c r="Y322" i="122"/>
  <c r="V322" i="122"/>
  <c r="U322" i="122"/>
  <c r="S322" i="122"/>
  <c r="R322" i="122"/>
  <c r="P322" i="122"/>
  <c r="O322" i="122"/>
  <c r="N322" i="122"/>
  <c r="Y321" i="122"/>
  <c r="V321" i="122"/>
  <c r="U321" i="122"/>
  <c r="S321" i="122"/>
  <c r="R321" i="122"/>
  <c r="P321" i="122"/>
  <c r="O321" i="122"/>
  <c r="N321" i="122"/>
  <c r="Y320" i="122"/>
  <c r="V320" i="122"/>
  <c r="U320" i="122"/>
  <c r="S320" i="122"/>
  <c r="R320" i="122"/>
  <c r="P320" i="122"/>
  <c r="O320" i="122"/>
  <c r="N320" i="122"/>
  <c r="Y319" i="122"/>
  <c r="V319" i="122"/>
  <c r="U319" i="122"/>
  <c r="S319" i="122"/>
  <c r="R319" i="122"/>
  <c r="P319" i="122"/>
  <c r="O319" i="122"/>
  <c r="N319" i="122"/>
  <c r="AD318" i="122"/>
  <c r="Y318" i="122"/>
  <c r="V318" i="122"/>
  <c r="U318" i="122"/>
  <c r="S318" i="122"/>
  <c r="R318" i="122"/>
  <c r="P318" i="122"/>
  <c r="O318" i="122"/>
  <c r="N318" i="122"/>
  <c r="M318" i="122"/>
  <c r="L318" i="122"/>
  <c r="K318" i="122"/>
  <c r="J318" i="122"/>
  <c r="I318" i="122"/>
  <c r="H318" i="122"/>
  <c r="G318" i="122"/>
  <c r="F318" i="122"/>
  <c r="E318" i="122"/>
  <c r="D318" i="122"/>
  <c r="Y316" i="122"/>
  <c r="V316" i="122"/>
  <c r="U316" i="122"/>
  <c r="S316" i="122"/>
  <c r="R316" i="122"/>
  <c r="P316" i="122"/>
  <c r="O316" i="122"/>
  <c r="N316" i="122"/>
  <c r="Y315" i="122"/>
  <c r="V315" i="122"/>
  <c r="U315" i="122"/>
  <c r="S315" i="122"/>
  <c r="R315" i="122"/>
  <c r="P315" i="122"/>
  <c r="O315" i="122"/>
  <c r="N315" i="122"/>
  <c r="Y314" i="122"/>
  <c r="V314" i="122"/>
  <c r="U314" i="122"/>
  <c r="S314" i="122"/>
  <c r="R314" i="122"/>
  <c r="P314" i="122"/>
  <c r="O314" i="122"/>
  <c r="N314" i="122"/>
  <c r="Y313" i="122"/>
  <c r="V313" i="122"/>
  <c r="U313" i="122"/>
  <c r="S313" i="122"/>
  <c r="R313" i="122"/>
  <c r="P313" i="122"/>
  <c r="O313" i="122"/>
  <c r="N313" i="122"/>
  <c r="Y312" i="122"/>
  <c r="V312" i="122"/>
  <c r="U312" i="122"/>
  <c r="S312" i="122"/>
  <c r="R312" i="122"/>
  <c r="P312" i="122"/>
  <c r="O312" i="122"/>
  <c r="N312" i="122"/>
  <c r="AD311" i="122"/>
  <c r="Y311" i="122"/>
  <c r="V311" i="122"/>
  <c r="U311" i="122"/>
  <c r="S311" i="122"/>
  <c r="R311" i="122"/>
  <c r="P311" i="122"/>
  <c r="O311" i="122"/>
  <c r="N311" i="122"/>
  <c r="M311" i="122"/>
  <c r="L311" i="122"/>
  <c r="K311" i="122"/>
  <c r="J311" i="122"/>
  <c r="I311" i="122"/>
  <c r="H311" i="122"/>
  <c r="G311" i="122"/>
  <c r="F311" i="122"/>
  <c r="E311" i="122"/>
  <c r="D311" i="122"/>
  <c r="Y309" i="122"/>
  <c r="V309" i="122"/>
  <c r="U309" i="122"/>
  <c r="S309" i="122"/>
  <c r="R309" i="122"/>
  <c r="P309" i="122"/>
  <c r="O309" i="122"/>
  <c r="N309" i="122"/>
  <c r="Y308" i="122"/>
  <c r="V308" i="122"/>
  <c r="U308" i="122"/>
  <c r="S308" i="122"/>
  <c r="R308" i="122"/>
  <c r="P308" i="122"/>
  <c r="O308" i="122"/>
  <c r="N308" i="122"/>
  <c r="Y307" i="122"/>
  <c r="V307" i="122"/>
  <c r="U307" i="122"/>
  <c r="S307" i="122"/>
  <c r="R307" i="122"/>
  <c r="P307" i="122"/>
  <c r="O307" i="122"/>
  <c r="Y306" i="122"/>
  <c r="V306" i="122"/>
  <c r="U306" i="122"/>
  <c r="S306" i="122"/>
  <c r="R306" i="122"/>
  <c r="P306" i="122"/>
  <c r="O306" i="122"/>
  <c r="N306" i="122"/>
  <c r="Y305" i="122"/>
  <c r="V305" i="122"/>
  <c r="U305" i="122"/>
  <c r="S305" i="122"/>
  <c r="R305" i="122"/>
  <c r="P305" i="122"/>
  <c r="O305" i="122"/>
  <c r="N305" i="122"/>
  <c r="AD304" i="122"/>
  <c r="Y304" i="122"/>
  <c r="V304" i="122"/>
  <c r="U304" i="122"/>
  <c r="S304" i="122"/>
  <c r="R304" i="122"/>
  <c r="P304" i="122"/>
  <c r="O304" i="122"/>
  <c r="N304" i="122"/>
  <c r="M304" i="122"/>
  <c r="L304" i="122"/>
  <c r="K304" i="122"/>
  <c r="J304" i="122"/>
  <c r="I304" i="122"/>
  <c r="H304" i="122"/>
  <c r="G304" i="122"/>
  <c r="F304" i="122"/>
  <c r="E304" i="122"/>
  <c r="D304" i="122"/>
  <c r="Y302" i="122"/>
  <c r="V302" i="122"/>
  <c r="U302" i="122"/>
  <c r="S302" i="122"/>
  <c r="R302" i="122"/>
  <c r="P302" i="122"/>
  <c r="O302" i="122"/>
  <c r="N302" i="122"/>
  <c r="Y301" i="122"/>
  <c r="V301" i="122"/>
  <c r="U301" i="122"/>
  <c r="S301" i="122"/>
  <c r="R301" i="122"/>
  <c r="P301" i="122"/>
  <c r="O301" i="122"/>
  <c r="N301" i="122"/>
  <c r="Y300" i="122"/>
  <c r="V300" i="122"/>
  <c r="U300" i="122"/>
  <c r="S300" i="122"/>
  <c r="R300" i="122"/>
  <c r="P300" i="122"/>
  <c r="O300" i="122"/>
  <c r="N300" i="122"/>
  <c r="Y299" i="122"/>
  <c r="V299" i="122"/>
  <c r="U299" i="122"/>
  <c r="S299" i="122"/>
  <c r="R299" i="122"/>
  <c r="P299" i="122"/>
  <c r="O299" i="122"/>
  <c r="N299" i="122"/>
  <c r="Y298" i="122"/>
  <c r="V298" i="122"/>
  <c r="U298" i="122"/>
  <c r="S298" i="122"/>
  <c r="R298" i="122"/>
  <c r="P298" i="122"/>
  <c r="O298" i="122"/>
  <c r="N298" i="122"/>
  <c r="AD297" i="122"/>
  <c r="Y297" i="122"/>
  <c r="V297" i="122"/>
  <c r="U297" i="122"/>
  <c r="S297" i="122"/>
  <c r="R297" i="122"/>
  <c r="P297" i="122"/>
  <c r="N297" i="122"/>
  <c r="M297" i="122"/>
  <c r="L297" i="122"/>
  <c r="K297" i="122"/>
  <c r="J297" i="122"/>
  <c r="I297" i="122"/>
  <c r="H297" i="122"/>
  <c r="G297" i="122"/>
  <c r="F297" i="122"/>
  <c r="E297" i="122"/>
  <c r="D297" i="122"/>
  <c r="Y295" i="122"/>
  <c r="V295" i="122"/>
  <c r="U295" i="122"/>
  <c r="S295" i="122"/>
  <c r="R295" i="122"/>
  <c r="P295" i="122"/>
  <c r="O295" i="122"/>
  <c r="N295" i="122"/>
  <c r="Y294" i="122"/>
  <c r="V294" i="122"/>
  <c r="U294" i="122"/>
  <c r="S294" i="122"/>
  <c r="R294" i="122"/>
  <c r="P294" i="122"/>
  <c r="O294" i="122"/>
  <c r="N294" i="122"/>
  <c r="Y293" i="122"/>
  <c r="V293" i="122"/>
  <c r="U293" i="122"/>
  <c r="S293" i="122"/>
  <c r="R293" i="122"/>
  <c r="P293" i="122"/>
  <c r="O293" i="122"/>
  <c r="N293" i="122"/>
  <c r="Y292" i="122"/>
  <c r="V292" i="122"/>
  <c r="U292" i="122"/>
  <c r="S292" i="122"/>
  <c r="R292" i="122"/>
  <c r="P292" i="122"/>
  <c r="O292" i="122"/>
  <c r="N292" i="122"/>
  <c r="Y291" i="122"/>
  <c r="V291" i="122"/>
  <c r="U291" i="122"/>
  <c r="S291" i="122"/>
  <c r="R291" i="122"/>
  <c r="P291" i="122"/>
  <c r="O291" i="122"/>
  <c r="N291" i="122"/>
  <c r="AD290" i="122"/>
  <c r="Y290" i="122"/>
  <c r="V290" i="122"/>
  <c r="U290" i="122"/>
  <c r="S290" i="122"/>
  <c r="R290" i="122"/>
  <c r="P290" i="122"/>
  <c r="M290" i="122"/>
  <c r="L290" i="122"/>
  <c r="K290" i="122"/>
  <c r="J290" i="122"/>
  <c r="I290" i="122"/>
  <c r="H290" i="122"/>
  <c r="G290" i="122"/>
  <c r="F290" i="122"/>
  <c r="E290" i="122"/>
  <c r="D290" i="122"/>
  <c r="Y288" i="122"/>
  <c r="V288" i="122"/>
  <c r="U288" i="122"/>
  <c r="S288" i="122"/>
  <c r="R288" i="122"/>
  <c r="P288" i="122"/>
  <c r="O288" i="122"/>
  <c r="N288" i="122"/>
  <c r="Y287" i="122"/>
  <c r="V287" i="122"/>
  <c r="U287" i="122"/>
  <c r="S287" i="122"/>
  <c r="R287" i="122"/>
  <c r="P287" i="122"/>
  <c r="O287" i="122"/>
  <c r="N287" i="122"/>
  <c r="Y286" i="122"/>
  <c r="V286" i="122"/>
  <c r="U286" i="122"/>
  <c r="S286" i="122"/>
  <c r="R286" i="122"/>
  <c r="P286" i="122"/>
  <c r="O286" i="122"/>
  <c r="N286" i="122"/>
  <c r="Y285" i="122"/>
  <c r="V285" i="122"/>
  <c r="U285" i="122"/>
  <c r="S285" i="122"/>
  <c r="R285" i="122"/>
  <c r="P285" i="122"/>
  <c r="O285" i="122"/>
  <c r="N285" i="122"/>
  <c r="Y284" i="122"/>
  <c r="V284" i="122"/>
  <c r="U284" i="122"/>
  <c r="S284" i="122"/>
  <c r="R284" i="122"/>
  <c r="P284" i="122"/>
  <c r="N284" i="122"/>
  <c r="AD283" i="122"/>
  <c r="Y283" i="122"/>
  <c r="V283" i="122"/>
  <c r="U283" i="122"/>
  <c r="S283" i="122"/>
  <c r="R283" i="122"/>
  <c r="P283" i="122"/>
  <c r="O283" i="122"/>
  <c r="N283" i="122"/>
  <c r="M283" i="122"/>
  <c r="L283" i="122"/>
  <c r="K283" i="122"/>
  <c r="J283" i="122"/>
  <c r="I283" i="122"/>
  <c r="H283" i="122"/>
  <c r="G283" i="122"/>
  <c r="F283" i="122"/>
  <c r="E283" i="122"/>
  <c r="D283" i="122"/>
  <c r="Y281" i="122"/>
  <c r="V281" i="122"/>
  <c r="U281" i="122"/>
  <c r="S281" i="122"/>
  <c r="R281" i="122"/>
  <c r="P281" i="122"/>
  <c r="O281" i="122"/>
  <c r="N281" i="122"/>
  <c r="Y280" i="122"/>
  <c r="V280" i="122"/>
  <c r="U280" i="122"/>
  <c r="S280" i="122"/>
  <c r="R280" i="122"/>
  <c r="P280" i="122"/>
  <c r="O280" i="122"/>
  <c r="N280" i="122"/>
  <c r="Y279" i="122"/>
  <c r="V279" i="122"/>
  <c r="U279" i="122"/>
  <c r="S279" i="122"/>
  <c r="R279" i="122"/>
  <c r="P279" i="122"/>
  <c r="O279" i="122"/>
  <c r="N279" i="122"/>
  <c r="Y278" i="122"/>
  <c r="V278" i="122"/>
  <c r="U278" i="122"/>
  <c r="S278" i="122"/>
  <c r="R278" i="122"/>
  <c r="P278" i="122"/>
  <c r="O278" i="122"/>
  <c r="N278" i="122"/>
  <c r="Y277" i="122"/>
  <c r="V277" i="122"/>
  <c r="U277" i="122"/>
  <c r="S277" i="122"/>
  <c r="R277" i="122"/>
  <c r="P277" i="122"/>
  <c r="O277" i="122"/>
  <c r="N277" i="122"/>
  <c r="AD276" i="122"/>
  <c r="Y276" i="122"/>
  <c r="V276" i="122"/>
  <c r="U276" i="122"/>
  <c r="S276" i="122"/>
  <c r="R276" i="122"/>
  <c r="P276" i="122"/>
  <c r="O276" i="122"/>
  <c r="N276" i="122"/>
  <c r="M276" i="122"/>
  <c r="L276" i="122"/>
  <c r="K276" i="122"/>
  <c r="J276" i="122"/>
  <c r="I276" i="122"/>
  <c r="H276" i="122"/>
  <c r="G276" i="122"/>
  <c r="F276" i="122"/>
  <c r="E276" i="122"/>
  <c r="D276" i="122"/>
  <c r="Y274" i="122"/>
  <c r="V274" i="122"/>
  <c r="U274" i="122"/>
  <c r="S274" i="122"/>
  <c r="R274" i="122"/>
  <c r="P274" i="122"/>
  <c r="O274" i="122"/>
  <c r="N274" i="122"/>
  <c r="Y273" i="122"/>
  <c r="V273" i="122"/>
  <c r="U273" i="122"/>
  <c r="S273" i="122"/>
  <c r="R273" i="122"/>
  <c r="P273" i="122"/>
  <c r="O273" i="122"/>
  <c r="N273" i="122"/>
  <c r="Y272" i="122"/>
  <c r="V272" i="122"/>
  <c r="U272" i="122"/>
  <c r="S272" i="122"/>
  <c r="R272" i="122"/>
  <c r="P272" i="122"/>
  <c r="O272" i="122"/>
  <c r="N272" i="122"/>
  <c r="Y271" i="122"/>
  <c r="V271" i="122"/>
  <c r="U271" i="122"/>
  <c r="S271" i="122"/>
  <c r="R271" i="122"/>
  <c r="P271" i="122"/>
  <c r="O271" i="122"/>
  <c r="N271" i="122"/>
  <c r="Y270" i="122"/>
  <c r="V270" i="122"/>
  <c r="U270" i="122"/>
  <c r="S270" i="122"/>
  <c r="R270" i="122"/>
  <c r="P270" i="122"/>
  <c r="O270" i="122"/>
  <c r="N270" i="122"/>
  <c r="AD269" i="122"/>
  <c r="Y269" i="122"/>
  <c r="V269" i="122"/>
  <c r="U269" i="122"/>
  <c r="S269" i="122"/>
  <c r="R269" i="122"/>
  <c r="P269" i="122"/>
  <c r="O269" i="122"/>
  <c r="N269" i="122"/>
  <c r="M269" i="122"/>
  <c r="L269" i="122"/>
  <c r="K269" i="122"/>
  <c r="J269" i="122"/>
  <c r="I269" i="122"/>
  <c r="H269" i="122"/>
  <c r="G269" i="122"/>
  <c r="F269" i="122"/>
  <c r="E269" i="122"/>
  <c r="D269" i="122"/>
  <c r="Y267" i="122"/>
  <c r="V267" i="122"/>
  <c r="U267" i="122"/>
  <c r="S267" i="122"/>
  <c r="R267" i="122"/>
  <c r="P267" i="122"/>
  <c r="O267" i="122"/>
  <c r="N267" i="122"/>
  <c r="Y266" i="122"/>
  <c r="V266" i="122"/>
  <c r="U266" i="122"/>
  <c r="S266" i="122"/>
  <c r="R266" i="122"/>
  <c r="P266" i="122"/>
  <c r="O266" i="122"/>
  <c r="N266" i="122"/>
  <c r="Y265" i="122"/>
  <c r="V265" i="122"/>
  <c r="U265" i="122"/>
  <c r="S265" i="122"/>
  <c r="R265" i="122"/>
  <c r="P265" i="122"/>
  <c r="O265" i="122"/>
  <c r="N265" i="122"/>
  <c r="Y264" i="122"/>
  <c r="V264" i="122"/>
  <c r="U264" i="122"/>
  <c r="S264" i="122"/>
  <c r="R264" i="122"/>
  <c r="P264" i="122"/>
  <c r="O264" i="122"/>
  <c r="Y263" i="122"/>
  <c r="V263" i="122"/>
  <c r="U263" i="122"/>
  <c r="S263" i="122"/>
  <c r="R263" i="122"/>
  <c r="P263" i="122"/>
  <c r="O263" i="122"/>
  <c r="N263" i="122"/>
  <c r="AD262" i="122"/>
  <c r="Y262" i="122"/>
  <c r="V262" i="122"/>
  <c r="U262" i="122"/>
  <c r="S262" i="122"/>
  <c r="R262" i="122"/>
  <c r="P262" i="122"/>
  <c r="O262" i="122"/>
  <c r="N262" i="122"/>
  <c r="M262" i="122"/>
  <c r="L262" i="122"/>
  <c r="K262" i="122"/>
  <c r="J262" i="122"/>
  <c r="I262" i="122"/>
  <c r="H262" i="122"/>
  <c r="G262" i="122"/>
  <c r="F262" i="122"/>
  <c r="E262" i="122"/>
  <c r="D262" i="122"/>
  <c r="Y260" i="122"/>
  <c r="V260" i="122"/>
  <c r="U260" i="122"/>
  <c r="S260" i="122"/>
  <c r="R260" i="122"/>
  <c r="P260" i="122"/>
  <c r="O260" i="122"/>
  <c r="N260" i="122"/>
  <c r="Y259" i="122"/>
  <c r="V259" i="122"/>
  <c r="U259" i="122"/>
  <c r="S259" i="122"/>
  <c r="R259" i="122"/>
  <c r="P259" i="122"/>
  <c r="O259" i="122"/>
  <c r="N259" i="122"/>
  <c r="Y258" i="122"/>
  <c r="V258" i="122"/>
  <c r="U258" i="122"/>
  <c r="S258" i="122"/>
  <c r="R258" i="122"/>
  <c r="P258" i="122"/>
  <c r="O258" i="122"/>
  <c r="N258" i="122"/>
  <c r="Y257" i="122"/>
  <c r="V257" i="122"/>
  <c r="U257" i="122"/>
  <c r="S257" i="122"/>
  <c r="R257" i="122"/>
  <c r="P257" i="122"/>
  <c r="O257" i="122"/>
  <c r="N257" i="122"/>
  <c r="Y256" i="122"/>
  <c r="V256" i="122"/>
  <c r="U256" i="122"/>
  <c r="S256" i="122"/>
  <c r="R256" i="122"/>
  <c r="P256" i="122"/>
  <c r="O256" i="122"/>
  <c r="N256" i="122"/>
  <c r="AD255" i="122"/>
  <c r="Y255" i="122"/>
  <c r="V255" i="122"/>
  <c r="U255" i="122"/>
  <c r="S255" i="122"/>
  <c r="R255" i="122"/>
  <c r="P255" i="122"/>
  <c r="O255" i="122"/>
  <c r="N255" i="122"/>
  <c r="M255" i="122"/>
  <c r="L255" i="122"/>
  <c r="K255" i="122"/>
  <c r="J255" i="122"/>
  <c r="I255" i="122"/>
  <c r="H255" i="122"/>
  <c r="G255" i="122"/>
  <c r="F255" i="122"/>
  <c r="E255" i="122"/>
  <c r="D255" i="122"/>
  <c r="Y253" i="122"/>
  <c r="V253" i="122"/>
  <c r="U253" i="122"/>
  <c r="S253" i="122"/>
  <c r="R253" i="122"/>
  <c r="P253" i="122"/>
  <c r="O253" i="122"/>
  <c r="N253" i="122"/>
  <c r="Y252" i="122"/>
  <c r="V252" i="122"/>
  <c r="U252" i="122"/>
  <c r="S252" i="122"/>
  <c r="R252" i="122"/>
  <c r="P252" i="122"/>
  <c r="O252" i="122"/>
  <c r="N252" i="122"/>
  <c r="Y251" i="122"/>
  <c r="V251" i="122"/>
  <c r="U251" i="122"/>
  <c r="S251" i="122"/>
  <c r="R251" i="122"/>
  <c r="P251" i="122"/>
  <c r="O251" i="122"/>
  <c r="N251" i="122"/>
  <c r="Y250" i="122"/>
  <c r="V250" i="122"/>
  <c r="U250" i="122"/>
  <c r="S250" i="122"/>
  <c r="R250" i="122"/>
  <c r="P250" i="122"/>
  <c r="O250" i="122"/>
  <c r="N250" i="122"/>
  <c r="Y249" i="122"/>
  <c r="V249" i="122"/>
  <c r="U249" i="122"/>
  <c r="S249" i="122"/>
  <c r="R249" i="122"/>
  <c r="P249" i="122"/>
  <c r="O249" i="122"/>
  <c r="N249" i="122"/>
  <c r="AD248" i="122"/>
  <c r="Y248" i="122"/>
  <c r="V248" i="122"/>
  <c r="U248" i="122"/>
  <c r="S248" i="122"/>
  <c r="R248" i="122"/>
  <c r="P248" i="122"/>
  <c r="O248" i="122"/>
  <c r="N248" i="122"/>
  <c r="M248" i="122"/>
  <c r="L248" i="122"/>
  <c r="K248" i="122"/>
  <c r="J248" i="122"/>
  <c r="I248" i="122"/>
  <c r="H248" i="122"/>
  <c r="G248" i="122"/>
  <c r="F248" i="122"/>
  <c r="E248" i="122"/>
  <c r="D248" i="122"/>
  <c r="Y246" i="122"/>
  <c r="V246" i="122"/>
  <c r="U246" i="122"/>
  <c r="S246" i="122"/>
  <c r="R246" i="122"/>
  <c r="P246" i="122"/>
  <c r="O246" i="122"/>
  <c r="N246" i="122"/>
  <c r="Y245" i="122"/>
  <c r="V245" i="122"/>
  <c r="U245" i="122"/>
  <c r="S245" i="122"/>
  <c r="R245" i="122"/>
  <c r="P245" i="122"/>
  <c r="O245" i="122"/>
  <c r="N245" i="122"/>
  <c r="Y244" i="122"/>
  <c r="V244" i="122"/>
  <c r="U244" i="122"/>
  <c r="S244" i="122"/>
  <c r="R244" i="122"/>
  <c r="P244" i="122"/>
  <c r="O244" i="122"/>
  <c r="N244" i="122"/>
  <c r="Y243" i="122"/>
  <c r="V243" i="122"/>
  <c r="U243" i="122"/>
  <c r="S243" i="122"/>
  <c r="R243" i="122"/>
  <c r="P243" i="122"/>
  <c r="O243" i="122"/>
  <c r="N243" i="122"/>
  <c r="Y242" i="122"/>
  <c r="V242" i="122"/>
  <c r="U242" i="122"/>
  <c r="S242" i="122"/>
  <c r="R242" i="122"/>
  <c r="P242" i="122"/>
  <c r="O242" i="122"/>
  <c r="N242" i="122"/>
  <c r="AD241" i="122"/>
  <c r="Y241" i="122"/>
  <c r="V241" i="122"/>
  <c r="U241" i="122"/>
  <c r="S241" i="122"/>
  <c r="R241" i="122"/>
  <c r="P241" i="122"/>
  <c r="O241" i="122"/>
  <c r="N241" i="122"/>
  <c r="M241" i="122"/>
  <c r="L241" i="122"/>
  <c r="K241" i="122"/>
  <c r="J241" i="122"/>
  <c r="I241" i="122"/>
  <c r="H241" i="122"/>
  <c r="G241" i="122"/>
  <c r="F241" i="122"/>
  <c r="E241" i="122"/>
  <c r="D241" i="122"/>
  <c r="Y239" i="122"/>
  <c r="V239" i="122"/>
  <c r="U239" i="122"/>
  <c r="S239" i="122"/>
  <c r="R239" i="122"/>
  <c r="P239" i="122"/>
  <c r="O239" i="122"/>
  <c r="N239" i="122"/>
  <c r="Y238" i="122"/>
  <c r="V238" i="122"/>
  <c r="U238" i="122"/>
  <c r="S238" i="122"/>
  <c r="R238" i="122"/>
  <c r="P238" i="122"/>
  <c r="O238" i="122"/>
  <c r="N238" i="122"/>
  <c r="Y237" i="122"/>
  <c r="V237" i="122"/>
  <c r="U237" i="122"/>
  <c r="S237" i="122"/>
  <c r="R237" i="122"/>
  <c r="P237" i="122"/>
  <c r="O237" i="122"/>
  <c r="N237" i="122"/>
  <c r="Y236" i="122"/>
  <c r="V236" i="122"/>
  <c r="U236" i="122"/>
  <c r="S236" i="122"/>
  <c r="R236" i="122"/>
  <c r="P236" i="122"/>
  <c r="O236" i="122"/>
  <c r="N236" i="122"/>
  <c r="Y235" i="122"/>
  <c r="V235" i="122"/>
  <c r="U235" i="122"/>
  <c r="S235" i="122"/>
  <c r="R235" i="122"/>
  <c r="P235" i="122"/>
  <c r="O235" i="122"/>
  <c r="N235" i="122"/>
  <c r="AD234" i="122"/>
  <c r="Y234" i="122"/>
  <c r="V234" i="122"/>
  <c r="U234" i="122"/>
  <c r="S234" i="122"/>
  <c r="R234" i="122"/>
  <c r="P234" i="122"/>
  <c r="O234" i="122"/>
  <c r="M234" i="122"/>
  <c r="L234" i="122"/>
  <c r="K234" i="122"/>
  <c r="J234" i="122"/>
  <c r="I234" i="122"/>
  <c r="H234" i="122"/>
  <c r="G234" i="122"/>
  <c r="F234" i="122"/>
  <c r="E234" i="122"/>
  <c r="D234" i="122"/>
  <c r="Y232" i="122"/>
  <c r="V232" i="122"/>
  <c r="U232" i="122"/>
  <c r="S232" i="122"/>
  <c r="R232" i="122"/>
  <c r="P232" i="122"/>
  <c r="O232" i="122"/>
  <c r="N232" i="122"/>
  <c r="Y231" i="122"/>
  <c r="V231" i="122"/>
  <c r="U231" i="122"/>
  <c r="S231" i="122"/>
  <c r="R231" i="122"/>
  <c r="P231" i="122"/>
  <c r="O231" i="122"/>
  <c r="N231" i="122"/>
  <c r="Y230" i="122"/>
  <c r="V230" i="122"/>
  <c r="U230" i="122"/>
  <c r="S230" i="122"/>
  <c r="R230" i="122"/>
  <c r="P230" i="122"/>
  <c r="O230" i="122"/>
  <c r="N230" i="122"/>
  <c r="Y229" i="122"/>
  <c r="V229" i="122"/>
  <c r="U229" i="122"/>
  <c r="S229" i="122"/>
  <c r="R229" i="122"/>
  <c r="P229" i="122"/>
  <c r="O229" i="122"/>
  <c r="N229" i="122"/>
  <c r="Y228" i="122"/>
  <c r="V228" i="122"/>
  <c r="U228" i="122"/>
  <c r="S228" i="122"/>
  <c r="R228" i="122"/>
  <c r="P228" i="122"/>
  <c r="O228" i="122"/>
  <c r="N228" i="122"/>
  <c r="AD227" i="122"/>
  <c r="Y227" i="122"/>
  <c r="V227" i="122"/>
  <c r="U227" i="122"/>
  <c r="S227" i="122"/>
  <c r="R227" i="122"/>
  <c r="P227" i="122"/>
  <c r="O227" i="122"/>
  <c r="N227" i="122"/>
  <c r="M227" i="122"/>
  <c r="L227" i="122"/>
  <c r="K227" i="122"/>
  <c r="J227" i="122"/>
  <c r="I227" i="122"/>
  <c r="H227" i="122"/>
  <c r="G227" i="122"/>
  <c r="F227" i="122"/>
  <c r="E227" i="122"/>
  <c r="D227" i="122"/>
  <c r="Y225" i="122"/>
  <c r="V225" i="122"/>
  <c r="U225" i="122"/>
  <c r="S225" i="122"/>
  <c r="R225" i="122"/>
  <c r="P225" i="122"/>
  <c r="O225" i="122"/>
  <c r="N225" i="122"/>
  <c r="Y224" i="122"/>
  <c r="V224" i="122"/>
  <c r="U224" i="122"/>
  <c r="S224" i="122"/>
  <c r="R224" i="122"/>
  <c r="P224" i="122"/>
  <c r="O224" i="122"/>
  <c r="N224" i="122"/>
  <c r="Y223" i="122"/>
  <c r="V223" i="122"/>
  <c r="U223" i="122"/>
  <c r="S223" i="122"/>
  <c r="R223" i="122"/>
  <c r="P223" i="122"/>
  <c r="O223" i="122"/>
  <c r="N223" i="122"/>
  <c r="Y222" i="122"/>
  <c r="V222" i="122"/>
  <c r="U222" i="122"/>
  <c r="S222" i="122"/>
  <c r="R222" i="122"/>
  <c r="P222" i="122"/>
  <c r="O222" i="122"/>
  <c r="N222" i="122"/>
  <c r="Y221" i="122"/>
  <c r="V221" i="122"/>
  <c r="U221" i="122"/>
  <c r="S221" i="122"/>
  <c r="R221" i="122"/>
  <c r="P221" i="122"/>
  <c r="O221" i="122"/>
  <c r="AD220" i="122"/>
  <c r="Y220" i="122"/>
  <c r="V220" i="122"/>
  <c r="U220" i="122"/>
  <c r="S220" i="122"/>
  <c r="R220" i="122"/>
  <c r="P220" i="122"/>
  <c r="O220" i="122"/>
  <c r="N220" i="122"/>
  <c r="M220" i="122"/>
  <c r="L220" i="122"/>
  <c r="K220" i="122"/>
  <c r="J220" i="122"/>
  <c r="I220" i="122"/>
  <c r="H220" i="122"/>
  <c r="G220" i="122"/>
  <c r="F220" i="122"/>
  <c r="E220" i="122"/>
  <c r="D220" i="122"/>
  <c r="Y218" i="122"/>
  <c r="V218" i="122"/>
  <c r="U218" i="122"/>
  <c r="S218" i="122"/>
  <c r="R218" i="122"/>
  <c r="P218" i="122"/>
  <c r="O218" i="122"/>
  <c r="N218" i="122"/>
  <c r="Y217" i="122"/>
  <c r="V217" i="122"/>
  <c r="U217" i="122"/>
  <c r="S217" i="122"/>
  <c r="R217" i="122"/>
  <c r="P217" i="122"/>
  <c r="O217" i="122"/>
  <c r="N217" i="122"/>
  <c r="Y216" i="122"/>
  <c r="V216" i="122"/>
  <c r="U216" i="122"/>
  <c r="S216" i="122"/>
  <c r="R216" i="122"/>
  <c r="P216" i="122"/>
  <c r="O216" i="122"/>
  <c r="N216" i="122"/>
  <c r="Y215" i="122"/>
  <c r="V215" i="122"/>
  <c r="U215" i="122"/>
  <c r="S215" i="122"/>
  <c r="R215" i="122"/>
  <c r="P215" i="122"/>
  <c r="O215" i="122"/>
  <c r="N215" i="122"/>
  <c r="Y214" i="122"/>
  <c r="V214" i="122"/>
  <c r="U214" i="122"/>
  <c r="S214" i="122"/>
  <c r="R214" i="122"/>
  <c r="P214" i="122"/>
  <c r="O214" i="122"/>
  <c r="N214" i="122"/>
  <c r="AD213" i="122"/>
  <c r="Y213" i="122"/>
  <c r="V213" i="122"/>
  <c r="U213" i="122"/>
  <c r="S213" i="122"/>
  <c r="R213" i="122"/>
  <c r="P213" i="122"/>
  <c r="O213" i="122"/>
  <c r="N213" i="122"/>
  <c r="M213" i="122"/>
  <c r="L213" i="122"/>
  <c r="K213" i="122"/>
  <c r="J213" i="122"/>
  <c r="I213" i="122"/>
  <c r="H213" i="122"/>
  <c r="G213" i="122"/>
  <c r="F213" i="122"/>
  <c r="E213" i="122"/>
  <c r="D213" i="122"/>
  <c r="Y211" i="122"/>
  <c r="V211" i="122"/>
  <c r="U211" i="122"/>
  <c r="S211" i="122"/>
  <c r="R211" i="122"/>
  <c r="P211" i="122"/>
  <c r="O211" i="122"/>
  <c r="N211" i="122"/>
  <c r="Y210" i="122"/>
  <c r="V210" i="122"/>
  <c r="U210" i="122"/>
  <c r="S210" i="122"/>
  <c r="R210" i="122"/>
  <c r="P210" i="122"/>
  <c r="O210" i="122"/>
  <c r="N210" i="122"/>
  <c r="Y209" i="122"/>
  <c r="V209" i="122"/>
  <c r="U209" i="122"/>
  <c r="S209" i="122"/>
  <c r="R209" i="122"/>
  <c r="P209" i="122"/>
  <c r="O209" i="122"/>
  <c r="N209" i="122"/>
  <c r="Y208" i="122"/>
  <c r="V208" i="122"/>
  <c r="U208" i="122"/>
  <c r="S208" i="122"/>
  <c r="R208" i="122"/>
  <c r="P208" i="122"/>
  <c r="O208" i="122"/>
  <c r="N208" i="122"/>
  <c r="Y207" i="122"/>
  <c r="V207" i="122"/>
  <c r="U207" i="122"/>
  <c r="S207" i="122"/>
  <c r="R207" i="122"/>
  <c r="P207" i="122"/>
  <c r="O207" i="122"/>
  <c r="N207" i="122"/>
  <c r="AD206" i="122"/>
  <c r="Y206" i="122"/>
  <c r="V206" i="122"/>
  <c r="U206" i="122"/>
  <c r="S206" i="122"/>
  <c r="R206" i="122"/>
  <c r="P206" i="122"/>
  <c r="O206" i="122"/>
  <c r="N206" i="122"/>
  <c r="M206" i="122"/>
  <c r="L206" i="122"/>
  <c r="K206" i="122"/>
  <c r="J206" i="122"/>
  <c r="I206" i="122"/>
  <c r="H206" i="122"/>
  <c r="G206" i="122"/>
  <c r="F206" i="122"/>
  <c r="E206" i="122"/>
  <c r="D206" i="122"/>
  <c r="Y204" i="122"/>
  <c r="V204" i="122"/>
  <c r="U204" i="122"/>
  <c r="S204" i="122"/>
  <c r="R204" i="122"/>
  <c r="P204" i="122"/>
  <c r="O204" i="122"/>
  <c r="N204" i="122"/>
  <c r="Y203" i="122"/>
  <c r="V203" i="122"/>
  <c r="U203" i="122"/>
  <c r="S203" i="122"/>
  <c r="R203" i="122"/>
  <c r="P203" i="122"/>
  <c r="O203" i="122"/>
  <c r="N203" i="122"/>
  <c r="Y202" i="122"/>
  <c r="V202" i="122"/>
  <c r="U202" i="122"/>
  <c r="S202" i="122"/>
  <c r="R202" i="122"/>
  <c r="P202" i="122"/>
  <c r="O202" i="122"/>
  <c r="N202" i="122"/>
  <c r="Y201" i="122"/>
  <c r="V201" i="122"/>
  <c r="U201" i="122"/>
  <c r="S201" i="122"/>
  <c r="R201" i="122"/>
  <c r="P201" i="122"/>
  <c r="O201" i="122"/>
  <c r="N201" i="122"/>
  <c r="Y200" i="122"/>
  <c r="V200" i="122"/>
  <c r="U200" i="122"/>
  <c r="S200" i="122"/>
  <c r="R200" i="122"/>
  <c r="P200" i="122"/>
  <c r="O200" i="122"/>
  <c r="N200" i="122"/>
  <c r="AD199" i="122"/>
  <c r="Y199" i="122"/>
  <c r="V199" i="122"/>
  <c r="U199" i="122"/>
  <c r="S199" i="122"/>
  <c r="R199" i="122"/>
  <c r="P199" i="122"/>
  <c r="O199" i="122"/>
  <c r="N199" i="122"/>
  <c r="M199" i="122"/>
  <c r="L199" i="122"/>
  <c r="K199" i="122"/>
  <c r="J199" i="122"/>
  <c r="I199" i="122"/>
  <c r="H199" i="122"/>
  <c r="G199" i="122"/>
  <c r="F199" i="122"/>
  <c r="E199" i="122"/>
  <c r="D199" i="122"/>
  <c r="Y197" i="122"/>
  <c r="V197" i="122"/>
  <c r="U197" i="122"/>
  <c r="S197" i="122"/>
  <c r="R197" i="122"/>
  <c r="P197" i="122"/>
  <c r="O197" i="122"/>
  <c r="N197" i="122"/>
  <c r="Y196" i="122"/>
  <c r="V196" i="122"/>
  <c r="U196" i="122"/>
  <c r="S196" i="122"/>
  <c r="R196" i="122"/>
  <c r="P196" i="122"/>
  <c r="O196" i="122"/>
  <c r="N196" i="122"/>
  <c r="Y195" i="122"/>
  <c r="V195" i="122"/>
  <c r="U195" i="122"/>
  <c r="S195" i="122"/>
  <c r="R195" i="122"/>
  <c r="P195" i="122"/>
  <c r="O195" i="122"/>
  <c r="N195" i="122"/>
  <c r="Y194" i="122"/>
  <c r="V194" i="122"/>
  <c r="U194" i="122"/>
  <c r="S194" i="122"/>
  <c r="R194" i="122"/>
  <c r="P194" i="122"/>
  <c r="O194" i="122"/>
  <c r="N194" i="122"/>
  <c r="Y193" i="122"/>
  <c r="V193" i="122"/>
  <c r="U193" i="122"/>
  <c r="S193" i="122"/>
  <c r="R193" i="122"/>
  <c r="P193" i="122"/>
  <c r="O193" i="122"/>
  <c r="N193" i="122"/>
  <c r="AD192" i="122"/>
  <c r="Y192" i="122"/>
  <c r="V192" i="122"/>
  <c r="U192" i="122"/>
  <c r="S192" i="122"/>
  <c r="R192" i="122"/>
  <c r="P192" i="122"/>
  <c r="O192" i="122"/>
  <c r="N192" i="122"/>
  <c r="M192" i="122"/>
  <c r="L192" i="122"/>
  <c r="K192" i="122"/>
  <c r="J192" i="122"/>
  <c r="I192" i="122"/>
  <c r="H192" i="122"/>
  <c r="G192" i="122"/>
  <c r="F192" i="122"/>
  <c r="E192" i="122"/>
  <c r="D192" i="122"/>
  <c r="Y190" i="122"/>
  <c r="V190" i="122"/>
  <c r="U190" i="122"/>
  <c r="S190" i="122"/>
  <c r="R190" i="122"/>
  <c r="P190" i="122"/>
  <c r="O190" i="122"/>
  <c r="N190" i="122"/>
  <c r="Y189" i="122"/>
  <c r="V189" i="122"/>
  <c r="U189" i="122"/>
  <c r="S189" i="122"/>
  <c r="R189" i="122"/>
  <c r="P189" i="122"/>
  <c r="O189" i="122"/>
  <c r="N189" i="122"/>
  <c r="Y188" i="122"/>
  <c r="V188" i="122"/>
  <c r="U188" i="122"/>
  <c r="S188" i="122"/>
  <c r="R188" i="122"/>
  <c r="P188" i="122"/>
  <c r="O188" i="122"/>
  <c r="N188" i="122"/>
  <c r="Y187" i="122"/>
  <c r="V187" i="122"/>
  <c r="U187" i="122"/>
  <c r="S187" i="122"/>
  <c r="R187" i="122"/>
  <c r="P187" i="122"/>
  <c r="O187" i="122"/>
  <c r="N187" i="122"/>
  <c r="Y186" i="122"/>
  <c r="V186" i="122"/>
  <c r="U186" i="122"/>
  <c r="S186" i="122"/>
  <c r="R186" i="122"/>
  <c r="P186" i="122"/>
  <c r="O186" i="122"/>
  <c r="N186" i="122"/>
  <c r="AD185" i="122"/>
  <c r="Y185" i="122"/>
  <c r="V185" i="122"/>
  <c r="U185" i="122"/>
  <c r="S185" i="122"/>
  <c r="R185" i="122"/>
  <c r="P185" i="122"/>
  <c r="N185" i="122"/>
  <c r="M185" i="122"/>
  <c r="L185" i="122"/>
  <c r="K185" i="122"/>
  <c r="J185" i="122"/>
  <c r="I185" i="122"/>
  <c r="H185" i="122"/>
  <c r="G185" i="122"/>
  <c r="F185" i="122"/>
  <c r="E185" i="122"/>
  <c r="D185" i="122"/>
  <c r="Y183" i="122"/>
  <c r="V183" i="122"/>
  <c r="U183" i="122"/>
  <c r="S183" i="122"/>
  <c r="R183" i="122"/>
  <c r="P183" i="122"/>
  <c r="O183" i="122"/>
  <c r="N183" i="122"/>
  <c r="Y182" i="122"/>
  <c r="V182" i="122"/>
  <c r="U182" i="122"/>
  <c r="S182" i="122"/>
  <c r="R182" i="122"/>
  <c r="P182" i="122"/>
  <c r="O182" i="122"/>
  <c r="N182" i="122"/>
  <c r="Y181" i="122"/>
  <c r="V181" i="122"/>
  <c r="U181" i="122"/>
  <c r="S181" i="122"/>
  <c r="R181" i="122"/>
  <c r="P181" i="122"/>
  <c r="O181" i="122"/>
  <c r="N181" i="122"/>
  <c r="Y180" i="122"/>
  <c r="V180" i="122"/>
  <c r="U180" i="122"/>
  <c r="S180" i="122"/>
  <c r="R180" i="122"/>
  <c r="P180" i="122"/>
  <c r="O180" i="122"/>
  <c r="N180" i="122"/>
  <c r="Y179" i="122"/>
  <c r="V179" i="122"/>
  <c r="U179" i="122"/>
  <c r="S179" i="122"/>
  <c r="R179" i="122"/>
  <c r="P179" i="122"/>
  <c r="O179" i="122"/>
  <c r="N179" i="122"/>
  <c r="AD178" i="122"/>
  <c r="Y178" i="122"/>
  <c r="V178" i="122"/>
  <c r="U178" i="122"/>
  <c r="S178" i="122"/>
  <c r="R178" i="122"/>
  <c r="P178" i="122"/>
  <c r="O178" i="122"/>
  <c r="N178" i="122"/>
  <c r="M178" i="122"/>
  <c r="L178" i="122"/>
  <c r="K178" i="122"/>
  <c r="J178" i="122"/>
  <c r="I178" i="122"/>
  <c r="H178" i="122"/>
  <c r="G178" i="122"/>
  <c r="F178" i="122"/>
  <c r="E178" i="122"/>
  <c r="D178" i="122"/>
  <c r="Y176" i="122"/>
  <c r="V176" i="122"/>
  <c r="U176" i="122"/>
  <c r="S176" i="122"/>
  <c r="R176" i="122"/>
  <c r="P176" i="122"/>
  <c r="O176" i="122"/>
  <c r="N176" i="122"/>
  <c r="Y175" i="122"/>
  <c r="V175" i="122"/>
  <c r="U175" i="122"/>
  <c r="S175" i="122"/>
  <c r="R175" i="122"/>
  <c r="P175" i="122"/>
  <c r="O175" i="122"/>
  <c r="N175" i="122"/>
  <c r="Y174" i="122"/>
  <c r="V174" i="122"/>
  <c r="U174" i="122"/>
  <c r="S174" i="122"/>
  <c r="R174" i="122"/>
  <c r="P174" i="122"/>
  <c r="O174" i="122"/>
  <c r="N174" i="122"/>
  <c r="Y173" i="122"/>
  <c r="V173" i="122"/>
  <c r="U173" i="122"/>
  <c r="S173" i="122"/>
  <c r="R173" i="122"/>
  <c r="P173" i="122"/>
  <c r="O173" i="122"/>
  <c r="N173" i="122"/>
  <c r="Y172" i="122"/>
  <c r="V172" i="122"/>
  <c r="U172" i="122"/>
  <c r="S172" i="122"/>
  <c r="R172" i="122"/>
  <c r="P172" i="122"/>
  <c r="O172" i="122"/>
  <c r="N172" i="122"/>
  <c r="AD171" i="122"/>
  <c r="Y171" i="122"/>
  <c r="V171" i="122"/>
  <c r="U171" i="122"/>
  <c r="S171" i="122"/>
  <c r="R171" i="122"/>
  <c r="P171" i="122"/>
  <c r="O171" i="122"/>
  <c r="N171" i="122"/>
  <c r="M171" i="122"/>
  <c r="L171" i="122"/>
  <c r="K171" i="122"/>
  <c r="J171" i="122"/>
  <c r="I171" i="122"/>
  <c r="H171" i="122"/>
  <c r="G171" i="122"/>
  <c r="F171" i="122"/>
  <c r="E171" i="122"/>
  <c r="D171" i="122"/>
  <c r="Y169" i="122"/>
  <c r="V169" i="122"/>
  <c r="U169" i="122"/>
  <c r="S169" i="122"/>
  <c r="R169" i="122"/>
  <c r="P169" i="122"/>
  <c r="O169" i="122"/>
  <c r="N169" i="122"/>
  <c r="Y168" i="122"/>
  <c r="V168" i="122"/>
  <c r="U168" i="122"/>
  <c r="S168" i="122"/>
  <c r="R168" i="122"/>
  <c r="P168" i="122"/>
  <c r="O168" i="122"/>
  <c r="N168" i="122"/>
  <c r="Y167" i="122"/>
  <c r="V167" i="122"/>
  <c r="U167" i="122"/>
  <c r="S167" i="122"/>
  <c r="R167" i="122"/>
  <c r="P167" i="122"/>
  <c r="O167" i="122"/>
  <c r="N167" i="122"/>
  <c r="Y166" i="122"/>
  <c r="V166" i="122"/>
  <c r="U166" i="122"/>
  <c r="S166" i="122"/>
  <c r="R166" i="122"/>
  <c r="P166" i="122"/>
  <c r="O166" i="122"/>
  <c r="N166" i="122"/>
  <c r="Y165" i="122"/>
  <c r="V165" i="122"/>
  <c r="U165" i="122"/>
  <c r="S165" i="122"/>
  <c r="R165" i="122"/>
  <c r="P165" i="122"/>
  <c r="O165" i="122"/>
  <c r="N165" i="122"/>
  <c r="AD164" i="122"/>
  <c r="Y164" i="122"/>
  <c r="V164" i="122"/>
  <c r="U164" i="122"/>
  <c r="S164" i="122"/>
  <c r="R164" i="122"/>
  <c r="P164" i="122"/>
  <c r="O164" i="122"/>
  <c r="N164" i="122"/>
  <c r="M164" i="122"/>
  <c r="L164" i="122"/>
  <c r="K164" i="122"/>
  <c r="J164" i="122"/>
  <c r="I164" i="122"/>
  <c r="H164" i="122"/>
  <c r="G164" i="122"/>
  <c r="F164" i="122"/>
  <c r="E164" i="122"/>
  <c r="D164" i="122"/>
  <c r="Y162" i="122"/>
  <c r="V162" i="122"/>
  <c r="U162" i="122"/>
  <c r="S162" i="122"/>
  <c r="R162" i="122"/>
  <c r="P162" i="122"/>
  <c r="O162" i="122"/>
  <c r="N162" i="122"/>
  <c r="Y161" i="122"/>
  <c r="V161" i="122"/>
  <c r="U161" i="122"/>
  <c r="S161" i="122"/>
  <c r="R161" i="122"/>
  <c r="P161" i="122"/>
  <c r="O161" i="122"/>
  <c r="N161" i="122"/>
  <c r="Y160" i="122"/>
  <c r="V160" i="122"/>
  <c r="U160" i="122"/>
  <c r="S160" i="122"/>
  <c r="R160" i="122"/>
  <c r="P160" i="122"/>
  <c r="O160" i="122"/>
  <c r="N160" i="122"/>
  <c r="Y159" i="122"/>
  <c r="V159" i="122"/>
  <c r="U159" i="122"/>
  <c r="S159" i="122"/>
  <c r="R159" i="122"/>
  <c r="P159" i="122"/>
  <c r="O159" i="122"/>
  <c r="N159" i="122"/>
  <c r="Y158" i="122"/>
  <c r="V158" i="122"/>
  <c r="U158" i="122"/>
  <c r="S158" i="122"/>
  <c r="R158" i="122"/>
  <c r="P158" i="122"/>
  <c r="O158" i="122"/>
  <c r="N158" i="122"/>
  <c r="AD157" i="122"/>
  <c r="Y157" i="122"/>
  <c r="V157" i="122"/>
  <c r="U157" i="122"/>
  <c r="S157" i="122"/>
  <c r="R157" i="122"/>
  <c r="P157" i="122"/>
  <c r="O157" i="122"/>
  <c r="N157" i="122"/>
  <c r="M157" i="122"/>
  <c r="L157" i="122"/>
  <c r="K157" i="122"/>
  <c r="J157" i="122"/>
  <c r="I157" i="122"/>
  <c r="H157" i="122"/>
  <c r="G157" i="122"/>
  <c r="F157" i="122"/>
  <c r="E157" i="122"/>
  <c r="D157" i="122"/>
  <c r="Y155" i="122"/>
  <c r="V155" i="122"/>
  <c r="U155" i="122"/>
  <c r="S155" i="122"/>
  <c r="R155" i="122"/>
  <c r="P155" i="122"/>
  <c r="O155" i="122"/>
  <c r="N155" i="122"/>
  <c r="Y154" i="122"/>
  <c r="V154" i="122"/>
  <c r="U154" i="122"/>
  <c r="S154" i="122"/>
  <c r="R154" i="122"/>
  <c r="P154" i="122"/>
  <c r="O154" i="122"/>
  <c r="N154" i="122"/>
  <c r="Y153" i="122"/>
  <c r="V153" i="122"/>
  <c r="U153" i="122"/>
  <c r="S153" i="122"/>
  <c r="R153" i="122"/>
  <c r="P153" i="122"/>
  <c r="O153" i="122"/>
  <c r="N153" i="122"/>
  <c r="Y152" i="122"/>
  <c r="V152" i="122"/>
  <c r="U152" i="122"/>
  <c r="S152" i="122"/>
  <c r="R152" i="122"/>
  <c r="P152" i="122"/>
  <c r="O152" i="122"/>
  <c r="N152" i="122"/>
  <c r="Y151" i="122"/>
  <c r="V151" i="122"/>
  <c r="U151" i="122"/>
  <c r="S151" i="122"/>
  <c r="R151" i="122"/>
  <c r="P151" i="122"/>
  <c r="O151" i="122"/>
  <c r="N151" i="122"/>
  <c r="AD150" i="122"/>
  <c r="Y150" i="122"/>
  <c r="V150" i="122"/>
  <c r="U150" i="122"/>
  <c r="S150" i="122"/>
  <c r="R150" i="122"/>
  <c r="P150" i="122"/>
  <c r="O150" i="122"/>
  <c r="N150" i="122"/>
  <c r="M150" i="122"/>
  <c r="L150" i="122"/>
  <c r="K150" i="122"/>
  <c r="J150" i="122"/>
  <c r="I150" i="122"/>
  <c r="H150" i="122"/>
  <c r="G150" i="122"/>
  <c r="F150" i="122"/>
  <c r="E150" i="122"/>
  <c r="D150" i="122"/>
  <c r="Y148" i="122"/>
  <c r="V148" i="122"/>
  <c r="U148" i="122"/>
  <c r="S148" i="122"/>
  <c r="R148" i="122"/>
  <c r="P148" i="122"/>
  <c r="O148" i="122"/>
  <c r="N148" i="122"/>
  <c r="Y147" i="122"/>
  <c r="V147" i="122"/>
  <c r="U147" i="122"/>
  <c r="S147" i="122"/>
  <c r="R147" i="122"/>
  <c r="P147" i="122"/>
  <c r="O147" i="122"/>
  <c r="N147" i="122"/>
  <c r="Y146" i="122"/>
  <c r="V146" i="122"/>
  <c r="U146" i="122"/>
  <c r="S146" i="122"/>
  <c r="R146" i="122"/>
  <c r="P146" i="122"/>
  <c r="O146" i="122"/>
  <c r="N146" i="122"/>
  <c r="Y145" i="122"/>
  <c r="V145" i="122"/>
  <c r="U145" i="122"/>
  <c r="S145" i="122"/>
  <c r="R145" i="122"/>
  <c r="P145" i="122"/>
  <c r="O145" i="122"/>
  <c r="N145" i="122"/>
  <c r="Y144" i="122"/>
  <c r="V144" i="122"/>
  <c r="U144" i="122"/>
  <c r="S144" i="122"/>
  <c r="R144" i="122"/>
  <c r="P144" i="122"/>
  <c r="O144" i="122"/>
  <c r="N144" i="122"/>
  <c r="AD143" i="122"/>
  <c r="Y143" i="122"/>
  <c r="V143" i="122"/>
  <c r="U143" i="122"/>
  <c r="S143" i="122"/>
  <c r="R143" i="122"/>
  <c r="P143" i="122"/>
  <c r="O143" i="122"/>
  <c r="N143" i="122"/>
  <c r="M143" i="122"/>
  <c r="L143" i="122"/>
  <c r="K143" i="122"/>
  <c r="J143" i="122"/>
  <c r="I143" i="122"/>
  <c r="H143" i="122"/>
  <c r="G143" i="122"/>
  <c r="F143" i="122"/>
  <c r="E143" i="122"/>
  <c r="D143" i="122"/>
  <c r="Y141" i="122"/>
  <c r="V141" i="122"/>
  <c r="U141" i="122"/>
  <c r="S141" i="122"/>
  <c r="R141" i="122"/>
  <c r="P141" i="122"/>
  <c r="O141" i="122"/>
  <c r="N141" i="122"/>
  <c r="Y140" i="122"/>
  <c r="V140" i="122"/>
  <c r="U140" i="122"/>
  <c r="S140" i="122"/>
  <c r="R140" i="122"/>
  <c r="P140" i="122"/>
  <c r="O140" i="122"/>
  <c r="N140" i="122"/>
  <c r="Y139" i="122"/>
  <c r="V139" i="122"/>
  <c r="U139" i="122"/>
  <c r="S139" i="122"/>
  <c r="R139" i="122"/>
  <c r="P139" i="122"/>
  <c r="O139" i="122"/>
  <c r="N139" i="122"/>
  <c r="Y138" i="122"/>
  <c r="V138" i="122"/>
  <c r="U138" i="122"/>
  <c r="S138" i="122"/>
  <c r="R138" i="122"/>
  <c r="P138" i="122"/>
  <c r="O138" i="122"/>
  <c r="N138" i="122"/>
  <c r="Y137" i="122"/>
  <c r="V137" i="122"/>
  <c r="U137" i="122"/>
  <c r="S137" i="122"/>
  <c r="R137" i="122"/>
  <c r="P137" i="122"/>
  <c r="O137" i="122"/>
  <c r="N137" i="122"/>
  <c r="AD136" i="122"/>
  <c r="Y136" i="122"/>
  <c r="V136" i="122"/>
  <c r="U136" i="122"/>
  <c r="S136" i="122"/>
  <c r="R136" i="122"/>
  <c r="P136" i="122"/>
  <c r="O136" i="122"/>
  <c r="N136" i="122"/>
  <c r="M136" i="122"/>
  <c r="L136" i="122"/>
  <c r="K136" i="122"/>
  <c r="J136" i="122"/>
  <c r="I136" i="122"/>
  <c r="H136" i="122"/>
  <c r="G136" i="122"/>
  <c r="F136" i="122"/>
  <c r="E136" i="122"/>
  <c r="D136" i="122"/>
  <c r="Y134" i="122"/>
  <c r="V134" i="122"/>
  <c r="U134" i="122"/>
  <c r="S134" i="122"/>
  <c r="R134" i="122"/>
  <c r="P134" i="122"/>
  <c r="O134" i="122"/>
  <c r="N134" i="122"/>
  <c r="Y133" i="122"/>
  <c r="V133" i="122"/>
  <c r="U133" i="122"/>
  <c r="S133" i="122"/>
  <c r="R133" i="122"/>
  <c r="P133" i="122"/>
  <c r="O133" i="122"/>
  <c r="N133" i="122"/>
  <c r="Y132" i="122"/>
  <c r="V132" i="122"/>
  <c r="U132" i="122"/>
  <c r="S132" i="122"/>
  <c r="R132" i="122"/>
  <c r="P132" i="122"/>
  <c r="O132" i="122"/>
  <c r="N132" i="122"/>
  <c r="Y131" i="122"/>
  <c r="V131" i="122"/>
  <c r="U131" i="122"/>
  <c r="S131" i="122"/>
  <c r="R131" i="122"/>
  <c r="P131" i="122"/>
  <c r="O131" i="122"/>
  <c r="N131" i="122"/>
  <c r="Y130" i="122"/>
  <c r="V130" i="122"/>
  <c r="U130" i="122"/>
  <c r="S130" i="122"/>
  <c r="R130" i="122"/>
  <c r="P130" i="122"/>
  <c r="O130" i="122"/>
  <c r="N130" i="122"/>
  <c r="AD129" i="122"/>
  <c r="Y129" i="122"/>
  <c r="V129" i="122"/>
  <c r="U129" i="122"/>
  <c r="S129" i="122"/>
  <c r="R129" i="122"/>
  <c r="P129" i="122"/>
  <c r="O129" i="122"/>
  <c r="N129" i="122"/>
  <c r="M129" i="122"/>
  <c r="L129" i="122"/>
  <c r="K129" i="122"/>
  <c r="J129" i="122"/>
  <c r="I129" i="122"/>
  <c r="H129" i="122"/>
  <c r="G129" i="122"/>
  <c r="F129" i="122"/>
  <c r="E129" i="122"/>
  <c r="D129" i="122"/>
  <c r="Y127" i="122"/>
  <c r="V127" i="122"/>
  <c r="U127" i="122"/>
  <c r="S127" i="122"/>
  <c r="R127" i="122"/>
  <c r="P127" i="122"/>
  <c r="O127" i="122"/>
  <c r="N127" i="122"/>
  <c r="Y126" i="122"/>
  <c r="V126" i="122"/>
  <c r="U126" i="122"/>
  <c r="S126" i="122"/>
  <c r="R126" i="122"/>
  <c r="P126" i="122"/>
  <c r="O126" i="122"/>
  <c r="N126" i="122"/>
  <c r="Y125" i="122"/>
  <c r="V125" i="122"/>
  <c r="U125" i="122"/>
  <c r="S125" i="122"/>
  <c r="R125" i="122"/>
  <c r="P125" i="122"/>
  <c r="O125" i="122"/>
  <c r="N125" i="122"/>
  <c r="Y124" i="122"/>
  <c r="V124" i="122"/>
  <c r="U124" i="122"/>
  <c r="S124" i="122"/>
  <c r="R124" i="122"/>
  <c r="P124" i="122"/>
  <c r="O124" i="122"/>
  <c r="N124" i="122"/>
  <c r="Y123" i="122"/>
  <c r="V123" i="122"/>
  <c r="U123" i="122"/>
  <c r="S123" i="122"/>
  <c r="R123" i="122"/>
  <c r="P123" i="122"/>
  <c r="O123" i="122"/>
  <c r="N123" i="122"/>
  <c r="AD122" i="122"/>
  <c r="Y122" i="122"/>
  <c r="V122" i="122"/>
  <c r="U122" i="122"/>
  <c r="S122" i="122"/>
  <c r="R122" i="122"/>
  <c r="P122" i="122"/>
  <c r="O122" i="122"/>
  <c r="N122" i="122"/>
  <c r="M122" i="122"/>
  <c r="L122" i="122"/>
  <c r="K122" i="122"/>
  <c r="J122" i="122"/>
  <c r="I122" i="122"/>
  <c r="H122" i="122"/>
  <c r="G122" i="122"/>
  <c r="F122" i="122"/>
  <c r="E122" i="122"/>
  <c r="D122" i="122"/>
  <c r="Y120" i="122"/>
  <c r="V120" i="122"/>
  <c r="U120" i="122"/>
  <c r="S120" i="122"/>
  <c r="R120" i="122"/>
  <c r="P120" i="122"/>
  <c r="O120" i="122"/>
  <c r="N120" i="122"/>
  <c r="Y119" i="122"/>
  <c r="V119" i="122"/>
  <c r="U119" i="122"/>
  <c r="S119" i="122"/>
  <c r="R119" i="122"/>
  <c r="P119" i="122"/>
  <c r="O119" i="122"/>
  <c r="N119" i="122"/>
  <c r="Y118" i="122"/>
  <c r="V118" i="122"/>
  <c r="U118" i="122"/>
  <c r="S118" i="122"/>
  <c r="R118" i="122"/>
  <c r="P118" i="122"/>
  <c r="O118" i="122"/>
  <c r="N118" i="122"/>
  <c r="Y117" i="122"/>
  <c r="V117" i="122"/>
  <c r="U117" i="122"/>
  <c r="S117" i="122"/>
  <c r="R117" i="122"/>
  <c r="P117" i="122"/>
  <c r="O117" i="122"/>
  <c r="N117" i="122"/>
  <c r="Y116" i="122"/>
  <c r="V116" i="122"/>
  <c r="U116" i="122"/>
  <c r="S116" i="122"/>
  <c r="R116" i="122"/>
  <c r="P116" i="122"/>
  <c r="O116" i="122"/>
  <c r="N116" i="122"/>
  <c r="AD115" i="122"/>
  <c r="Y115" i="122"/>
  <c r="V115" i="122"/>
  <c r="U115" i="122"/>
  <c r="S115" i="122"/>
  <c r="R115" i="122"/>
  <c r="P115" i="122"/>
  <c r="O115" i="122"/>
  <c r="N115" i="122"/>
  <c r="M115" i="122"/>
  <c r="L115" i="122"/>
  <c r="K115" i="122"/>
  <c r="J115" i="122"/>
  <c r="I115" i="122"/>
  <c r="H115" i="122"/>
  <c r="G115" i="122"/>
  <c r="F115" i="122"/>
  <c r="E115" i="122"/>
  <c r="D115" i="122"/>
  <c r="N191" i="122" l="1"/>
  <c r="V191" i="122"/>
  <c r="Y191" i="122"/>
  <c r="S191" i="122"/>
  <c r="N261" i="122"/>
  <c r="N289" i="122"/>
  <c r="N303" i="122"/>
  <c r="N212" i="122"/>
  <c r="V212" i="122"/>
  <c r="O219" i="122"/>
  <c r="S303" i="122"/>
  <c r="N135" i="122"/>
  <c r="V135" i="122"/>
  <c r="S184" i="122"/>
  <c r="Y212" i="122"/>
  <c r="Y268" i="122"/>
  <c r="S128" i="122"/>
  <c r="N219" i="122"/>
  <c r="S268" i="122"/>
  <c r="Y121" i="122"/>
  <c r="S149" i="122"/>
  <c r="N156" i="122"/>
  <c r="V156" i="122"/>
  <c r="O163" i="122"/>
  <c r="Y177" i="122"/>
  <c r="S205" i="122"/>
  <c r="Y233" i="122"/>
  <c r="S261" i="122"/>
  <c r="V268" i="122"/>
  <c r="O275" i="122"/>
  <c r="Y289" i="122"/>
  <c r="S324" i="122"/>
  <c r="O156" i="122"/>
  <c r="Y226" i="122"/>
  <c r="Y170" i="122"/>
  <c r="N149" i="122"/>
  <c r="S121" i="122"/>
  <c r="S135" i="122"/>
  <c r="V142" i="122"/>
  <c r="N170" i="122"/>
  <c r="V198" i="122"/>
  <c r="Y219" i="122"/>
  <c r="Y156" i="122"/>
  <c r="S240" i="122"/>
  <c r="S156" i="122"/>
  <c r="Y128" i="122"/>
  <c r="N128" i="122"/>
  <c r="V128" i="122"/>
  <c r="Y149" i="122"/>
  <c r="N184" i="122"/>
  <c r="O247" i="122"/>
  <c r="V177" i="122"/>
  <c r="O184" i="122"/>
  <c r="Y198" i="122"/>
  <c r="N233" i="122"/>
  <c r="O142" i="122"/>
  <c r="O198" i="122"/>
  <c r="N121" i="122"/>
  <c r="O128" i="122"/>
  <c r="O121" i="122"/>
  <c r="V149" i="122"/>
  <c r="S142" i="122"/>
  <c r="S198" i="122"/>
  <c r="N205" i="122"/>
  <c r="V205" i="122"/>
  <c r="O212" i="122"/>
  <c r="O254" i="122"/>
  <c r="S254" i="122"/>
  <c r="V261" i="122"/>
  <c r="O268" i="122"/>
  <c r="Y282" i="122"/>
  <c r="O310" i="122"/>
  <c r="S310" i="122"/>
  <c r="N317" i="122"/>
  <c r="V317" i="122"/>
  <c r="N324" i="122"/>
  <c r="N142" i="122"/>
  <c r="O149" i="122"/>
  <c r="Y163" i="122"/>
  <c r="N198" i="122"/>
  <c r="O205" i="122"/>
  <c r="S247" i="122"/>
  <c r="N254" i="122"/>
  <c r="V254" i="122"/>
  <c r="O261" i="122"/>
  <c r="Y275" i="122"/>
  <c r="S289" i="122"/>
  <c r="V310" i="122"/>
  <c r="O324" i="122"/>
  <c r="V121" i="122"/>
  <c r="O135" i="122"/>
  <c r="S505" i="122"/>
  <c r="S519" i="122"/>
  <c r="N526" i="122"/>
  <c r="V526" i="122"/>
  <c r="V184" i="122"/>
  <c r="O533" i="122"/>
  <c r="O185" i="122"/>
  <c r="Y533" i="122"/>
  <c r="Y547" i="122"/>
  <c r="Y205" i="122"/>
  <c r="S561" i="122"/>
  <c r="N568" i="122"/>
  <c r="N221" i="122"/>
  <c r="N226" i="122" s="1"/>
  <c r="S233" i="122"/>
  <c r="N582" i="122"/>
  <c r="N234" i="122"/>
  <c r="V582" i="122"/>
  <c r="V240" i="122"/>
  <c r="O589" i="122"/>
  <c r="Y603" i="122"/>
  <c r="Y261" i="122"/>
  <c r="N610" i="122"/>
  <c r="N264" i="122"/>
  <c r="N268" i="122" s="1"/>
  <c r="S617" i="122"/>
  <c r="S275" i="122"/>
  <c r="O631" i="122"/>
  <c r="O284" i="122"/>
  <c r="O289" i="122" s="1"/>
  <c r="N638" i="122"/>
  <c r="N290" i="122"/>
  <c r="V638" i="122"/>
  <c r="V296" i="122"/>
  <c r="O645" i="122"/>
  <c r="O297" i="122"/>
  <c r="N652" i="122"/>
  <c r="N307" i="122"/>
  <c r="N310" i="122" s="1"/>
  <c r="Y659" i="122"/>
  <c r="Y317" i="122"/>
  <c r="Y324" i="122"/>
  <c r="N247" i="122"/>
  <c r="S296" i="122"/>
  <c r="Y512" i="122"/>
  <c r="S170" i="122"/>
  <c r="N177" i="122"/>
  <c r="S226" i="122"/>
  <c r="V233" i="122"/>
  <c r="O240" i="122"/>
  <c r="Y254" i="122"/>
  <c r="S282" i="122"/>
  <c r="V631" i="122"/>
  <c r="V289" i="122"/>
  <c r="O638" i="122"/>
  <c r="O290" i="122"/>
  <c r="Y652" i="122"/>
  <c r="Y310" i="122"/>
  <c r="V666" i="122"/>
  <c r="V324" i="122"/>
  <c r="S177" i="122"/>
  <c r="Y135" i="122"/>
  <c r="V170" i="122"/>
  <c r="O177" i="122"/>
  <c r="S219" i="122"/>
  <c r="V226" i="122"/>
  <c r="O233" i="122"/>
  <c r="Y247" i="122"/>
  <c r="N282" i="122"/>
  <c r="V282" i="122"/>
  <c r="Y303" i="122"/>
  <c r="S317" i="122"/>
  <c r="O317" i="122"/>
  <c r="V247" i="122"/>
  <c r="V645" i="122"/>
  <c r="V303" i="122"/>
  <c r="Y142" i="122"/>
  <c r="N163" i="122"/>
  <c r="V163" i="122"/>
  <c r="O170" i="122"/>
  <c r="Y184" i="122"/>
  <c r="S212" i="122"/>
  <c r="V219" i="122"/>
  <c r="O226" i="122"/>
  <c r="Y240" i="122"/>
  <c r="N275" i="122"/>
  <c r="V275" i="122"/>
  <c r="O282" i="122"/>
  <c r="Y296" i="122"/>
  <c r="S163" i="122"/>
  <c r="K77" i="123"/>
  <c r="V93" i="123"/>
  <c r="L93" i="123"/>
  <c r="S85" i="123"/>
  <c r="V77" i="123"/>
  <c r="V85" i="123"/>
  <c r="S77" i="123"/>
  <c r="L77" i="123"/>
  <c r="L85" i="123"/>
  <c r="S93" i="123"/>
  <c r="K85" i="123"/>
  <c r="K93" i="123"/>
  <c r="Y470" i="122"/>
  <c r="O624" i="122"/>
  <c r="Y638" i="122"/>
  <c r="S652" i="122"/>
  <c r="S477" i="122"/>
  <c r="Y666" i="122"/>
  <c r="Y624" i="122"/>
  <c r="V659" i="122"/>
  <c r="N666" i="122"/>
  <c r="S463" i="122"/>
  <c r="N484" i="122"/>
  <c r="V484" i="122"/>
  <c r="O491" i="122"/>
  <c r="N540" i="122"/>
  <c r="O547" i="122"/>
  <c r="S575" i="122"/>
  <c r="N596" i="122"/>
  <c r="O603" i="122"/>
  <c r="S631" i="122"/>
  <c r="O659" i="122"/>
  <c r="N477" i="122"/>
  <c r="V477" i="122"/>
  <c r="O484" i="122"/>
  <c r="Y498" i="122"/>
  <c r="S512" i="122"/>
  <c r="N533" i="122"/>
  <c r="V533" i="122"/>
  <c r="O540" i="122"/>
  <c r="Y554" i="122"/>
  <c r="S568" i="122"/>
  <c r="N589" i="122"/>
  <c r="V589" i="122"/>
  <c r="O596" i="122"/>
  <c r="Y596" i="122"/>
  <c r="V603" i="122"/>
  <c r="Y610" i="122"/>
  <c r="S624" i="122"/>
  <c r="N645" i="122"/>
  <c r="N470" i="122"/>
  <c r="O477" i="122"/>
  <c r="V463" i="122"/>
  <c r="V519" i="122"/>
  <c r="S484" i="122"/>
  <c r="Y463" i="122"/>
  <c r="V491" i="122"/>
  <c r="V547" i="122"/>
  <c r="Y568" i="122"/>
  <c r="V470" i="122"/>
  <c r="Y491" i="122"/>
  <c r="O470" i="122"/>
  <c r="V575" i="122"/>
  <c r="O582" i="122"/>
  <c r="N519" i="122"/>
  <c r="Y540" i="122"/>
  <c r="O463" i="122"/>
  <c r="Y477" i="122"/>
  <c r="S491" i="122"/>
  <c r="N512" i="122"/>
  <c r="O519" i="122"/>
  <c r="S547" i="122"/>
  <c r="O575" i="122"/>
  <c r="Y589" i="122"/>
  <c r="S603" i="122"/>
  <c r="N624" i="122"/>
  <c r="Y645" i="122"/>
  <c r="S659" i="122"/>
  <c r="Y484" i="122"/>
  <c r="S498" i="122"/>
  <c r="O526" i="122"/>
  <c r="N505" i="122"/>
  <c r="V505" i="122"/>
  <c r="O512" i="122"/>
  <c r="Y526" i="122"/>
  <c r="V561" i="122"/>
  <c r="Y582" i="122"/>
  <c r="V617" i="122"/>
  <c r="N463" i="122"/>
  <c r="N498" i="122"/>
  <c r="V498" i="122"/>
  <c r="O505" i="122"/>
  <c r="S533" i="122"/>
  <c r="N554" i="122"/>
  <c r="V554" i="122"/>
  <c r="O561" i="122"/>
  <c r="S589" i="122"/>
  <c r="V610" i="122"/>
  <c r="O617" i="122"/>
  <c r="S645" i="122"/>
  <c r="O652" i="122"/>
  <c r="S554" i="122"/>
  <c r="N575" i="122"/>
  <c r="S610" i="122"/>
  <c r="N631" i="122"/>
  <c r="V512" i="122"/>
  <c r="V568" i="122"/>
  <c r="V624" i="122"/>
  <c r="S666" i="122"/>
  <c r="S540" i="122"/>
  <c r="N561" i="122"/>
  <c r="O568" i="122"/>
  <c r="S596" i="122"/>
  <c r="N617" i="122"/>
  <c r="Y519" i="122"/>
  <c r="Y575" i="122"/>
  <c r="Y631" i="122"/>
  <c r="S470" i="122"/>
  <c r="N491" i="122"/>
  <c r="O498" i="122"/>
  <c r="S526" i="122"/>
  <c r="N547" i="122"/>
  <c r="O554" i="122"/>
  <c r="S582" i="122"/>
  <c r="N603" i="122"/>
  <c r="O610" i="122"/>
  <c r="S638" i="122"/>
  <c r="N659" i="122"/>
  <c r="Y505" i="122"/>
  <c r="V540" i="122"/>
  <c r="Y561" i="122"/>
  <c r="V596" i="122"/>
  <c r="Y617" i="122"/>
  <c r="V652" i="122"/>
  <c r="O666" i="122"/>
  <c r="N296" i="122" l="1"/>
  <c r="O191" i="122"/>
  <c r="O296" i="122"/>
  <c r="N240" i="122"/>
  <c r="O303" i="122"/>
  <c r="F40" i="126" l="1"/>
  <c r="F28" i="102"/>
  <c r="E28" i="102"/>
  <c r="F129" i="115"/>
  <c r="E129" i="115"/>
  <c r="G40" i="126"/>
  <c r="K58" i="125" l="1"/>
  <c r="J57" i="125"/>
  <c r="I58" i="125"/>
  <c r="L58" i="125"/>
  <c r="J58" i="125"/>
  <c r="L57" i="125"/>
  <c r="M58" i="125"/>
  <c r="M57" i="125"/>
  <c r="K57" i="125"/>
  <c r="K59" i="125" s="1"/>
  <c r="K63" i="125" s="1"/>
  <c r="I57" i="125"/>
  <c r="A45" i="124"/>
  <c r="A41" i="124"/>
  <c r="Y113" i="122"/>
  <c r="V113" i="122"/>
  <c r="U113" i="122"/>
  <c r="S113" i="122"/>
  <c r="R113" i="122"/>
  <c r="Y112" i="122"/>
  <c r="V112" i="122"/>
  <c r="U112" i="122"/>
  <c r="S112" i="122"/>
  <c r="R112" i="122"/>
  <c r="Y111" i="122"/>
  <c r="V111" i="122"/>
  <c r="U111" i="122"/>
  <c r="S111" i="122"/>
  <c r="R111" i="122"/>
  <c r="Y110" i="122"/>
  <c r="V110" i="122"/>
  <c r="U110" i="122"/>
  <c r="S110" i="122"/>
  <c r="R110" i="122"/>
  <c r="Y109" i="122"/>
  <c r="V109" i="122"/>
  <c r="U109" i="122"/>
  <c r="S109" i="122"/>
  <c r="R109" i="122"/>
  <c r="AD108" i="122"/>
  <c r="Y108" i="122"/>
  <c r="V108" i="122"/>
  <c r="U108" i="122"/>
  <c r="S108" i="122"/>
  <c r="R108" i="122"/>
  <c r="Y106" i="122"/>
  <c r="V106" i="122"/>
  <c r="U106" i="122"/>
  <c r="S106" i="122"/>
  <c r="R106" i="122"/>
  <c r="Y105" i="122"/>
  <c r="V105" i="122"/>
  <c r="U105" i="122"/>
  <c r="S105" i="122"/>
  <c r="R105" i="122"/>
  <c r="Y104" i="122"/>
  <c r="V104" i="122"/>
  <c r="U104" i="122"/>
  <c r="S104" i="122"/>
  <c r="R104" i="122"/>
  <c r="Y103" i="122"/>
  <c r="V103" i="122"/>
  <c r="U103" i="122"/>
  <c r="S103" i="122"/>
  <c r="R103" i="122"/>
  <c r="Y102" i="122"/>
  <c r="V102" i="122"/>
  <c r="U102" i="122"/>
  <c r="S102" i="122"/>
  <c r="R102" i="122"/>
  <c r="AD101" i="122"/>
  <c r="Y101" i="122"/>
  <c r="V101" i="122"/>
  <c r="U101" i="122"/>
  <c r="S101" i="122"/>
  <c r="R101" i="122"/>
  <c r="Y99" i="122"/>
  <c r="V99" i="122"/>
  <c r="U99" i="122"/>
  <c r="S99" i="122"/>
  <c r="R99" i="122"/>
  <c r="Y98" i="122"/>
  <c r="V98" i="122"/>
  <c r="U98" i="122"/>
  <c r="S98" i="122"/>
  <c r="R98" i="122"/>
  <c r="Y97" i="122"/>
  <c r="V97" i="122"/>
  <c r="U97" i="122"/>
  <c r="S97" i="122"/>
  <c r="R97" i="122"/>
  <c r="Y96" i="122"/>
  <c r="V96" i="122"/>
  <c r="U96" i="122"/>
  <c r="S96" i="122"/>
  <c r="R96" i="122"/>
  <c r="Y95" i="122"/>
  <c r="V95" i="122"/>
  <c r="U95" i="122"/>
  <c r="S95" i="122"/>
  <c r="R95" i="122"/>
  <c r="AD94" i="122"/>
  <c r="Y94" i="122"/>
  <c r="V94" i="122"/>
  <c r="U94" i="122"/>
  <c r="S94" i="122"/>
  <c r="R94" i="122"/>
  <c r="Y92" i="122"/>
  <c r="V92" i="122"/>
  <c r="U92" i="122"/>
  <c r="S92" i="122"/>
  <c r="R92" i="122"/>
  <c r="Y91" i="122"/>
  <c r="V91" i="122"/>
  <c r="U91" i="122"/>
  <c r="S91" i="122"/>
  <c r="R91" i="122"/>
  <c r="Y90" i="122"/>
  <c r="V90" i="122"/>
  <c r="U90" i="122"/>
  <c r="S90" i="122"/>
  <c r="R90" i="122"/>
  <c r="Y89" i="122"/>
  <c r="V89" i="122"/>
  <c r="U89" i="122"/>
  <c r="S89" i="122"/>
  <c r="R89" i="122"/>
  <c r="Y88" i="122"/>
  <c r="V88" i="122"/>
  <c r="U88" i="122"/>
  <c r="S88" i="122"/>
  <c r="R88" i="122"/>
  <c r="AD87" i="122"/>
  <c r="Y87" i="122"/>
  <c r="V87" i="122"/>
  <c r="U87" i="122"/>
  <c r="S87" i="122"/>
  <c r="R87" i="122"/>
  <c r="Y85" i="122"/>
  <c r="V85" i="122"/>
  <c r="U85" i="122"/>
  <c r="S85" i="122"/>
  <c r="R85" i="122"/>
  <c r="Y84" i="122"/>
  <c r="V84" i="122"/>
  <c r="U84" i="122"/>
  <c r="S84" i="122"/>
  <c r="R84" i="122"/>
  <c r="Y83" i="122"/>
  <c r="V83" i="122"/>
  <c r="U83" i="122"/>
  <c r="S83" i="122"/>
  <c r="R83" i="122"/>
  <c r="Y82" i="122"/>
  <c r="V82" i="122"/>
  <c r="U82" i="122"/>
  <c r="S82" i="122"/>
  <c r="R82" i="122"/>
  <c r="Y81" i="122"/>
  <c r="V81" i="122"/>
  <c r="U81" i="122"/>
  <c r="S81" i="122"/>
  <c r="R81" i="122"/>
  <c r="AD80" i="122"/>
  <c r="Y80" i="122"/>
  <c r="V80" i="122"/>
  <c r="U80" i="122"/>
  <c r="S80" i="122"/>
  <c r="R80" i="122"/>
  <c r="Y78" i="122"/>
  <c r="V78" i="122"/>
  <c r="U78" i="122"/>
  <c r="S78" i="122"/>
  <c r="R78" i="122"/>
  <c r="Y77" i="122"/>
  <c r="V77" i="122"/>
  <c r="U77" i="122"/>
  <c r="S77" i="122"/>
  <c r="R77" i="122"/>
  <c r="Y76" i="122"/>
  <c r="V76" i="122"/>
  <c r="U76" i="122"/>
  <c r="S76" i="122"/>
  <c r="R76" i="122"/>
  <c r="Y75" i="122"/>
  <c r="V75" i="122"/>
  <c r="U75" i="122"/>
  <c r="S75" i="122"/>
  <c r="R75" i="122"/>
  <c r="Y74" i="122"/>
  <c r="V74" i="122"/>
  <c r="U74" i="122"/>
  <c r="S74" i="122"/>
  <c r="R74" i="122"/>
  <c r="AD73" i="122"/>
  <c r="Y73" i="122"/>
  <c r="V73" i="122"/>
  <c r="U73" i="122"/>
  <c r="S73" i="122"/>
  <c r="R73" i="122"/>
  <c r="Y71" i="122"/>
  <c r="V71" i="122"/>
  <c r="U71" i="122"/>
  <c r="S71" i="122"/>
  <c r="R71" i="122"/>
  <c r="Y70" i="122"/>
  <c r="V70" i="122"/>
  <c r="U70" i="122"/>
  <c r="S70" i="122"/>
  <c r="R70" i="122"/>
  <c r="Y69" i="122"/>
  <c r="V69" i="122"/>
  <c r="U69" i="122"/>
  <c r="S69" i="122"/>
  <c r="R69" i="122"/>
  <c r="Y68" i="122"/>
  <c r="V68" i="122"/>
  <c r="U68" i="122"/>
  <c r="S68" i="122"/>
  <c r="R68" i="122"/>
  <c r="Y67" i="122"/>
  <c r="V67" i="122"/>
  <c r="U67" i="122"/>
  <c r="S67" i="122"/>
  <c r="R67" i="122"/>
  <c r="AD66" i="122"/>
  <c r="Y66" i="122"/>
  <c r="V66" i="122"/>
  <c r="U66" i="122"/>
  <c r="S66" i="122"/>
  <c r="R66" i="122"/>
  <c r="Y64" i="122"/>
  <c r="V64" i="122"/>
  <c r="U64" i="122"/>
  <c r="S64" i="122"/>
  <c r="R64" i="122"/>
  <c r="Y63" i="122"/>
  <c r="V63" i="122"/>
  <c r="U63" i="122"/>
  <c r="S63" i="122"/>
  <c r="R63" i="122"/>
  <c r="Y62" i="122"/>
  <c r="V62" i="122"/>
  <c r="U62" i="122"/>
  <c r="S62" i="122"/>
  <c r="R62" i="122"/>
  <c r="Y61" i="122"/>
  <c r="V61" i="122"/>
  <c r="U61" i="122"/>
  <c r="S61" i="122"/>
  <c r="R61" i="122"/>
  <c r="Y60" i="122"/>
  <c r="V60" i="122"/>
  <c r="U60" i="122"/>
  <c r="S60" i="122"/>
  <c r="R60" i="122"/>
  <c r="AD59" i="122"/>
  <c r="Y59" i="122"/>
  <c r="V59" i="122"/>
  <c r="U59" i="122"/>
  <c r="S59" i="122"/>
  <c r="R59" i="122"/>
  <c r="Y57" i="122"/>
  <c r="V57" i="122"/>
  <c r="U57" i="122"/>
  <c r="S57" i="122"/>
  <c r="R57" i="122"/>
  <c r="Y56" i="122"/>
  <c r="V56" i="122"/>
  <c r="U56" i="122"/>
  <c r="S56" i="122"/>
  <c r="R56" i="122"/>
  <c r="Y55" i="122"/>
  <c r="V55" i="122"/>
  <c r="U55" i="122"/>
  <c r="S55" i="122"/>
  <c r="R55" i="122"/>
  <c r="Y54" i="122"/>
  <c r="V54" i="122"/>
  <c r="U54" i="122"/>
  <c r="S54" i="122"/>
  <c r="R54" i="122"/>
  <c r="Y53" i="122"/>
  <c r="V53" i="122"/>
  <c r="U53" i="122"/>
  <c r="S53" i="122"/>
  <c r="R53" i="122"/>
  <c r="AD52" i="122"/>
  <c r="Y52" i="122"/>
  <c r="V52" i="122"/>
  <c r="U52" i="122"/>
  <c r="S52" i="122"/>
  <c r="R52" i="122"/>
  <c r="Y50" i="122"/>
  <c r="V50" i="122"/>
  <c r="U50" i="122"/>
  <c r="S50" i="122"/>
  <c r="R50" i="122"/>
  <c r="Y49" i="122"/>
  <c r="V49" i="122"/>
  <c r="U49" i="122"/>
  <c r="S49" i="122"/>
  <c r="R49" i="122"/>
  <c r="Y48" i="122"/>
  <c r="V48" i="122"/>
  <c r="U48" i="122"/>
  <c r="S48" i="122"/>
  <c r="R48" i="122"/>
  <c r="Y47" i="122"/>
  <c r="V47" i="122"/>
  <c r="U47" i="122"/>
  <c r="S47" i="122"/>
  <c r="R47" i="122"/>
  <c r="Y46" i="122"/>
  <c r="V46" i="122"/>
  <c r="U46" i="122"/>
  <c r="S46" i="122"/>
  <c r="R46" i="122"/>
  <c r="AD45" i="122"/>
  <c r="Y45" i="122"/>
  <c r="V45" i="122"/>
  <c r="U45" i="122"/>
  <c r="S45" i="122"/>
  <c r="R45" i="122"/>
  <c r="Y43" i="122"/>
  <c r="V43" i="122"/>
  <c r="U43" i="122"/>
  <c r="S43" i="122"/>
  <c r="R43" i="122"/>
  <c r="Y42" i="122"/>
  <c r="V42" i="122"/>
  <c r="U42" i="122"/>
  <c r="S42" i="122"/>
  <c r="R42" i="122"/>
  <c r="Y41" i="122"/>
  <c r="V41" i="122"/>
  <c r="U41" i="122"/>
  <c r="S41" i="122"/>
  <c r="R41" i="122"/>
  <c r="Y40" i="122"/>
  <c r="V40" i="122"/>
  <c r="U40" i="122"/>
  <c r="S40" i="122"/>
  <c r="R40" i="122"/>
  <c r="Y39" i="122"/>
  <c r="V39" i="122"/>
  <c r="U39" i="122"/>
  <c r="S39" i="122"/>
  <c r="R39" i="122"/>
  <c r="AD38" i="122"/>
  <c r="Y38" i="122"/>
  <c r="V38" i="122"/>
  <c r="U38" i="122"/>
  <c r="S38" i="122"/>
  <c r="R38" i="122"/>
  <c r="Y36" i="122"/>
  <c r="V36" i="122"/>
  <c r="U36" i="122"/>
  <c r="S36" i="122"/>
  <c r="R36" i="122"/>
  <c r="Y35" i="122"/>
  <c r="V35" i="122"/>
  <c r="U35" i="122"/>
  <c r="S35" i="122"/>
  <c r="R35" i="122"/>
  <c r="Y34" i="122"/>
  <c r="V34" i="122"/>
  <c r="U34" i="122"/>
  <c r="S34" i="122"/>
  <c r="R34" i="122"/>
  <c r="Y33" i="122"/>
  <c r="V33" i="122"/>
  <c r="U33" i="122"/>
  <c r="S33" i="122"/>
  <c r="R33" i="122"/>
  <c r="Y32" i="122"/>
  <c r="V32" i="122"/>
  <c r="U32" i="122"/>
  <c r="S32" i="122"/>
  <c r="R32" i="122"/>
  <c r="AD31" i="122"/>
  <c r="Y31" i="122"/>
  <c r="V31" i="122"/>
  <c r="U31" i="122"/>
  <c r="S31" i="122"/>
  <c r="R31" i="122"/>
  <c r="Y29" i="122"/>
  <c r="V29" i="122"/>
  <c r="U29" i="122"/>
  <c r="S29" i="122"/>
  <c r="R29" i="122"/>
  <c r="Y28" i="122"/>
  <c r="V28" i="122"/>
  <c r="U28" i="122"/>
  <c r="S28" i="122"/>
  <c r="R28" i="122"/>
  <c r="Y27" i="122"/>
  <c r="V27" i="122"/>
  <c r="U27" i="122"/>
  <c r="S27" i="122"/>
  <c r="R27" i="122"/>
  <c r="Y26" i="122"/>
  <c r="V26" i="122"/>
  <c r="U26" i="122"/>
  <c r="S26" i="122"/>
  <c r="R26" i="122"/>
  <c r="Y25" i="122"/>
  <c r="V25" i="122"/>
  <c r="U25" i="122"/>
  <c r="S25" i="122"/>
  <c r="R25" i="122"/>
  <c r="AD24" i="122"/>
  <c r="Y24" i="122"/>
  <c r="V24" i="122"/>
  <c r="U24" i="122"/>
  <c r="S24" i="122"/>
  <c r="R24" i="122"/>
  <c r="Y22" i="122"/>
  <c r="V22" i="122"/>
  <c r="U22" i="122"/>
  <c r="S22" i="122"/>
  <c r="R22" i="122"/>
  <c r="Y21" i="122"/>
  <c r="V21" i="122"/>
  <c r="U21" i="122"/>
  <c r="S21" i="122"/>
  <c r="R21" i="122"/>
  <c r="Y20" i="122"/>
  <c r="V20" i="122"/>
  <c r="U20" i="122"/>
  <c r="S20" i="122"/>
  <c r="R20" i="122"/>
  <c r="Y19" i="122"/>
  <c r="V19" i="122"/>
  <c r="U19" i="122"/>
  <c r="S19" i="122"/>
  <c r="R19" i="122"/>
  <c r="Y18" i="122"/>
  <c r="V18" i="122"/>
  <c r="U18" i="122"/>
  <c r="S18" i="122"/>
  <c r="R18" i="122"/>
  <c r="AD17" i="122"/>
  <c r="Y17" i="122"/>
  <c r="V17" i="122"/>
  <c r="U17" i="122"/>
  <c r="S17" i="122"/>
  <c r="R17" i="122"/>
  <c r="L59" i="125" l="1"/>
  <c r="L63" i="125" s="1"/>
  <c r="J59" i="125"/>
  <c r="J63" i="125" s="1"/>
  <c r="G59" i="124"/>
  <c r="M59" i="124"/>
  <c r="A59" i="124" s="1"/>
  <c r="N379" i="122"/>
  <c r="V379" i="122"/>
  <c r="O386" i="122"/>
  <c r="Y400" i="122"/>
  <c r="S414" i="122"/>
  <c r="N435" i="122"/>
  <c r="O442" i="122"/>
  <c r="S358" i="122"/>
  <c r="A42" i="124"/>
  <c r="A43" i="124"/>
  <c r="A39" i="124"/>
  <c r="A40" i="124"/>
  <c r="A44" i="124"/>
  <c r="O414" i="122"/>
  <c r="Y428" i="122"/>
  <c r="M59" i="125"/>
  <c r="M63" i="125" s="1"/>
  <c r="Y358" i="122"/>
  <c r="S428" i="122"/>
  <c r="V435" i="122"/>
  <c r="N372" i="122"/>
  <c r="V372" i="122"/>
  <c r="S407" i="122"/>
  <c r="N428" i="122"/>
  <c r="V428" i="122"/>
  <c r="O435" i="122"/>
  <c r="Y449" i="122"/>
  <c r="N365" i="122"/>
  <c r="V365" i="122"/>
  <c r="N421" i="122"/>
  <c r="O358" i="122"/>
  <c r="N407" i="122"/>
  <c r="V407" i="122"/>
  <c r="I59" i="125"/>
  <c r="I63" i="125" s="1"/>
  <c r="Y456" i="122"/>
  <c r="O379" i="122"/>
  <c r="Y393" i="122"/>
  <c r="N358" i="122"/>
  <c r="V358" i="122"/>
  <c r="Y365" i="122"/>
  <c r="S379" i="122"/>
  <c r="N400" i="122"/>
  <c r="V400" i="122"/>
  <c r="O407" i="122"/>
  <c r="Y421" i="122"/>
  <c r="S435" i="122"/>
  <c r="O372" i="122"/>
  <c r="Y386" i="122"/>
  <c r="S400" i="122"/>
  <c r="V421" i="122"/>
  <c r="O428" i="122"/>
  <c r="Y442" i="122"/>
  <c r="S456" i="122"/>
  <c r="O365" i="122"/>
  <c r="Y379" i="122"/>
  <c r="S393" i="122"/>
  <c r="N414" i="122"/>
  <c r="V414" i="122"/>
  <c r="O421" i="122"/>
  <c r="Y435" i="122"/>
  <c r="S449" i="122"/>
  <c r="Y372" i="122"/>
  <c r="S386" i="122"/>
  <c r="S442" i="122"/>
  <c r="N456" i="122"/>
  <c r="V456" i="122"/>
  <c r="S372" i="122"/>
  <c r="N393" i="122"/>
  <c r="V393" i="122"/>
  <c r="O400" i="122"/>
  <c r="Y414" i="122"/>
  <c r="N449" i="122"/>
  <c r="V449" i="122"/>
  <c r="O456" i="122"/>
  <c r="S365" i="122"/>
  <c r="N386" i="122"/>
  <c r="V386" i="122"/>
  <c r="O393" i="122"/>
  <c r="Y407" i="122"/>
  <c r="S421" i="122"/>
  <c r="N442" i="122"/>
  <c r="V442" i="122"/>
  <c r="O449" i="122"/>
  <c r="AJ672" i="122" l="1"/>
  <c r="D40" i="25"/>
  <c r="D32" i="28"/>
  <c r="F24" i="127"/>
  <c r="F23" i="127"/>
  <c r="F22" i="127"/>
  <c r="F21" i="127"/>
  <c r="F20" i="127"/>
  <c r="F19" i="127"/>
  <c r="F18" i="127"/>
  <c r="F17" i="127"/>
  <c r="F16" i="127"/>
  <c r="F15" i="127"/>
  <c r="F14" i="127"/>
  <c r="F13" i="127"/>
  <c r="F12" i="127"/>
  <c r="F11" i="127"/>
  <c r="F10" i="127"/>
  <c r="F9" i="127"/>
  <c r="D24" i="127"/>
  <c r="D23" i="127"/>
  <c r="D22" i="127"/>
  <c r="D21" i="127"/>
  <c r="D20" i="127"/>
  <c r="D19" i="127"/>
  <c r="D18" i="127"/>
  <c r="D17" i="127"/>
  <c r="D16" i="127"/>
  <c r="D15" i="127"/>
  <c r="D14" i="127"/>
  <c r="D13" i="127"/>
  <c r="D12" i="127"/>
  <c r="D11" i="127"/>
  <c r="D10" i="127"/>
  <c r="D9" i="127"/>
  <c r="G57" i="127"/>
  <c r="H57" i="127" s="1"/>
  <c r="G56" i="127"/>
  <c r="H56" i="127" s="1"/>
  <c r="G55" i="127"/>
  <c r="H55" i="127" s="1"/>
  <c r="G54" i="127"/>
  <c r="H54" i="127" s="1"/>
  <c r="G53" i="127"/>
  <c r="H53" i="127" s="1"/>
  <c r="G52" i="127"/>
  <c r="H52" i="127" s="1"/>
  <c r="G51" i="127"/>
  <c r="H51" i="127" s="1"/>
  <c r="G50" i="127"/>
  <c r="H50" i="127" s="1"/>
  <c r="G49" i="127"/>
  <c r="H49" i="127" s="1"/>
  <c r="G48" i="127"/>
  <c r="H48" i="127" s="1"/>
  <c r="G47" i="127"/>
  <c r="H47" i="127" s="1"/>
  <c r="G46" i="127"/>
  <c r="H46" i="127" s="1"/>
  <c r="G45" i="127"/>
  <c r="H45" i="127" s="1"/>
  <c r="G44" i="127"/>
  <c r="H44" i="127" s="1"/>
  <c r="G43" i="127"/>
  <c r="H43" i="127" s="1"/>
  <c r="G42" i="127"/>
  <c r="H42" i="127" s="1"/>
  <c r="G41" i="127"/>
  <c r="H41" i="127" s="1"/>
  <c r="G40" i="127"/>
  <c r="H40" i="127" s="1"/>
  <c r="G39" i="127"/>
  <c r="H39" i="127" s="1"/>
  <c r="H38" i="127"/>
  <c r="C5" i="127"/>
  <c r="B3" i="127"/>
  <c r="D63" i="116" l="1"/>
  <c r="D62" i="116"/>
  <c r="D61" i="116"/>
  <c r="D60" i="116"/>
  <c r="D14" i="28" l="1"/>
  <c r="D22" i="25"/>
  <c r="K38" i="126" l="1"/>
  <c r="I38" i="126"/>
  <c r="H38" i="126"/>
  <c r="L38" i="126"/>
  <c r="J38" i="126"/>
  <c r="F38" i="126"/>
  <c r="F42" i="126" s="1"/>
  <c r="L28" i="126"/>
  <c r="K28" i="126"/>
  <c r="J28" i="126"/>
  <c r="I28" i="126"/>
  <c r="H28" i="126"/>
  <c r="G28" i="126"/>
  <c r="F28" i="126"/>
  <c r="L9" i="126"/>
  <c r="K9" i="126"/>
  <c r="J9" i="126"/>
  <c r="I9" i="126"/>
  <c r="H9" i="126"/>
  <c r="G9" i="126"/>
  <c r="F9" i="126"/>
  <c r="F8" i="126"/>
  <c r="D7" i="126"/>
  <c r="D26" i="126" s="1"/>
  <c r="C5" i="126"/>
  <c r="B3" i="126"/>
  <c r="G38" i="126" l="1"/>
  <c r="G42" i="126" s="1"/>
  <c r="O32" i="100" l="1"/>
  <c r="N32" i="100"/>
  <c r="D17" i="115" l="1"/>
  <c r="D16" i="115"/>
  <c r="D15" i="115"/>
  <c r="D14" i="115"/>
  <c r="D13" i="115"/>
  <c r="D12" i="115"/>
  <c r="D11" i="115"/>
  <c r="F20" i="125" l="1"/>
  <c r="E20" i="125"/>
  <c r="D20" i="125"/>
  <c r="F127" i="115" l="1"/>
  <c r="F131" i="115" s="1"/>
  <c r="E127" i="115"/>
  <c r="E131" i="115" s="1"/>
  <c r="G57" i="125"/>
  <c r="H58" i="125"/>
  <c r="H57" i="125"/>
  <c r="G58" i="125"/>
  <c r="G59" i="125" l="1"/>
  <c r="G63" i="125" s="1"/>
  <c r="H59" i="125"/>
  <c r="H63" i="125" s="1"/>
  <c r="A63" i="125" l="1"/>
  <c r="H48" i="116"/>
  <c r="G48" i="116"/>
  <c r="F48" i="116"/>
  <c r="L52" i="116"/>
  <c r="K52" i="116"/>
  <c r="J52" i="116"/>
  <c r="I52" i="116"/>
  <c r="H52" i="116"/>
  <c r="G52" i="116"/>
  <c r="F52" i="116"/>
  <c r="L48" i="116"/>
  <c r="K48" i="116"/>
  <c r="J48" i="116"/>
  <c r="I48" i="116"/>
  <c r="A52" i="116" l="1"/>
  <c r="Q31" i="100" l="1"/>
  <c r="P31" i="100"/>
  <c r="Q29" i="100"/>
  <c r="P29" i="100"/>
  <c r="Q28" i="100"/>
  <c r="P28" i="100"/>
  <c r="Q27" i="100"/>
  <c r="P27" i="100"/>
  <c r="Q26" i="100"/>
  <c r="P26" i="100"/>
  <c r="A26" i="100" l="1"/>
  <c r="A28" i="100"/>
  <c r="A27" i="100"/>
  <c r="F30" i="101"/>
  <c r="Q30" i="100"/>
  <c r="E30" i="101"/>
  <c r="P30" i="100"/>
  <c r="A31" i="100"/>
  <c r="A29" i="100"/>
  <c r="A30" i="100" l="1"/>
  <c r="E104" i="116" l="1"/>
  <c r="E103" i="116"/>
  <c r="E102" i="116"/>
  <c r="E101" i="116"/>
  <c r="E100" i="116"/>
  <c r="E99" i="116"/>
  <c r="E98" i="116"/>
  <c r="E97" i="116"/>
  <c r="E96" i="116"/>
  <c r="D104" i="116"/>
  <c r="D103" i="116"/>
  <c r="D102" i="116"/>
  <c r="D101" i="116"/>
  <c r="D100" i="116"/>
  <c r="D99" i="116"/>
  <c r="D98" i="116"/>
  <c r="D97" i="116"/>
  <c r="D96" i="116"/>
  <c r="H105" i="116"/>
  <c r="H108" i="116" s="1"/>
  <c r="I104" i="116"/>
  <c r="K104" i="116" s="1"/>
  <c r="I103" i="116"/>
  <c r="K103" i="116" s="1"/>
  <c r="I102" i="116"/>
  <c r="K102" i="116" s="1"/>
  <c r="I101" i="116"/>
  <c r="K101" i="116" s="1"/>
  <c r="I100" i="116"/>
  <c r="K100" i="116" s="1"/>
  <c r="I99" i="116"/>
  <c r="K99" i="116" s="1"/>
  <c r="I98" i="116"/>
  <c r="K98" i="116" s="1"/>
  <c r="I97" i="116"/>
  <c r="K97" i="116" s="1"/>
  <c r="G105" i="116"/>
  <c r="G108" i="116" s="1"/>
  <c r="F105" i="116"/>
  <c r="F108" i="116" s="1"/>
  <c r="A108" i="116" l="1"/>
  <c r="I96" i="116"/>
  <c r="I105" i="116" l="1"/>
  <c r="AG23" i="123" l="1"/>
  <c r="AG18" i="123"/>
  <c r="AG94" i="123"/>
  <c r="AG68" i="123"/>
  <c r="AG67" i="123"/>
  <c r="AG66" i="123"/>
  <c r="AG65" i="123"/>
  <c r="AG64" i="123"/>
  <c r="AG63" i="123"/>
  <c r="AG62" i="123"/>
  <c r="AG60" i="123"/>
  <c r="AG59" i="123"/>
  <c r="AG58" i="123"/>
  <c r="AG57" i="123"/>
  <c r="AG56" i="123"/>
  <c r="AG55" i="123"/>
  <c r="AG54" i="123"/>
  <c r="AG52" i="123"/>
  <c r="AG51" i="123"/>
  <c r="AG50" i="123"/>
  <c r="AG49" i="123"/>
  <c r="AG48" i="123"/>
  <c r="AG47" i="123"/>
  <c r="AG46" i="123"/>
  <c r="AG44" i="123"/>
  <c r="AG43" i="123"/>
  <c r="AG42" i="123"/>
  <c r="AG41" i="123"/>
  <c r="AG40" i="123"/>
  <c r="AG39" i="123"/>
  <c r="AG38" i="123"/>
  <c r="AG36" i="123"/>
  <c r="AG35" i="123"/>
  <c r="AG34" i="123"/>
  <c r="AG33" i="123"/>
  <c r="AG32" i="123"/>
  <c r="AG31" i="123"/>
  <c r="AG30" i="123"/>
  <c r="AG28" i="123"/>
  <c r="AG27" i="123"/>
  <c r="AG26" i="123"/>
  <c r="AG25" i="123"/>
  <c r="AG24" i="123"/>
  <c r="AG22" i="123"/>
  <c r="AG20" i="123"/>
  <c r="AG19" i="123"/>
  <c r="AG17" i="123"/>
  <c r="AG16" i="123"/>
  <c r="AG15" i="123"/>
  <c r="AG14" i="123"/>
  <c r="M325" i="122" l="1"/>
  <c r="L325" i="122"/>
  <c r="K325" i="122"/>
  <c r="J325" i="122"/>
  <c r="I325" i="122"/>
  <c r="H325" i="122"/>
  <c r="G325" i="122"/>
  <c r="AD15" i="122"/>
  <c r="AD14" i="122"/>
  <c r="AD13" i="122"/>
  <c r="AD12" i="122"/>
  <c r="AD11" i="122"/>
  <c r="I13" i="121"/>
  <c r="H13" i="121"/>
  <c r="G13" i="121"/>
  <c r="F13" i="121"/>
  <c r="I12" i="121"/>
  <c r="H12" i="121"/>
  <c r="G12" i="121"/>
  <c r="F12" i="121"/>
  <c r="H11" i="121"/>
  <c r="G11" i="121"/>
  <c r="F11" i="121"/>
  <c r="H10" i="121"/>
  <c r="G10" i="121"/>
  <c r="F10" i="121"/>
  <c r="D42" i="25" l="1"/>
  <c r="D41" i="25"/>
  <c r="D38" i="25"/>
  <c r="D28" i="25"/>
  <c r="D34" i="28"/>
  <c r="D33" i="28"/>
  <c r="D30" i="28"/>
  <c r="D20" i="28"/>
  <c r="D24" i="25"/>
  <c r="D23" i="25"/>
  <c r="D16" i="28"/>
  <c r="D15" i="28"/>
  <c r="H334" i="122"/>
  <c r="I334" i="122" s="1"/>
  <c r="D10" i="107" l="1"/>
  <c r="D24" i="107"/>
  <c r="D23" i="107"/>
  <c r="D22" i="107"/>
  <c r="D21" i="107"/>
  <c r="D20" i="107"/>
  <c r="D19" i="107"/>
  <c r="D18" i="107"/>
  <c r="D17" i="107"/>
  <c r="D16" i="107"/>
  <c r="D15" i="107"/>
  <c r="D14" i="107"/>
  <c r="D13" i="107"/>
  <c r="D12" i="107"/>
  <c r="D11" i="107"/>
  <c r="G51" i="107"/>
  <c r="J51" i="107" l="1"/>
  <c r="H51" i="107"/>
  <c r="K51" i="107"/>
  <c r="L51" i="107"/>
  <c r="I51" i="107"/>
  <c r="F51" i="107"/>
  <c r="A53" i="107" l="1"/>
  <c r="F21" i="125"/>
  <c r="E21" i="125"/>
  <c r="D21" i="125"/>
  <c r="F19" i="125"/>
  <c r="E19" i="125"/>
  <c r="D19" i="125"/>
  <c r="F18" i="125"/>
  <c r="E18" i="125"/>
  <c r="D18" i="125"/>
  <c r="F17" i="125"/>
  <c r="E17" i="125"/>
  <c r="D17" i="125"/>
  <c r="F16" i="125"/>
  <c r="E16" i="125"/>
  <c r="D16" i="125"/>
  <c r="F15" i="125"/>
  <c r="E15" i="125"/>
  <c r="D15" i="125"/>
  <c r="F14" i="125"/>
  <c r="E14" i="125"/>
  <c r="D14" i="125"/>
  <c r="F13" i="125"/>
  <c r="E13" i="125"/>
  <c r="D13" i="125"/>
  <c r="F12" i="125"/>
  <c r="E12" i="125"/>
  <c r="D12" i="125"/>
  <c r="F11" i="125"/>
  <c r="E11" i="125"/>
  <c r="D11" i="125"/>
  <c r="C5" i="125" l="1"/>
  <c r="B3" i="125"/>
  <c r="G15" i="124" l="1"/>
  <c r="F15" i="124"/>
  <c r="E15" i="124"/>
  <c r="G14" i="124"/>
  <c r="F14" i="124"/>
  <c r="E14" i="124"/>
  <c r="G13" i="124"/>
  <c r="F13" i="124"/>
  <c r="E13" i="124"/>
  <c r="G12" i="124"/>
  <c r="F12" i="124"/>
  <c r="E12" i="124"/>
  <c r="G11" i="124"/>
  <c r="F11" i="124"/>
  <c r="E11" i="124"/>
  <c r="G10" i="124"/>
  <c r="F10" i="124"/>
  <c r="E10" i="124"/>
  <c r="C5" i="124"/>
  <c r="B3" i="124"/>
  <c r="D123" i="115"/>
  <c r="D122" i="115"/>
  <c r="D120" i="115"/>
  <c r="D119" i="115"/>
  <c r="D118" i="115"/>
  <c r="D117" i="115"/>
  <c r="D116" i="115"/>
  <c r="D113" i="115"/>
  <c r="D112" i="115"/>
  <c r="D111" i="115"/>
  <c r="D110" i="115"/>
  <c r="D109" i="115"/>
  <c r="D108" i="115"/>
  <c r="D107" i="115"/>
  <c r="D106" i="115"/>
  <c r="D105" i="115"/>
  <c r="D104" i="115"/>
  <c r="D103" i="115"/>
  <c r="D102" i="115"/>
  <c r="D101" i="115"/>
  <c r="D99" i="115"/>
  <c r="A131" i="115"/>
  <c r="D121" i="115"/>
  <c r="D115" i="115"/>
  <c r="D114" i="115"/>
  <c r="D100" i="115"/>
  <c r="K26" i="102"/>
  <c r="J26" i="102"/>
  <c r="I26" i="102"/>
  <c r="H26" i="102"/>
  <c r="G26" i="102"/>
  <c r="AA94" i="123"/>
  <c r="I94" i="123"/>
  <c r="H94" i="123"/>
  <c r="G94" i="123"/>
  <c r="F94" i="123"/>
  <c r="E94" i="123"/>
  <c r="L68" i="123"/>
  <c r="K68" i="123"/>
  <c r="J68" i="123"/>
  <c r="I68" i="123"/>
  <c r="H68" i="123"/>
  <c r="G68" i="123"/>
  <c r="F68" i="123"/>
  <c r="E68" i="123"/>
  <c r="D68" i="123"/>
  <c r="L67" i="123"/>
  <c r="K67" i="123"/>
  <c r="J67" i="123"/>
  <c r="I67" i="123"/>
  <c r="H67" i="123"/>
  <c r="G67" i="123"/>
  <c r="F67" i="123"/>
  <c r="E67" i="123"/>
  <c r="D67" i="123"/>
  <c r="L66" i="123"/>
  <c r="K66" i="123"/>
  <c r="J66" i="123"/>
  <c r="I66" i="123"/>
  <c r="H66" i="123"/>
  <c r="G66" i="123"/>
  <c r="F66" i="123"/>
  <c r="E66" i="123"/>
  <c r="D66" i="123"/>
  <c r="L65" i="123"/>
  <c r="K65" i="123"/>
  <c r="J65" i="123"/>
  <c r="I65" i="123"/>
  <c r="H65" i="123"/>
  <c r="G65" i="123"/>
  <c r="F65" i="123"/>
  <c r="E65" i="123"/>
  <c r="D65" i="123"/>
  <c r="L64" i="123"/>
  <c r="K64" i="123"/>
  <c r="J64" i="123"/>
  <c r="I64" i="123"/>
  <c r="H64" i="123"/>
  <c r="G64" i="123"/>
  <c r="F64" i="123"/>
  <c r="E64" i="123"/>
  <c r="D64" i="123"/>
  <c r="L63" i="123"/>
  <c r="K63" i="123"/>
  <c r="J63" i="123"/>
  <c r="I63" i="123"/>
  <c r="H63" i="123"/>
  <c r="G63" i="123"/>
  <c r="F63" i="123"/>
  <c r="E63" i="123"/>
  <c r="D63" i="123"/>
  <c r="L62" i="123"/>
  <c r="K62" i="123"/>
  <c r="J62" i="123"/>
  <c r="I62" i="123"/>
  <c r="H62" i="123"/>
  <c r="G62" i="123"/>
  <c r="F62" i="123"/>
  <c r="E62" i="123"/>
  <c r="D62" i="123"/>
  <c r="L60" i="123"/>
  <c r="K60" i="123"/>
  <c r="J60" i="123"/>
  <c r="I60" i="123"/>
  <c r="H60" i="123"/>
  <c r="G60" i="123"/>
  <c r="F60" i="123"/>
  <c r="E60" i="123"/>
  <c r="D60" i="123"/>
  <c r="L59" i="123"/>
  <c r="K59" i="123"/>
  <c r="J59" i="123"/>
  <c r="I59" i="123"/>
  <c r="H59" i="123"/>
  <c r="G59" i="123"/>
  <c r="F59" i="123"/>
  <c r="E59" i="123"/>
  <c r="D59" i="123"/>
  <c r="L58" i="123"/>
  <c r="K58" i="123"/>
  <c r="J58" i="123"/>
  <c r="I58" i="123"/>
  <c r="H58" i="123"/>
  <c r="G58" i="123"/>
  <c r="F58" i="123"/>
  <c r="E58" i="123"/>
  <c r="D58" i="123"/>
  <c r="L57" i="123"/>
  <c r="K57" i="123"/>
  <c r="J57" i="123"/>
  <c r="I57" i="123"/>
  <c r="H57" i="123"/>
  <c r="G57" i="123"/>
  <c r="F57" i="123"/>
  <c r="E57" i="123"/>
  <c r="D57" i="123"/>
  <c r="L56" i="123"/>
  <c r="K56" i="123"/>
  <c r="J56" i="123"/>
  <c r="I56" i="123"/>
  <c r="H56" i="123"/>
  <c r="G56" i="123"/>
  <c r="F56" i="123"/>
  <c r="E56" i="123"/>
  <c r="D56" i="123"/>
  <c r="L55" i="123"/>
  <c r="K55" i="123"/>
  <c r="J55" i="123"/>
  <c r="I55" i="123"/>
  <c r="H55" i="123"/>
  <c r="G55" i="123"/>
  <c r="F55" i="123"/>
  <c r="E55" i="123"/>
  <c r="D55" i="123"/>
  <c r="L54" i="123"/>
  <c r="K54" i="123"/>
  <c r="J54" i="123"/>
  <c r="I54" i="123"/>
  <c r="H54" i="123"/>
  <c r="G54" i="123"/>
  <c r="F54" i="123"/>
  <c r="E54" i="123"/>
  <c r="D54" i="123"/>
  <c r="L52" i="123"/>
  <c r="K52" i="123"/>
  <c r="J52" i="123"/>
  <c r="I52" i="123"/>
  <c r="H52" i="123"/>
  <c r="G52" i="123"/>
  <c r="F52" i="123"/>
  <c r="E52" i="123"/>
  <c r="D52" i="123"/>
  <c r="L51" i="123"/>
  <c r="K51" i="123"/>
  <c r="J51" i="123"/>
  <c r="I51" i="123"/>
  <c r="H51" i="123"/>
  <c r="G51" i="123"/>
  <c r="F51" i="123"/>
  <c r="E51" i="123"/>
  <c r="D51" i="123"/>
  <c r="L50" i="123"/>
  <c r="K50" i="123"/>
  <c r="J50" i="123"/>
  <c r="I50" i="123"/>
  <c r="H50" i="123"/>
  <c r="G50" i="123"/>
  <c r="F50" i="123"/>
  <c r="E50" i="123"/>
  <c r="D50" i="123"/>
  <c r="L49" i="123"/>
  <c r="K49" i="123"/>
  <c r="J49" i="123"/>
  <c r="I49" i="123"/>
  <c r="H49" i="123"/>
  <c r="G49" i="123"/>
  <c r="F49" i="123"/>
  <c r="E49" i="123"/>
  <c r="D49" i="123"/>
  <c r="L48" i="123"/>
  <c r="K48" i="123"/>
  <c r="J48" i="123"/>
  <c r="I48" i="123"/>
  <c r="H48" i="123"/>
  <c r="G48" i="123"/>
  <c r="F48" i="123"/>
  <c r="E48" i="123"/>
  <c r="D48" i="123"/>
  <c r="L47" i="123"/>
  <c r="K47" i="123"/>
  <c r="J47" i="123"/>
  <c r="I47" i="123"/>
  <c r="H47" i="123"/>
  <c r="G47" i="123"/>
  <c r="F47" i="123"/>
  <c r="E47" i="123"/>
  <c r="D47" i="123"/>
  <c r="L46" i="123"/>
  <c r="K46" i="123"/>
  <c r="J46" i="123"/>
  <c r="I46" i="123"/>
  <c r="H46" i="123"/>
  <c r="G46" i="123"/>
  <c r="F46" i="123"/>
  <c r="E46" i="123"/>
  <c r="D46" i="123"/>
  <c r="L44" i="123"/>
  <c r="K44" i="123"/>
  <c r="J44" i="123"/>
  <c r="I44" i="123"/>
  <c r="H44" i="123"/>
  <c r="G44" i="123"/>
  <c r="F44" i="123"/>
  <c r="E44" i="123"/>
  <c r="D44" i="123"/>
  <c r="L43" i="123"/>
  <c r="K43" i="123"/>
  <c r="J43" i="123"/>
  <c r="I43" i="123"/>
  <c r="H43" i="123"/>
  <c r="G43" i="123"/>
  <c r="F43" i="123"/>
  <c r="E43" i="123"/>
  <c r="D43" i="123"/>
  <c r="L42" i="123"/>
  <c r="K42" i="123"/>
  <c r="J42" i="123"/>
  <c r="I42" i="123"/>
  <c r="H42" i="123"/>
  <c r="G42" i="123"/>
  <c r="F42" i="123"/>
  <c r="E42" i="123"/>
  <c r="D42" i="123"/>
  <c r="L41" i="123"/>
  <c r="K41" i="123"/>
  <c r="J41" i="123"/>
  <c r="I41" i="123"/>
  <c r="H41" i="123"/>
  <c r="G41" i="123"/>
  <c r="F41" i="123"/>
  <c r="E41" i="123"/>
  <c r="D41" i="123"/>
  <c r="L40" i="123"/>
  <c r="K40" i="123"/>
  <c r="J40" i="123"/>
  <c r="I40" i="123"/>
  <c r="H40" i="123"/>
  <c r="G40" i="123"/>
  <c r="F40" i="123"/>
  <c r="E40" i="123"/>
  <c r="D40" i="123"/>
  <c r="L39" i="123"/>
  <c r="K39" i="123"/>
  <c r="J39" i="123"/>
  <c r="I39" i="123"/>
  <c r="H39" i="123"/>
  <c r="G39" i="123"/>
  <c r="F39" i="123"/>
  <c r="E39" i="123"/>
  <c r="D39" i="123"/>
  <c r="L38" i="123"/>
  <c r="K38" i="123"/>
  <c r="J38" i="123"/>
  <c r="I38" i="123"/>
  <c r="H38" i="123"/>
  <c r="G38" i="123"/>
  <c r="F38" i="123"/>
  <c r="E38" i="123"/>
  <c r="D38" i="123"/>
  <c r="L36" i="123"/>
  <c r="K36" i="123"/>
  <c r="J36" i="123"/>
  <c r="I36" i="123"/>
  <c r="H36" i="123"/>
  <c r="G36" i="123"/>
  <c r="F36" i="123"/>
  <c r="E36" i="123"/>
  <c r="D36" i="123"/>
  <c r="L35" i="123"/>
  <c r="K35" i="123"/>
  <c r="J35" i="123"/>
  <c r="I35" i="123"/>
  <c r="H35" i="123"/>
  <c r="G35" i="123"/>
  <c r="F35" i="123"/>
  <c r="E35" i="123"/>
  <c r="D35" i="123"/>
  <c r="L34" i="123"/>
  <c r="K34" i="123"/>
  <c r="J34" i="123"/>
  <c r="I34" i="123"/>
  <c r="H34" i="123"/>
  <c r="G34" i="123"/>
  <c r="F34" i="123"/>
  <c r="E34" i="123"/>
  <c r="D34" i="123"/>
  <c r="L33" i="123"/>
  <c r="K33" i="123"/>
  <c r="J33" i="123"/>
  <c r="I33" i="123"/>
  <c r="H33" i="123"/>
  <c r="G33" i="123"/>
  <c r="F33" i="123"/>
  <c r="E33" i="123"/>
  <c r="D33" i="123"/>
  <c r="L32" i="123"/>
  <c r="K32" i="123"/>
  <c r="J32" i="123"/>
  <c r="I32" i="123"/>
  <c r="H32" i="123"/>
  <c r="G32" i="123"/>
  <c r="F32" i="123"/>
  <c r="E32" i="123"/>
  <c r="D32" i="123"/>
  <c r="L31" i="123"/>
  <c r="K31" i="123"/>
  <c r="J31" i="123"/>
  <c r="I31" i="123"/>
  <c r="H31" i="123"/>
  <c r="G31" i="123"/>
  <c r="F31" i="123"/>
  <c r="E31" i="123"/>
  <c r="D31" i="123"/>
  <c r="L30" i="123"/>
  <c r="J30" i="123"/>
  <c r="I30" i="123"/>
  <c r="H30" i="123"/>
  <c r="G30" i="123"/>
  <c r="F30" i="123"/>
  <c r="E30" i="123"/>
  <c r="D30" i="123"/>
  <c r="L28" i="123"/>
  <c r="K28" i="123"/>
  <c r="J28" i="123"/>
  <c r="I28" i="123"/>
  <c r="H28" i="123"/>
  <c r="G28" i="123"/>
  <c r="F28" i="123"/>
  <c r="E28" i="123"/>
  <c r="D28" i="123"/>
  <c r="L27" i="123"/>
  <c r="K27" i="123"/>
  <c r="J27" i="123"/>
  <c r="I27" i="123"/>
  <c r="H27" i="123"/>
  <c r="G27" i="123"/>
  <c r="F27" i="123"/>
  <c r="E27" i="123"/>
  <c r="D27" i="123"/>
  <c r="L26" i="123"/>
  <c r="K26" i="123"/>
  <c r="J26" i="123"/>
  <c r="I26" i="123"/>
  <c r="H26" i="123"/>
  <c r="G26" i="123"/>
  <c r="F26" i="123"/>
  <c r="E26" i="123"/>
  <c r="D26" i="123"/>
  <c r="L25" i="123"/>
  <c r="K25" i="123"/>
  <c r="J25" i="123"/>
  <c r="I25" i="123"/>
  <c r="H25" i="123"/>
  <c r="G25" i="123"/>
  <c r="F25" i="123"/>
  <c r="E25" i="123"/>
  <c r="D25" i="123"/>
  <c r="L24" i="123"/>
  <c r="K24" i="123"/>
  <c r="J24" i="123"/>
  <c r="I24" i="123"/>
  <c r="H24" i="123"/>
  <c r="G24" i="123"/>
  <c r="F24" i="123"/>
  <c r="E24" i="123"/>
  <c r="D24" i="123"/>
  <c r="L23" i="123"/>
  <c r="K23" i="123"/>
  <c r="J23" i="123"/>
  <c r="I23" i="123"/>
  <c r="H23" i="123"/>
  <c r="G23" i="123"/>
  <c r="F23" i="123"/>
  <c r="E23" i="123"/>
  <c r="D23" i="123"/>
  <c r="K22" i="123"/>
  <c r="J22" i="123"/>
  <c r="I22" i="123"/>
  <c r="H22" i="123"/>
  <c r="G22" i="123"/>
  <c r="F22" i="123"/>
  <c r="E22" i="123"/>
  <c r="D22" i="123"/>
  <c r="D20" i="123"/>
  <c r="D19" i="123"/>
  <c r="D18" i="123"/>
  <c r="D17" i="123"/>
  <c r="D16" i="123"/>
  <c r="D15" i="123"/>
  <c r="D14" i="123"/>
  <c r="I20" i="123"/>
  <c r="H20" i="123"/>
  <c r="G20" i="123"/>
  <c r="F20" i="123"/>
  <c r="E20" i="123"/>
  <c r="I19" i="123"/>
  <c r="H19" i="123"/>
  <c r="G19" i="123"/>
  <c r="F19" i="123"/>
  <c r="E19" i="123"/>
  <c r="I18" i="123"/>
  <c r="H18" i="123"/>
  <c r="G18" i="123"/>
  <c r="F18" i="123"/>
  <c r="E18" i="123"/>
  <c r="I17" i="123"/>
  <c r="H17" i="123"/>
  <c r="G17" i="123"/>
  <c r="F17" i="123"/>
  <c r="E17" i="123"/>
  <c r="I16" i="123"/>
  <c r="H16" i="123"/>
  <c r="G16" i="123"/>
  <c r="F16" i="123"/>
  <c r="E16" i="123"/>
  <c r="I15" i="123"/>
  <c r="H15" i="123"/>
  <c r="G15" i="123"/>
  <c r="F15" i="123"/>
  <c r="E15" i="123"/>
  <c r="I14" i="123"/>
  <c r="H14" i="123"/>
  <c r="G14" i="123"/>
  <c r="F14" i="123"/>
  <c r="E14" i="123"/>
  <c r="AA20" i="123"/>
  <c r="AA19" i="123"/>
  <c r="AA18" i="123"/>
  <c r="AA17" i="123"/>
  <c r="AA16" i="123"/>
  <c r="AA15" i="123"/>
  <c r="AA14" i="123"/>
  <c r="V20" i="123"/>
  <c r="S20" i="123"/>
  <c r="R20" i="123"/>
  <c r="Q20" i="123"/>
  <c r="P20" i="123"/>
  <c r="O20" i="123"/>
  <c r="N20" i="123"/>
  <c r="L20" i="123"/>
  <c r="K20" i="123"/>
  <c r="J20" i="123"/>
  <c r="V19" i="123"/>
  <c r="S19" i="123"/>
  <c r="R19" i="123"/>
  <c r="Q19" i="123"/>
  <c r="P19" i="123"/>
  <c r="O19" i="123"/>
  <c r="N19" i="123"/>
  <c r="L19" i="123"/>
  <c r="K19" i="123"/>
  <c r="J19" i="123"/>
  <c r="V18" i="123"/>
  <c r="S18" i="123"/>
  <c r="R18" i="123"/>
  <c r="Q18" i="123"/>
  <c r="P18" i="123"/>
  <c r="O18" i="123"/>
  <c r="N18" i="123"/>
  <c r="L18" i="123"/>
  <c r="K18" i="123"/>
  <c r="J18" i="123"/>
  <c r="V17" i="123"/>
  <c r="S17" i="123"/>
  <c r="R17" i="123"/>
  <c r="Q17" i="123"/>
  <c r="P17" i="123"/>
  <c r="O17" i="123"/>
  <c r="N17" i="123"/>
  <c r="L17" i="123"/>
  <c r="K17" i="123"/>
  <c r="J17" i="123"/>
  <c r="V16" i="123"/>
  <c r="S16" i="123"/>
  <c r="R16" i="123"/>
  <c r="Q16" i="123"/>
  <c r="P16" i="123"/>
  <c r="O16" i="123"/>
  <c r="N16" i="123"/>
  <c r="L16" i="123"/>
  <c r="K16" i="123"/>
  <c r="J16" i="123"/>
  <c r="V15" i="123"/>
  <c r="R15" i="123"/>
  <c r="Q15" i="123"/>
  <c r="P15" i="123"/>
  <c r="O15" i="123"/>
  <c r="N15" i="123"/>
  <c r="L15" i="123"/>
  <c r="K15" i="123"/>
  <c r="J15" i="123"/>
  <c r="V14" i="123"/>
  <c r="S14" i="123"/>
  <c r="R14" i="123"/>
  <c r="Q14" i="123"/>
  <c r="P14" i="123"/>
  <c r="O14" i="123"/>
  <c r="N14" i="123"/>
  <c r="L14" i="123"/>
  <c r="K14" i="123"/>
  <c r="J14" i="123"/>
  <c r="A672" i="122"/>
  <c r="AD325" i="122"/>
  <c r="F325" i="122"/>
  <c r="P113" i="122"/>
  <c r="O113" i="122"/>
  <c r="N113" i="122"/>
  <c r="P112" i="122"/>
  <c r="O112" i="122"/>
  <c r="N112" i="122"/>
  <c r="P111" i="122"/>
  <c r="O111" i="122"/>
  <c r="N111" i="122"/>
  <c r="P110" i="122"/>
  <c r="O110" i="122"/>
  <c r="N110" i="122"/>
  <c r="P109" i="122"/>
  <c r="O109" i="122"/>
  <c r="N109" i="122"/>
  <c r="P108" i="122"/>
  <c r="O108" i="122"/>
  <c r="N108" i="122"/>
  <c r="M108" i="122"/>
  <c r="L108" i="122"/>
  <c r="K108" i="122"/>
  <c r="J108" i="122"/>
  <c r="I108" i="122"/>
  <c r="H108" i="122"/>
  <c r="G108" i="122"/>
  <c r="F108" i="122"/>
  <c r="E108" i="122"/>
  <c r="D108" i="122"/>
  <c r="P106" i="122"/>
  <c r="O106" i="122"/>
  <c r="N106" i="122"/>
  <c r="P105" i="122"/>
  <c r="O105" i="122"/>
  <c r="N105" i="122"/>
  <c r="P104" i="122"/>
  <c r="O104" i="122"/>
  <c r="N104" i="122"/>
  <c r="P103" i="122"/>
  <c r="O103" i="122"/>
  <c r="N103" i="122"/>
  <c r="P102" i="122"/>
  <c r="O102" i="122"/>
  <c r="N102" i="122"/>
  <c r="P101" i="122"/>
  <c r="O101" i="122"/>
  <c r="N101" i="122"/>
  <c r="M101" i="122"/>
  <c r="L101" i="122"/>
  <c r="K101" i="122"/>
  <c r="J101" i="122"/>
  <c r="I101" i="122"/>
  <c r="H101" i="122"/>
  <c r="G101" i="122"/>
  <c r="F101" i="122"/>
  <c r="E101" i="122"/>
  <c r="D101" i="122"/>
  <c r="P99" i="122"/>
  <c r="O99" i="122"/>
  <c r="N99" i="122"/>
  <c r="P98" i="122"/>
  <c r="O98" i="122"/>
  <c r="N98" i="122"/>
  <c r="P97" i="122"/>
  <c r="O97" i="122"/>
  <c r="N97" i="122"/>
  <c r="P96" i="122"/>
  <c r="O96" i="122"/>
  <c r="N96" i="122"/>
  <c r="P95" i="122"/>
  <c r="O95" i="122"/>
  <c r="N95" i="122"/>
  <c r="P94" i="122"/>
  <c r="O94" i="122"/>
  <c r="N94" i="122"/>
  <c r="M94" i="122"/>
  <c r="L94" i="122"/>
  <c r="K94" i="122"/>
  <c r="J94" i="122"/>
  <c r="I94" i="122"/>
  <c r="H94" i="122"/>
  <c r="G94" i="122"/>
  <c r="F94" i="122"/>
  <c r="E94" i="122"/>
  <c r="D94" i="122"/>
  <c r="P92" i="122"/>
  <c r="O92" i="122"/>
  <c r="N92" i="122"/>
  <c r="P91" i="122"/>
  <c r="O91" i="122"/>
  <c r="N91" i="122"/>
  <c r="P90" i="122"/>
  <c r="O90" i="122"/>
  <c r="N90" i="122"/>
  <c r="P89" i="122"/>
  <c r="O89" i="122"/>
  <c r="N89" i="122"/>
  <c r="P88" i="122"/>
  <c r="O88" i="122"/>
  <c r="N88" i="122"/>
  <c r="P87" i="122"/>
  <c r="O87" i="122"/>
  <c r="N87" i="122"/>
  <c r="M87" i="122"/>
  <c r="L87" i="122"/>
  <c r="K87" i="122"/>
  <c r="J87" i="122"/>
  <c r="I87" i="122"/>
  <c r="H87" i="122"/>
  <c r="G87" i="122"/>
  <c r="F87" i="122"/>
  <c r="E87" i="122"/>
  <c r="D87" i="122"/>
  <c r="P85" i="122"/>
  <c r="O85" i="122"/>
  <c r="N85" i="122"/>
  <c r="P84" i="122"/>
  <c r="O84" i="122"/>
  <c r="N84" i="122"/>
  <c r="P83" i="122"/>
  <c r="O83" i="122"/>
  <c r="N83" i="122"/>
  <c r="P82" i="122"/>
  <c r="O82" i="122"/>
  <c r="N82" i="122"/>
  <c r="P81" i="122"/>
  <c r="O81" i="122"/>
  <c r="N81" i="122"/>
  <c r="P80" i="122"/>
  <c r="O80" i="122"/>
  <c r="N80" i="122"/>
  <c r="M80" i="122"/>
  <c r="L80" i="122"/>
  <c r="K80" i="122"/>
  <c r="J80" i="122"/>
  <c r="I80" i="122"/>
  <c r="H80" i="122"/>
  <c r="G80" i="122"/>
  <c r="F80" i="122"/>
  <c r="E80" i="122"/>
  <c r="D80" i="122"/>
  <c r="P78" i="122"/>
  <c r="O78" i="122"/>
  <c r="N78" i="122"/>
  <c r="P77" i="122"/>
  <c r="O77" i="122"/>
  <c r="N77" i="122"/>
  <c r="P76" i="122"/>
  <c r="O76" i="122"/>
  <c r="N76" i="122"/>
  <c r="P75" i="122"/>
  <c r="O75" i="122"/>
  <c r="N75" i="122"/>
  <c r="P74" i="122"/>
  <c r="O74" i="122"/>
  <c r="N74" i="122"/>
  <c r="P73" i="122"/>
  <c r="O73" i="122"/>
  <c r="N73" i="122"/>
  <c r="M73" i="122"/>
  <c r="L73" i="122"/>
  <c r="K73" i="122"/>
  <c r="J73" i="122"/>
  <c r="I73" i="122"/>
  <c r="H73" i="122"/>
  <c r="G73" i="122"/>
  <c r="F73" i="122"/>
  <c r="E73" i="122"/>
  <c r="D73" i="122"/>
  <c r="P71" i="122"/>
  <c r="O71" i="122"/>
  <c r="N71" i="122"/>
  <c r="P70" i="122"/>
  <c r="O70" i="122"/>
  <c r="N70" i="122"/>
  <c r="P69" i="122"/>
  <c r="O69" i="122"/>
  <c r="N69" i="122"/>
  <c r="P68" i="122"/>
  <c r="O68" i="122"/>
  <c r="N68" i="122"/>
  <c r="P67" i="122"/>
  <c r="O67" i="122"/>
  <c r="N67" i="122"/>
  <c r="P66" i="122"/>
  <c r="O66" i="122"/>
  <c r="N66" i="122"/>
  <c r="M66" i="122"/>
  <c r="L66" i="122"/>
  <c r="K66" i="122"/>
  <c r="J66" i="122"/>
  <c r="I66" i="122"/>
  <c r="H66" i="122"/>
  <c r="G66" i="122"/>
  <c r="F66" i="122"/>
  <c r="E66" i="122"/>
  <c r="D66" i="122"/>
  <c r="P64" i="122"/>
  <c r="O64" i="122"/>
  <c r="N64" i="122"/>
  <c r="P63" i="122"/>
  <c r="O63" i="122"/>
  <c r="N63" i="122"/>
  <c r="P62" i="122"/>
  <c r="O62" i="122"/>
  <c r="N62" i="122"/>
  <c r="P61" i="122"/>
  <c r="O61" i="122"/>
  <c r="N61" i="122"/>
  <c r="P60" i="122"/>
  <c r="O60" i="122"/>
  <c r="N60" i="122"/>
  <c r="P59" i="122"/>
  <c r="O59" i="122"/>
  <c r="N59" i="122"/>
  <c r="M59" i="122"/>
  <c r="L59" i="122"/>
  <c r="K59" i="122"/>
  <c r="J59" i="122"/>
  <c r="I59" i="122"/>
  <c r="H59" i="122"/>
  <c r="G59" i="122"/>
  <c r="F59" i="122"/>
  <c r="E59" i="122"/>
  <c r="D59" i="122"/>
  <c r="P57" i="122"/>
  <c r="O57" i="122"/>
  <c r="N57" i="122"/>
  <c r="P56" i="122"/>
  <c r="O56" i="122"/>
  <c r="N56" i="122"/>
  <c r="P55" i="122"/>
  <c r="O55" i="122"/>
  <c r="N55" i="122"/>
  <c r="P54" i="122"/>
  <c r="O54" i="122"/>
  <c r="N54" i="122"/>
  <c r="P53" i="122"/>
  <c r="O53" i="122"/>
  <c r="N53" i="122"/>
  <c r="P52" i="122"/>
  <c r="O52" i="122"/>
  <c r="N52" i="122"/>
  <c r="M52" i="122"/>
  <c r="L52" i="122"/>
  <c r="K52" i="122"/>
  <c r="J52" i="122"/>
  <c r="I52" i="122"/>
  <c r="H52" i="122"/>
  <c r="G52" i="122"/>
  <c r="F52" i="122"/>
  <c r="E52" i="122"/>
  <c r="D52" i="122"/>
  <c r="P50" i="122"/>
  <c r="O50" i="122"/>
  <c r="N50" i="122"/>
  <c r="P49" i="122"/>
  <c r="O49" i="122"/>
  <c r="N49" i="122"/>
  <c r="P48" i="122"/>
  <c r="O48" i="122"/>
  <c r="N48" i="122"/>
  <c r="P47" i="122"/>
  <c r="O47" i="122"/>
  <c r="N47" i="122"/>
  <c r="P46" i="122"/>
  <c r="O46" i="122"/>
  <c r="N46" i="122"/>
  <c r="P45" i="122"/>
  <c r="O45" i="122"/>
  <c r="N45" i="122"/>
  <c r="M45" i="122"/>
  <c r="L45" i="122"/>
  <c r="K45" i="122"/>
  <c r="J45" i="122"/>
  <c r="I45" i="122"/>
  <c r="H45" i="122"/>
  <c r="G45" i="122"/>
  <c r="F45" i="122"/>
  <c r="E45" i="122"/>
  <c r="D45" i="122"/>
  <c r="P43" i="122"/>
  <c r="O43" i="122"/>
  <c r="N43" i="122"/>
  <c r="P42" i="122"/>
  <c r="O42" i="122"/>
  <c r="N42" i="122"/>
  <c r="P41" i="122"/>
  <c r="O41" i="122"/>
  <c r="N41" i="122"/>
  <c r="P40" i="122"/>
  <c r="O40" i="122"/>
  <c r="N40" i="122"/>
  <c r="P39" i="122"/>
  <c r="O39" i="122"/>
  <c r="N39" i="122"/>
  <c r="P38" i="122"/>
  <c r="O38" i="122"/>
  <c r="N38" i="122"/>
  <c r="M38" i="122"/>
  <c r="L38" i="122"/>
  <c r="K38" i="122"/>
  <c r="J38" i="122"/>
  <c r="I38" i="122"/>
  <c r="H38" i="122"/>
  <c r="G38" i="122"/>
  <c r="F38" i="122"/>
  <c r="E38" i="122"/>
  <c r="D38" i="122"/>
  <c r="P36" i="122"/>
  <c r="O36" i="122"/>
  <c r="N36" i="122"/>
  <c r="P35" i="122"/>
  <c r="O35" i="122"/>
  <c r="N35" i="122"/>
  <c r="P34" i="122"/>
  <c r="O34" i="122"/>
  <c r="N34" i="122"/>
  <c r="P33" i="122"/>
  <c r="O33" i="122"/>
  <c r="N33" i="122"/>
  <c r="P32" i="122"/>
  <c r="O32" i="122"/>
  <c r="N32" i="122"/>
  <c r="P31" i="122"/>
  <c r="O31" i="122"/>
  <c r="N31" i="122"/>
  <c r="M31" i="122"/>
  <c r="L31" i="122"/>
  <c r="K31" i="122"/>
  <c r="J31" i="122"/>
  <c r="I31" i="122"/>
  <c r="H31" i="122"/>
  <c r="G31" i="122"/>
  <c r="F31" i="122"/>
  <c r="E31" i="122"/>
  <c r="D31" i="122"/>
  <c r="P29" i="122"/>
  <c r="O29" i="122"/>
  <c r="N29" i="122"/>
  <c r="P28" i="122"/>
  <c r="O28" i="122"/>
  <c r="N28" i="122"/>
  <c r="P27" i="122"/>
  <c r="O27" i="122"/>
  <c r="N27" i="122"/>
  <c r="P26" i="122"/>
  <c r="O26" i="122"/>
  <c r="N26" i="122"/>
  <c r="P25" i="122"/>
  <c r="O25" i="122"/>
  <c r="N25" i="122"/>
  <c r="P24" i="122"/>
  <c r="O24" i="122"/>
  <c r="N24" i="122"/>
  <c r="M24" i="122"/>
  <c r="L24" i="122"/>
  <c r="K24" i="122"/>
  <c r="J24" i="122"/>
  <c r="I24" i="122"/>
  <c r="H24" i="122"/>
  <c r="G24" i="122"/>
  <c r="F24" i="122"/>
  <c r="E24" i="122"/>
  <c r="D24" i="122"/>
  <c r="P22" i="122"/>
  <c r="O22" i="122"/>
  <c r="N22" i="122"/>
  <c r="P21" i="122"/>
  <c r="O21" i="122"/>
  <c r="N21" i="122"/>
  <c r="P20" i="122"/>
  <c r="O20" i="122"/>
  <c r="N20" i="122"/>
  <c r="P19" i="122"/>
  <c r="O19" i="122"/>
  <c r="N19" i="122"/>
  <c r="P18" i="122"/>
  <c r="O18" i="122"/>
  <c r="N18" i="122"/>
  <c r="P17" i="122"/>
  <c r="O17" i="122"/>
  <c r="N17" i="122"/>
  <c r="M17" i="122"/>
  <c r="L17" i="122"/>
  <c r="K17" i="122"/>
  <c r="J17" i="122"/>
  <c r="I17" i="122"/>
  <c r="H17" i="122"/>
  <c r="G17" i="122"/>
  <c r="F17" i="122"/>
  <c r="E17" i="122"/>
  <c r="D17" i="122"/>
  <c r="D10" i="122"/>
  <c r="M10" i="122"/>
  <c r="L10" i="122"/>
  <c r="K10" i="122"/>
  <c r="J10" i="122"/>
  <c r="I10" i="122"/>
  <c r="H10" i="122"/>
  <c r="G10" i="122"/>
  <c r="F10" i="122"/>
  <c r="E10" i="122"/>
  <c r="AD10" i="122"/>
  <c r="Y15" i="122"/>
  <c r="V15" i="122"/>
  <c r="U15" i="122"/>
  <c r="S15" i="122"/>
  <c r="R15" i="122"/>
  <c r="P15" i="122"/>
  <c r="O15" i="122"/>
  <c r="Y14" i="122"/>
  <c r="V14" i="122"/>
  <c r="U14" i="122"/>
  <c r="S14" i="122"/>
  <c r="R14" i="122"/>
  <c r="P14" i="122"/>
  <c r="O14" i="122"/>
  <c r="Y13" i="122"/>
  <c r="V13" i="122"/>
  <c r="U13" i="122"/>
  <c r="S13" i="122"/>
  <c r="R13" i="122"/>
  <c r="P13" i="122"/>
  <c r="O13" i="122"/>
  <c r="Y12" i="122"/>
  <c r="V12" i="122"/>
  <c r="U12" i="122"/>
  <c r="S12" i="122"/>
  <c r="R12" i="122"/>
  <c r="P12" i="122"/>
  <c r="O12" i="122"/>
  <c r="Y11" i="122"/>
  <c r="V11" i="122"/>
  <c r="U11" i="122"/>
  <c r="S11" i="122"/>
  <c r="R11" i="122"/>
  <c r="P11" i="122"/>
  <c r="O11" i="122"/>
  <c r="Y10" i="122"/>
  <c r="V10" i="122"/>
  <c r="U10" i="122"/>
  <c r="S10" i="122"/>
  <c r="R10" i="122"/>
  <c r="P10" i="122"/>
  <c r="O10" i="122"/>
  <c r="N15" i="122"/>
  <c r="N14" i="122"/>
  <c r="N13" i="122"/>
  <c r="N12" i="122"/>
  <c r="N11" i="122"/>
  <c r="N10" i="122"/>
  <c r="L45" i="123" l="1"/>
  <c r="V29" i="123"/>
  <c r="S16" i="122"/>
  <c r="V21" i="123"/>
  <c r="L37" i="123"/>
  <c r="K21" i="123"/>
  <c r="V37" i="123"/>
  <c r="V53" i="123"/>
  <c r="V69" i="123"/>
  <c r="S29" i="123"/>
  <c r="S45" i="123"/>
  <c r="S61" i="123"/>
  <c r="S69" i="123"/>
  <c r="L21" i="123"/>
  <c r="K29" i="123"/>
  <c r="K45" i="123"/>
  <c r="K53" i="123"/>
  <c r="S53" i="123"/>
  <c r="K61" i="123"/>
  <c r="L22" i="123"/>
  <c r="L53" i="123"/>
  <c r="L61" i="123"/>
  <c r="V45" i="123"/>
  <c r="V61" i="123"/>
  <c r="S116" i="123"/>
  <c r="S15" i="123"/>
  <c r="S21" i="123" s="1"/>
  <c r="K30" i="123"/>
  <c r="S37" i="123"/>
  <c r="K69" i="123"/>
  <c r="L69" i="123"/>
  <c r="Y16" i="122"/>
  <c r="O114" i="122"/>
  <c r="S23" i="122"/>
  <c r="S58" i="122"/>
  <c r="O16" i="122"/>
  <c r="N16" i="122"/>
  <c r="N23" i="122"/>
  <c r="N30" i="122"/>
  <c r="V30" i="122"/>
  <c r="N37" i="122"/>
  <c r="V37" i="122"/>
  <c r="N44" i="122"/>
  <c r="V44" i="122"/>
  <c r="N51" i="122"/>
  <c r="V51" i="122"/>
  <c r="N58" i="122"/>
  <c r="V58" i="122"/>
  <c r="N65" i="122"/>
  <c r="V65" i="122"/>
  <c r="N72" i="122"/>
  <c r="V72" i="122"/>
  <c r="Y72" i="122"/>
  <c r="N79" i="122"/>
  <c r="V79" i="122"/>
  <c r="N86" i="122"/>
  <c r="V86" i="122"/>
  <c r="N93" i="122"/>
  <c r="V93" i="122"/>
  <c r="N100" i="122"/>
  <c r="V100" i="122"/>
  <c r="N107" i="122"/>
  <c r="V107" i="122"/>
  <c r="N114" i="122"/>
  <c r="V114" i="122"/>
  <c r="Y114" i="122"/>
  <c r="V23" i="122"/>
  <c r="O23" i="122"/>
  <c r="O30" i="122"/>
  <c r="S30" i="122"/>
  <c r="O37" i="122"/>
  <c r="S37" i="122"/>
  <c r="O44" i="122"/>
  <c r="O51" i="122"/>
  <c r="O58" i="122"/>
  <c r="O65" i="122"/>
  <c r="S65" i="122"/>
  <c r="O72" i="122"/>
  <c r="S72" i="122"/>
  <c r="O79" i="122"/>
  <c r="S79" i="122"/>
  <c r="O86" i="122"/>
  <c r="S86" i="122"/>
  <c r="O93" i="122"/>
  <c r="O100" i="122"/>
  <c r="S100" i="122"/>
  <c r="O107" i="122"/>
  <c r="Y23" i="122"/>
  <c r="Y30" i="122"/>
  <c r="Y37" i="122"/>
  <c r="Y44" i="122"/>
  <c r="Y51" i="122"/>
  <c r="Y58" i="122"/>
  <c r="Y65" i="122"/>
  <c r="Y79" i="122"/>
  <c r="Y86" i="122"/>
  <c r="Y93" i="122"/>
  <c r="Y100" i="122"/>
  <c r="Y107" i="122"/>
  <c r="V16" i="122"/>
  <c r="S44" i="122"/>
  <c r="S51" i="122"/>
  <c r="S93" i="122"/>
  <c r="S107" i="122"/>
  <c r="S114" i="122"/>
  <c r="E26" i="102"/>
  <c r="E30" i="102" s="1"/>
  <c r="K116" i="123"/>
  <c r="L116" i="123"/>
  <c r="V116" i="123"/>
  <c r="F26" i="102"/>
  <c r="F30" i="102" s="1"/>
  <c r="K37" i="123" l="1"/>
  <c r="L29" i="123"/>
  <c r="A30" i="102"/>
  <c r="C5" i="123"/>
  <c r="B3" i="123"/>
  <c r="C5" i="122"/>
  <c r="AG191" i="123" l="1"/>
  <c r="M13" i="121"/>
  <c r="L13" i="121"/>
  <c r="K13" i="121"/>
  <c r="J13" i="121"/>
  <c r="M12" i="121"/>
  <c r="L12" i="121"/>
  <c r="K12" i="121"/>
  <c r="J12" i="121"/>
  <c r="C5" i="121"/>
  <c r="B3" i="121"/>
  <c r="D90" i="120"/>
  <c r="D89" i="120"/>
  <c r="D88" i="120"/>
  <c r="D87" i="120"/>
  <c r="D86" i="120"/>
  <c r="D85" i="120"/>
  <c r="D84" i="120"/>
  <c r="D83" i="120"/>
  <c r="D82" i="120"/>
  <c r="D81" i="120"/>
  <c r="D80" i="120"/>
  <c r="D79" i="120"/>
  <c r="D78" i="120"/>
  <c r="D77" i="120"/>
  <c r="D76" i="120"/>
  <c r="D75" i="120"/>
  <c r="D74" i="120"/>
  <c r="D73" i="120"/>
  <c r="D72" i="120"/>
  <c r="D71" i="120"/>
  <c r="D70" i="120"/>
  <c r="D69" i="120"/>
  <c r="D68" i="120"/>
  <c r="D67" i="120"/>
  <c r="D66" i="120"/>
  <c r="D65" i="120"/>
  <c r="D64" i="120"/>
  <c r="D63" i="120"/>
  <c r="D62" i="120"/>
  <c r="D61" i="120"/>
  <c r="D60" i="120"/>
  <c r="D59" i="120"/>
  <c r="D58" i="120"/>
  <c r="D57" i="120"/>
  <c r="D45" i="120"/>
  <c r="D44" i="120"/>
  <c r="D43" i="120"/>
  <c r="D42" i="120"/>
  <c r="D41" i="120"/>
  <c r="D40" i="120"/>
  <c r="D39" i="120"/>
  <c r="D38" i="120"/>
  <c r="D37" i="120"/>
  <c r="D36" i="120"/>
  <c r="D35" i="120"/>
  <c r="D34" i="120"/>
  <c r="D33" i="120"/>
  <c r="D32" i="120"/>
  <c r="D31" i="120"/>
  <c r="D30" i="120"/>
  <c r="D29" i="120"/>
  <c r="D28" i="120"/>
  <c r="D27" i="120"/>
  <c r="D26" i="120"/>
  <c r="D25" i="120"/>
  <c r="D24" i="120"/>
  <c r="D23" i="120"/>
  <c r="D22" i="120"/>
  <c r="D21" i="120"/>
  <c r="D20" i="120"/>
  <c r="D19" i="120"/>
  <c r="D18" i="120"/>
  <c r="D17" i="120"/>
  <c r="D16" i="120"/>
  <c r="D15" i="120"/>
  <c r="D14" i="120"/>
  <c r="D13" i="120"/>
  <c r="D12" i="120"/>
  <c r="K233" i="120"/>
  <c r="J233" i="120"/>
  <c r="I233" i="120"/>
  <c r="H233" i="120"/>
  <c r="G233" i="120"/>
  <c r="F233" i="120"/>
  <c r="E233" i="120"/>
  <c r="C5" i="120"/>
  <c r="B3" i="120"/>
  <c r="K28" i="101"/>
  <c r="J28" i="101"/>
  <c r="I28" i="101"/>
  <c r="H28" i="101"/>
  <c r="G28" i="101"/>
  <c r="K32" i="100"/>
  <c r="J32" i="100"/>
  <c r="I32" i="100"/>
  <c r="H32" i="100"/>
  <c r="G32" i="100"/>
  <c r="A193" i="123" l="1"/>
  <c r="M227" i="120"/>
  <c r="M219" i="120"/>
  <c r="M211" i="120"/>
  <c r="M203" i="120"/>
  <c r="M206" i="120"/>
  <c r="M213" i="120"/>
  <c r="M220" i="120"/>
  <c r="M226" i="120"/>
  <c r="M218" i="120"/>
  <c r="M210" i="120"/>
  <c r="M202" i="120"/>
  <c r="M214" i="120"/>
  <c r="M204" i="120"/>
  <c r="M225" i="120"/>
  <c r="M217" i="120"/>
  <c r="M209" i="120"/>
  <c r="M201" i="120"/>
  <c r="M229" i="120"/>
  <c r="M232" i="120"/>
  <c r="M224" i="120"/>
  <c r="M216" i="120"/>
  <c r="M208" i="120"/>
  <c r="M200" i="120"/>
  <c r="M221" i="120"/>
  <c r="M212" i="120"/>
  <c r="M231" i="120"/>
  <c r="M223" i="120"/>
  <c r="M215" i="120"/>
  <c r="M207" i="120"/>
  <c r="M199" i="120"/>
  <c r="M205" i="120"/>
  <c r="M230" i="120"/>
  <c r="M222" i="120"/>
  <c r="M228" i="120"/>
  <c r="U62" i="121"/>
  <c r="U54" i="121"/>
  <c r="U58" i="121"/>
  <c r="U66" i="121"/>
  <c r="U64" i="121"/>
  <c r="U59" i="121"/>
  <c r="U61" i="121"/>
  <c r="U57" i="121"/>
  <c r="U65" i="121"/>
  <c r="U60" i="121"/>
  <c r="U63" i="121"/>
  <c r="U55" i="121"/>
  <c r="F32" i="100"/>
  <c r="F28" i="101"/>
  <c r="F31" i="101" s="1"/>
  <c r="E28" i="101"/>
  <c r="E31" i="101" s="1"/>
  <c r="E32" i="100"/>
  <c r="M233" i="120" l="1"/>
  <c r="E13" i="104" l="1"/>
  <c r="F13" i="104"/>
  <c r="L38" i="114" l="1"/>
  <c r="K38" i="114"/>
  <c r="J38" i="114"/>
  <c r="I38" i="114"/>
  <c r="H38" i="114"/>
  <c r="G38" i="114"/>
  <c r="G42" i="114" s="1"/>
  <c r="F38" i="114"/>
  <c r="F42" i="114" s="1"/>
  <c r="L28" i="114"/>
  <c r="K28" i="114"/>
  <c r="J28" i="114"/>
  <c r="I28" i="114"/>
  <c r="H28" i="114"/>
  <c r="G28" i="114"/>
  <c r="F28" i="114"/>
  <c r="H47" i="25" l="1"/>
  <c r="D45" i="25"/>
  <c r="D44" i="25"/>
  <c r="D47" i="25"/>
  <c r="D43" i="25"/>
  <c r="D39" i="25"/>
  <c r="D35" i="25"/>
  <c r="D34" i="25"/>
  <c r="D33" i="25"/>
  <c r="D32" i="25"/>
  <c r="D31" i="25"/>
  <c r="D30" i="25"/>
  <c r="D29" i="25"/>
  <c r="D27" i="25"/>
  <c r="D26" i="25"/>
  <c r="D25" i="25"/>
  <c r="D21" i="25"/>
  <c r="D20" i="25"/>
  <c r="D19" i="25"/>
  <c r="D18" i="25"/>
  <c r="D43" i="28"/>
  <c r="D39" i="28"/>
  <c r="D35" i="28"/>
  <c r="D31" i="28"/>
  <c r="D27" i="28"/>
  <c r="D26" i="28"/>
  <c r="D23" i="28"/>
  <c r="D22" i="28"/>
  <c r="D25" i="28"/>
  <c r="D24" i="28"/>
  <c r="D21" i="28"/>
  <c r="D19" i="28"/>
  <c r="D18" i="28"/>
  <c r="D17" i="28"/>
  <c r="D13" i="28"/>
  <c r="D12" i="28"/>
  <c r="D11" i="28"/>
  <c r="D10" i="28"/>
  <c r="K70" i="118" l="1"/>
  <c r="J70" i="118"/>
  <c r="I70" i="118"/>
  <c r="H70" i="118"/>
  <c r="G70" i="118"/>
  <c r="F70" i="118"/>
  <c r="K61" i="118"/>
  <c r="J61" i="118"/>
  <c r="I61" i="118"/>
  <c r="H61" i="118"/>
  <c r="G61" i="118"/>
  <c r="F61" i="118"/>
  <c r="F40" i="118"/>
  <c r="F39" i="118"/>
  <c r="F31" i="118"/>
  <c r="D7" i="119"/>
  <c r="C5" i="119"/>
  <c r="B3" i="119"/>
  <c r="L70" i="118" l="1"/>
  <c r="L61" i="118"/>
  <c r="C5" i="118" l="1"/>
  <c r="B3" i="118"/>
  <c r="K76" i="117" l="1"/>
  <c r="J76" i="117"/>
  <c r="I76" i="117"/>
  <c r="H76" i="117"/>
  <c r="G76" i="117"/>
  <c r="F76" i="117"/>
  <c r="E76" i="117"/>
  <c r="D72" i="117"/>
  <c r="D71" i="117"/>
  <c r="D70" i="117"/>
  <c r="D69" i="117"/>
  <c r="D68" i="117"/>
  <c r="D67" i="117"/>
  <c r="K66" i="117"/>
  <c r="J66" i="117"/>
  <c r="I66" i="117"/>
  <c r="H66" i="117"/>
  <c r="G66" i="117"/>
  <c r="F66" i="117"/>
  <c r="E66" i="117"/>
  <c r="E65" i="117"/>
  <c r="D62" i="117"/>
  <c r="D61" i="117"/>
  <c r="D60" i="117"/>
  <c r="D59" i="117"/>
  <c r="D58" i="117"/>
  <c r="D57" i="117"/>
  <c r="D55" i="117"/>
  <c r="D54" i="117"/>
  <c r="D53" i="117"/>
  <c r="D52" i="117"/>
  <c r="D51" i="117"/>
  <c r="D50" i="117"/>
  <c r="D48" i="117"/>
  <c r="D47" i="117"/>
  <c r="D46" i="117"/>
  <c r="D45" i="117"/>
  <c r="D44" i="117"/>
  <c r="D43" i="117"/>
  <c r="D41" i="117"/>
  <c r="D40" i="117"/>
  <c r="D39" i="117"/>
  <c r="D38" i="117"/>
  <c r="D37" i="117"/>
  <c r="D36" i="117"/>
  <c r="D34" i="117"/>
  <c r="D33" i="117"/>
  <c r="D32" i="117"/>
  <c r="D31" i="117"/>
  <c r="D30" i="117"/>
  <c r="D29" i="117"/>
  <c r="D27" i="117"/>
  <c r="D26" i="117"/>
  <c r="D25" i="117"/>
  <c r="D24" i="117"/>
  <c r="D23" i="117"/>
  <c r="D22" i="117"/>
  <c r="K20" i="117"/>
  <c r="J20" i="117"/>
  <c r="I20" i="117"/>
  <c r="H20" i="117"/>
  <c r="G20" i="117"/>
  <c r="F20" i="117"/>
  <c r="E20" i="117"/>
  <c r="E19" i="117"/>
  <c r="K9" i="117"/>
  <c r="J9" i="117"/>
  <c r="I9" i="117"/>
  <c r="H9" i="117"/>
  <c r="G9" i="117"/>
  <c r="F9" i="117"/>
  <c r="E9" i="117"/>
  <c r="E8" i="117"/>
  <c r="C5" i="117"/>
  <c r="B3" i="117"/>
  <c r="D36" i="116"/>
  <c r="D35" i="116"/>
  <c r="D34" i="116"/>
  <c r="D29" i="116"/>
  <c r="D28" i="116"/>
  <c r="E43" i="116"/>
  <c r="E42" i="116"/>
  <c r="E41" i="116"/>
  <c r="E40" i="116"/>
  <c r="E39" i="116"/>
  <c r="E38" i="116"/>
  <c r="E35" i="116"/>
  <c r="E34" i="116"/>
  <c r="E33" i="116"/>
  <c r="E32" i="116"/>
  <c r="E31" i="116"/>
  <c r="E30" i="116"/>
  <c r="E29" i="116"/>
  <c r="E28" i="116"/>
  <c r="L9" i="116"/>
  <c r="K9" i="116"/>
  <c r="J9" i="116"/>
  <c r="I9" i="116"/>
  <c r="H9" i="116"/>
  <c r="G9" i="116"/>
  <c r="F9" i="116"/>
  <c r="F8" i="116"/>
  <c r="D7" i="116"/>
  <c r="C5" i="116"/>
  <c r="B3" i="116"/>
  <c r="D61" i="115"/>
  <c r="D60" i="115"/>
  <c r="D59" i="115"/>
  <c r="D58" i="115"/>
  <c r="D57" i="115"/>
  <c r="D56" i="115"/>
  <c r="D55" i="115"/>
  <c r="D54" i="115"/>
  <c r="D53" i="115"/>
  <c r="D52" i="115"/>
  <c r="D51" i="115"/>
  <c r="D50" i="115"/>
  <c r="D49" i="115"/>
  <c r="D48" i="115"/>
  <c r="D47" i="115"/>
  <c r="D46" i="115"/>
  <c r="D43" i="115"/>
  <c r="D42" i="115"/>
  <c r="D41" i="115"/>
  <c r="D40" i="115"/>
  <c r="D39" i="115"/>
  <c r="D38" i="115"/>
  <c r="K9" i="115"/>
  <c r="J9" i="115"/>
  <c r="I9" i="115"/>
  <c r="H9" i="115"/>
  <c r="G9" i="115"/>
  <c r="F9" i="115"/>
  <c r="E9" i="115"/>
  <c r="E8" i="115"/>
  <c r="D7" i="115"/>
  <c r="C5" i="115"/>
  <c r="B3" i="115"/>
  <c r="L9" i="114"/>
  <c r="K9" i="114"/>
  <c r="J9" i="114"/>
  <c r="I9" i="114"/>
  <c r="H9" i="114"/>
  <c r="G9" i="114"/>
  <c r="F9" i="114"/>
  <c r="F8" i="114"/>
  <c r="D7" i="114"/>
  <c r="D26" i="114" s="1"/>
  <c r="C5" i="114"/>
  <c r="B3" i="114"/>
  <c r="H35" i="109" l="1"/>
  <c r="H32" i="109"/>
  <c r="H31" i="109"/>
  <c r="H30" i="109"/>
  <c r="D38" i="109"/>
  <c r="D37" i="109"/>
  <c r="D36" i="109"/>
  <c r="D35" i="109"/>
  <c r="D34" i="109"/>
  <c r="D33" i="109"/>
  <c r="D32" i="109"/>
  <c r="D31" i="109"/>
  <c r="D30" i="109"/>
  <c r="D29" i="109"/>
  <c r="H29" i="109"/>
  <c r="H36" i="109"/>
  <c r="H37" i="109"/>
  <c r="H38" i="109"/>
  <c r="I29" i="109" l="1"/>
  <c r="I35" i="109"/>
  <c r="I36" i="109"/>
  <c r="I37" i="109"/>
  <c r="I38" i="109"/>
  <c r="I39" i="109"/>
  <c r="I32" i="109"/>
  <c r="I31" i="109"/>
  <c r="I30" i="109"/>
  <c r="N32" i="105" l="1"/>
  <c r="M32" i="105"/>
  <c r="L32" i="105"/>
  <c r="K32" i="105"/>
  <c r="J32" i="105"/>
  <c r="I32" i="105"/>
  <c r="H32" i="105"/>
  <c r="G32" i="105" s="1"/>
  <c r="F32" i="105" s="1"/>
  <c r="E32" i="105" s="1"/>
  <c r="N26" i="105"/>
  <c r="M26" i="105"/>
  <c r="L26" i="105"/>
  <c r="K26" i="105"/>
  <c r="J26" i="105"/>
  <c r="I26" i="105"/>
  <c r="H26" i="105"/>
  <c r="G26" i="105" s="1"/>
  <c r="F26" i="105" s="1"/>
  <c r="E26" i="105" s="1"/>
  <c r="G26" i="106" l="1"/>
  <c r="F26" i="106"/>
  <c r="I29" i="113" l="1" a="1"/>
  <c r="I29" i="113" s="1"/>
  <c r="D29" i="113"/>
  <c r="I28" i="113" a="1"/>
  <c r="I28" i="113" s="1"/>
  <c r="D28" i="113"/>
  <c r="I27" i="113" a="1"/>
  <c r="I27" i="113" s="1"/>
  <c r="D27" i="113"/>
  <c r="I26" i="113" a="1"/>
  <c r="I26" i="113" s="1"/>
  <c r="D26" i="113"/>
  <c r="I25" i="113" a="1"/>
  <c r="I25" i="113" s="1"/>
  <c r="D25" i="113"/>
  <c r="D24" i="113"/>
  <c r="D23" i="113"/>
  <c r="D22" i="113"/>
  <c r="D21" i="113"/>
  <c r="D20" i="113"/>
  <c r="D19" i="113"/>
  <c r="D18" i="113"/>
  <c r="D17" i="113"/>
  <c r="D16" i="113"/>
  <c r="D15" i="113"/>
  <c r="F9" i="113"/>
  <c r="J8" i="113"/>
  <c r="A1" i="113"/>
  <c r="H18" i="25" s="1"/>
  <c r="K8" i="113" l="1"/>
  <c r="D335" i="122"/>
  <c r="L8" i="113" l="1"/>
  <c r="M8" i="113" l="1"/>
  <c r="N8" i="113" l="1"/>
  <c r="O8" i="113" l="1"/>
  <c r="P8" i="113" l="1"/>
  <c r="Q8" i="113" l="1"/>
  <c r="R8" i="113" s="1"/>
  <c r="S8" i="113"/>
  <c r="K10" i="112" l="1"/>
  <c r="J10" i="112"/>
  <c r="I10" i="112"/>
  <c r="H10" i="112"/>
  <c r="G10" i="112"/>
  <c r="F10" i="112"/>
  <c r="E10" i="112"/>
  <c r="D7" i="112"/>
  <c r="C5" i="112"/>
  <c r="K9" i="109"/>
  <c r="J9" i="109"/>
  <c r="I9" i="109"/>
  <c r="H9" i="109"/>
  <c r="G9" i="109"/>
  <c r="F9" i="109"/>
  <c r="E9" i="109"/>
  <c r="G28" i="109" s="1"/>
  <c r="F28" i="109" s="1"/>
  <c r="E28" i="109" s="1"/>
  <c r="E8" i="109"/>
  <c r="D7" i="109"/>
  <c r="C5" i="109"/>
  <c r="B3" i="109"/>
  <c r="K9" i="108"/>
  <c r="J9" i="108"/>
  <c r="I9" i="108"/>
  <c r="H9" i="108"/>
  <c r="G9" i="108"/>
  <c r="F9" i="108"/>
  <c r="E9" i="108"/>
  <c r="E8" i="108"/>
  <c r="D7" i="108"/>
  <c r="C5" i="108"/>
  <c r="B3" i="108"/>
  <c r="K9" i="107"/>
  <c r="J9" i="107"/>
  <c r="I9" i="107"/>
  <c r="H9" i="107"/>
  <c r="G9" i="107"/>
  <c r="F9" i="107"/>
  <c r="E9" i="107"/>
  <c r="E8" i="107"/>
  <c r="D7" i="107"/>
  <c r="C5" i="107"/>
  <c r="B3" i="107"/>
  <c r="G24" i="106"/>
  <c r="G27" i="106" s="1"/>
  <c r="F24" i="106"/>
  <c r="F27" i="106" s="1"/>
  <c r="L9" i="106"/>
  <c r="K9" i="106"/>
  <c r="J9" i="106"/>
  <c r="I9" i="106"/>
  <c r="H9" i="106"/>
  <c r="G9" i="106"/>
  <c r="F9" i="106"/>
  <c r="F8" i="106"/>
  <c r="D7" i="106"/>
  <c r="C5" i="106"/>
  <c r="B3" i="106"/>
  <c r="N9" i="105"/>
  <c r="M9" i="105"/>
  <c r="L9" i="105"/>
  <c r="K9" i="105"/>
  <c r="J9" i="105"/>
  <c r="I9" i="105"/>
  <c r="H9" i="105"/>
  <c r="G9" i="105" s="1"/>
  <c r="F9" i="105" s="1"/>
  <c r="E9" i="105" s="1"/>
  <c r="E8" i="105"/>
  <c r="D7" i="105"/>
  <c r="C5" i="105"/>
  <c r="B3" i="105"/>
  <c r="K10" i="104"/>
  <c r="J10" i="104"/>
  <c r="I10" i="104"/>
  <c r="H10" i="104"/>
  <c r="G10" i="104"/>
  <c r="F10" i="104"/>
  <c r="E10" i="104"/>
  <c r="E9" i="104"/>
  <c r="D7" i="104"/>
  <c r="C5" i="104"/>
  <c r="B3" i="104"/>
  <c r="K23" i="103"/>
  <c r="J23" i="103"/>
  <c r="I23" i="103"/>
  <c r="H23" i="103"/>
  <c r="G23" i="103"/>
  <c r="F23" i="103"/>
  <c r="E23" i="103"/>
  <c r="E22" i="103"/>
  <c r="K9" i="103"/>
  <c r="J9" i="103"/>
  <c r="I9" i="103"/>
  <c r="H9" i="103"/>
  <c r="G9" i="103"/>
  <c r="F9" i="103"/>
  <c r="E9" i="103"/>
  <c r="E8" i="103"/>
  <c r="C5" i="103"/>
  <c r="B3" i="103"/>
  <c r="C5" i="101"/>
  <c r="B3" i="101"/>
  <c r="B3" i="102"/>
  <c r="C5" i="102"/>
  <c r="K9" i="102"/>
  <c r="J9" i="102"/>
  <c r="I9" i="102"/>
  <c r="H9" i="102"/>
  <c r="G9" i="102"/>
  <c r="F9" i="102"/>
  <c r="E9" i="102"/>
  <c r="E8" i="102"/>
  <c r="K9" i="101"/>
  <c r="J9" i="101"/>
  <c r="I9" i="101"/>
  <c r="H9" i="101"/>
  <c r="G9" i="101"/>
  <c r="F9" i="101"/>
  <c r="E9" i="101"/>
  <c r="E8" i="101"/>
  <c r="D7" i="102"/>
  <c r="D7" i="101"/>
  <c r="D7" i="100"/>
  <c r="D120" i="4" l="1"/>
  <c r="E107" i="4" l="1"/>
  <c r="K17" i="4" l="1"/>
  <c r="K15" i="4" s="1"/>
  <c r="D60" i="4"/>
  <c r="E68" i="4"/>
  <c r="D68" i="4"/>
  <c r="D54" i="4"/>
  <c r="B3" i="25"/>
  <c r="B3" i="4"/>
  <c r="D49" i="28"/>
  <c r="D48" i="28"/>
  <c r="B6" i="28"/>
  <c r="B4" i="28"/>
  <c r="B4" i="25"/>
  <c r="B4" i="4"/>
  <c r="L17" i="4" l="1"/>
  <c r="M17" i="4" s="1"/>
  <c r="J16" i="4"/>
  <c r="J15" i="4" s="1"/>
  <c r="K16" i="4"/>
  <c r="L15" i="4" l="1"/>
  <c r="L16" i="4" s="1"/>
  <c r="L18" i="4" s="1"/>
  <c r="K7" i="113" s="1"/>
  <c r="N17" i="4"/>
  <c r="J18" i="4"/>
  <c r="I7" i="113" s="1"/>
  <c r="K18" i="4"/>
  <c r="J7" i="113" s="1"/>
  <c r="M15" i="4" l="1"/>
  <c r="M16" i="4" s="1"/>
  <c r="L20" i="4"/>
  <c r="K14" i="113" s="1"/>
  <c r="K20" i="4"/>
  <c r="J14" i="113" s="1"/>
  <c r="J20" i="4"/>
  <c r="I14" i="113" s="1"/>
  <c r="O17" i="4"/>
  <c r="P17" i="4" l="1"/>
  <c r="N15" i="4"/>
  <c r="M18" i="4"/>
  <c r="L7" i="113" s="1"/>
  <c r="M20" i="4" l="1"/>
  <c r="L14" i="113" s="1"/>
  <c r="Q17" i="4"/>
  <c r="N16" i="4"/>
  <c r="R17" i="4" l="1"/>
  <c r="O15" i="4"/>
  <c r="N18" i="4"/>
  <c r="M7" i="113" s="1"/>
  <c r="N20" i="4" l="1"/>
  <c r="M14" i="113" s="1"/>
  <c r="S17" i="4"/>
  <c r="O16" i="4"/>
  <c r="T17" i="4" l="1"/>
  <c r="O18" i="4"/>
  <c r="N7" i="113" s="1"/>
  <c r="P15" i="4"/>
  <c r="O20" i="4" l="1"/>
  <c r="N14" i="113" s="1"/>
  <c r="U17" i="4"/>
  <c r="P16" i="4"/>
  <c r="V17" i="4" l="1"/>
  <c r="P18" i="4"/>
  <c r="Q15" i="4"/>
  <c r="AA20" i="4"/>
  <c r="O7" i="113" l="1"/>
  <c r="E10" i="119"/>
  <c r="P20" i="4"/>
  <c r="O14" i="113" s="1"/>
  <c r="W17" i="4"/>
  <c r="Q16" i="4"/>
  <c r="X17" i="4" l="1"/>
  <c r="Q18" i="4"/>
  <c r="R15" i="4"/>
  <c r="P7" i="113" l="1"/>
  <c r="F10" i="119"/>
  <c r="Q20" i="4"/>
  <c r="P14" i="113" s="1"/>
  <c r="Y17" i="4"/>
  <c r="R16" i="4"/>
  <c r="S15" i="4" l="1"/>
  <c r="R18" i="4"/>
  <c r="Q7" i="113" l="1"/>
  <c r="G10" i="119"/>
  <c r="R20" i="4"/>
  <c r="Q14" i="113" s="1"/>
  <c r="S16" i="4"/>
  <c r="T15" i="4" l="1"/>
  <c r="S18" i="4"/>
  <c r="F76" i="103" s="1"/>
  <c r="H333" i="122" l="1"/>
  <c r="R7" i="113"/>
  <c r="F123" i="116"/>
  <c r="S20" i="4"/>
  <c r="R14" i="113" s="1"/>
  <c r="T16" i="4"/>
  <c r="U15" i="4" s="1"/>
  <c r="U16" i="4" s="1"/>
  <c r="U18" i="4" l="1"/>
  <c r="H76" i="103" s="1"/>
  <c r="V15" i="4"/>
  <c r="V16" i="4" s="1"/>
  <c r="T18" i="4"/>
  <c r="G76" i="103" s="1"/>
  <c r="I333" i="122" l="1"/>
  <c r="J333" i="122"/>
  <c r="S7" i="113"/>
  <c r="G123" i="116"/>
  <c r="T7" i="113"/>
  <c r="H123" i="116"/>
  <c r="U20" i="4"/>
  <c r="T14" i="113" s="1"/>
  <c r="T20" i="4"/>
  <c r="S14" i="113" s="1"/>
  <c r="V18" i="4"/>
  <c r="I76" i="103" s="1"/>
  <c r="W15" i="4"/>
  <c r="W16" i="4" s="1"/>
  <c r="K333" i="122" l="1"/>
  <c r="U7" i="113"/>
  <c r="I123" i="116"/>
  <c r="V20" i="4"/>
  <c r="U14" i="113" s="1"/>
  <c r="W18" i="4"/>
  <c r="J76" i="103" s="1"/>
  <c r="X15" i="4"/>
  <c r="X16" i="4" s="1"/>
  <c r="AB20" i="4"/>
  <c r="L333" i="122" l="1"/>
  <c r="V7" i="113"/>
  <c r="J123" i="116"/>
  <c r="W20" i="4"/>
  <c r="V14" i="113" s="1"/>
  <c r="X18" i="4"/>
  <c r="K76" i="103" s="1"/>
  <c r="Y15" i="4"/>
  <c r="Y16" i="4" s="1"/>
  <c r="Y18" i="4" s="1"/>
  <c r="L76" i="103" s="1"/>
  <c r="N333" i="122" l="1"/>
  <c r="M333" i="122"/>
  <c r="X7" i="113"/>
  <c r="L123" i="116"/>
  <c r="W7" i="113"/>
  <c r="K123" i="116"/>
  <c r="X20" i="4"/>
  <c r="W14" i="113" s="1"/>
  <c r="Y20" i="4"/>
  <c r="X14" i="113" s="1"/>
  <c r="J10" i="113" l="1"/>
  <c r="J35" i="105"/>
  <c r="I15" i="113" a="1"/>
  <c r="I15" i="113" s="1"/>
  <c r="K35" i="105" l="1"/>
  <c r="J25" i="113" a="1"/>
  <c r="J25" i="113" s="1"/>
  <c r="K10" i="113"/>
  <c r="J29" i="113" a="1"/>
  <c r="J29" i="113" s="1"/>
  <c r="J28" i="113" a="1"/>
  <c r="J28" i="113" s="1"/>
  <c r="J15" i="113" a="1"/>
  <c r="J15" i="113" s="1"/>
  <c r="J26" i="113" a="1"/>
  <c r="J26" i="113" s="1"/>
  <c r="J27" i="113" a="1"/>
  <c r="J27" i="113" s="1"/>
  <c r="J20" i="113" a="1"/>
  <c r="J20" i="113" s="1"/>
  <c r="I20" i="113" a="1"/>
  <c r="I20" i="113" s="1"/>
  <c r="L35" i="105" l="1"/>
  <c r="K25" i="113" a="1"/>
  <c r="K25" i="113" s="1"/>
  <c r="K26" i="113" a="1"/>
  <c r="K26" i="113" s="1"/>
  <c r="K15" i="113" a="1"/>
  <c r="K15" i="113" s="1"/>
  <c r="K29" i="113" a="1"/>
  <c r="K29" i="113" s="1"/>
  <c r="K28" i="113" a="1"/>
  <c r="K28" i="113" s="1"/>
  <c r="K27" i="113" a="1"/>
  <c r="K27" i="113" s="1"/>
  <c r="L10" i="113"/>
  <c r="K20" i="113" a="1"/>
  <c r="K20" i="113" s="1"/>
  <c r="M35" i="105" l="1"/>
  <c r="L26" i="113" a="1"/>
  <c r="L26" i="113" s="1"/>
  <c r="L25" i="113" a="1"/>
  <c r="L25" i="113" s="1"/>
  <c r="L29" i="113" a="1"/>
  <c r="L29" i="113" s="1"/>
  <c r="L28" i="113" a="1"/>
  <c r="L28" i="113" s="1"/>
  <c r="L15" i="113" a="1"/>
  <c r="L15" i="113" s="1"/>
  <c r="M10" i="113"/>
  <c r="L27" i="113" a="1"/>
  <c r="L27" i="113" s="1"/>
  <c r="L20" i="113" a="1"/>
  <c r="L20" i="113" s="1"/>
  <c r="N35" i="105" l="1"/>
  <c r="M27" i="113" a="1"/>
  <c r="M27" i="113" s="1"/>
  <c r="M29" i="113" a="1"/>
  <c r="M29" i="113" s="1"/>
  <c r="M15" i="113" a="1"/>
  <c r="M15" i="113" s="1"/>
  <c r="N10" i="113"/>
  <c r="M21" i="113" s="1" a="1"/>
  <c r="M21" i="113" s="1"/>
  <c r="M26" i="113" a="1"/>
  <c r="M26" i="113" s="1"/>
  <c r="M28" i="113" a="1"/>
  <c r="M28" i="113" s="1"/>
  <c r="M25" i="113" a="1"/>
  <c r="M25" i="113" s="1"/>
  <c r="M20" i="113" a="1"/>
  <c r="M20" i="113" s="1"/>
  <c r="N15" i="113" l="1" a="1"/>
  <c r="N15" i="113" s="1"/>
  <c r="N29" i="113" a="1"/>
  <c r="N29" i="113" s="1"/>
  <c r="N28" i="113" a="1"/>
  <c r="N28" i="113" s="1"/>
  <c r="O10" i="113"/>
  <c r="N27" i="113" a="1"/>
  <c r="N27" i="113" s="1"/>
  <c r="N26" i="113" a="1"/>
  <c r="N26" i="113" s="1"/>
  <c r="N25" i="113" a="1"/>
  <c r="N25" i="113" s="1"/>
  <c r="N20" i="113" a="1"/>
  <c r="N20" i="113" s="1"/>
  <c r="N21" i="113" a="1"/>
  <c r="N21" i="113" s="1"/>
  <c r="I21" i="113" a="1"/>
  <c r="I21" i="113" s="1"/>
  <c r="J21" i="113" a="1"/>
  <c r="J21" i="113" s="1"/>
  <c r="K21" i="113" a="1"/>
  <c r="K21" i="113" s="1"/>
  <c r="L21" i="113" a="1"/>
  <c r="L21" i="113" s="1"/>
  <c r="O26" i="113" l="1" a="1"/>
  <c r="O26" i="113" s="1"/>
  <c r="O28" i="113" a="1"/>
  <c r="O28" i="113" s="1"/>
  <c r="P10" i="113"/>
  <c r="O15" i="113" a="1"/>
  <c r="O15" i="113" s="1"/>
  <c r="O25" i="113" a="1"/>
  <c r="O25" i="113" s="1"/>
  <c r="O27" i="113" a="1"/>
  <c r="O27" i="113" s="1"/>
  <c r="O29" i="113" a="1"/>
  <c r="O29" i="113" s="1"/>
  <c r="O20" i="113" a="1"/>
  <c r="O20" i="113" s="1"/>
  <c r="O21" i="113" a="1"/>
  <c r="O21" i="113" s="1"/>
  <c r="G20" i="108" l="1"/>
  <c r="P25" i="113" a="1"/>
  <c r="P25" i="113" s="1"/>
  <c r="P28" i="113" a="1"/>
  <c r="P28" i="113" s="1"/>
  <c r="P26" i="113" a="1"/>
  <c r="P26" i="113" s="1"/>
  <c r="P27" i="113" a="1"/>
  <c r="P27" i="113" s="1"/>
  <c r="P29" i="113" a="1"/>
  <c r="P29" i="113" s="1"/>
  <c r="P15" i="113" a="1"/>
  <c r="P15" i="113" s="1"/>
  <c r="P20" i="113" a="1"/>
  <c r="P20" i="113" s="1"/>
  <c r="P21" i="113" a="1"/>
  <c r="P21" i="113" s="1"/>
  <c r="Q10" i="113"/>
  <c r="P24" i="113" s="1" a="1"/>
  <c r="P24" i="113" s="1"/>
  <c r="I24" i="113" l="1" a="1"/>
  <c r="I24" i="113" s="1"/>
  <c r="J24" i="113" a="1"/>
  <c r="J24" i="113" s="1"/>
  <c r="K24" i="113" a="1"/>
  <c r="K24" i="113" s="1"/>
  <c r="L24" i="113" a="1"/>
  <c r="L24" i="113" s="1"/>
  <c r="M24" i="113" a="1"/>
  <c r="M24" i="113" s="1"/>
  <c r="N24" i="113" a="1"/>
  <c r="N24" i="113" s="1"/>
  <c r="O24" i="113" a="1"/>
  <c r="O24" i="113" s="1"/>
  <c r="H20" i="108"/>
  <c r="G22" i="108"/>
  <c r="G23" i="108" s="1"/>
  <c r="Q15" i="113" a="1"/>
  <c r="Q15" i="113" s="1"/>
  <c r="Q21" i="113" a="1"/>
  <c r="Q21" i="113" s="1"/>
  <c r="R10" i="113"/>
  <c r="Q27" i="113" a="1"/>
  <c r="Q27" i="113" s="1"/>
  <c r="Q28" i="113" a="1"/>
  <c r="Q28" i="113" s="1"/>
  <c r="Q20" i="113" a="1"/>
  <c r="Q20" i="113" s="1"/>
  <c r="Q24" i="113" a="1"/>
  <c r="Q24" i="113" s="1"/>
  <c r="Q26" i="113" a="1"/>
  <c r="Q26" i="113" s="1"/>
  <c r="Q29" i="113" a="1"/>
  <c r="Q29" i="113" s="1"/>
  <c r="Q25" i="113" a="1"/>
  <c r="Q25" i="113" s="1"/>
  <c r="I20" i="108" l="1"/>
  <c r="H22" i="108"/>
  <c r="H23" i="108" s="1"/>
  <c r="S10" i="113"/>
  <c r="R22" i="113" s="1" a="1"/>
  <c r="R22" i="113" s="1"/>
  <c r="R27" i="113" a="1"/>
  <c r="R27" i="113" s="1"/>
  <c r="R20" i="113" a="1"/>
  <c r="R20" i="113" s="1"/>
  <c r="R28" i="113" a="1"/>
  <c r="R28" i="113" s="1"/>
  <c r="R29" i="113" a="1"/>
  <c r="R29" i="113" s="1"/>
  <c r="R25" i="113" a="1"/>
  <c r="R25" i="113" s="1"/>
  <c r="R26" i="113" a="1"/>
  <c r="R26" i="113" s="1"/>
  <c r="R15" i="113" a="1"/>
  <c r="R15" i="113" s="1"/>
  <c r="R21" i="113" a="1"/>
  <c r="R21" i="113" s="1"/>
  <c r="R24" i="113" a="1"/>
  <c r="R24" i="113" s="1"/>
  <c r="J20" i="108" l="1"/>
  <c r="I22" i="108"/>
  <c r="I23" i="108" s="1"/>
  <c r="S20" i="113" a="1"/>
  <c r="S20" i="113" s="1"/>
  <c r="O19" i="113" a="1"/>
  <c r="O19" i="113" s="1"/>
  <c r="S19" i="113" a="1"/>
  <c r="S19" i="113" s="1"/>
  <c r="I17" i="113" a="1"/>
  <c r="I17" i="113" s="1"/>
  <c r="K17" i="113" a="1"/>
  <c r="K17" i="113" s="1"/>
  <c r="T18" i="113" a="1"/>
  <c r="T18" i="113" s="1"/>
  <c r="I18" i="113" a="1"/>
  <c r="I18" i="113" s="1"/>
  <c r="S16" i="113" a="1"/>
  <c r="S16" i="113" s="1"/>
  <c r="W23" i="113" a="1"/>
  <c r="W23" i="113" s="1"/>
  <c r="J11" i="131" s="1"/>
  <c r="Q23" i="113" a="1"/>
  <c r="Q23" i="113" s="1"/>
  <c r="S23" i="113" a="1"/>
  <c r="S23" i="113" s="1"/>
  <c r="L17" i="113" a="1"/>
  <c r="L17" i="113" s="1"/>
  <c r="V18" i="113" a="1"/>
  <c r="V18" i="113" s="1"/>
  <c r="S24" i="113" a="1"/>
  <c r="S24" i="113" s="1"/>
  <c r="S21" i="113" a="1"/>
  <c r="S21" i="113" s="1"/>
  <c r="L16" i="113" a="1"/>
  <c r="L16" i="113" s="1"/>
  <c r="L19" i="113" a="1"/>
  <c r="L19" i="113" s="1"/>
  <c r="M16" i="113" a="1"/>
  <c r="M16" i="113" s="1"/>
  <c r="M17" i="113" a="1"/>
  <c r="M17" i="113" s="1"/>
  <c r="W18" i="113" a="1"/>
  <c r="W18" i="113" s="1"/>
  <c r="T19" i="113" a="1"/>
  <c r="T19" i="113" s="1"/>
  <c r="L18" i="113" a="1"/>
  <c r="L18" i="113" s="1"/>
  <c r="R23" i="113" a="1"/>
  <c r="R23" i="113" s="1"/>
  <c r="O23" i="113" a="1"/>
  <c r="O23" i="113" s="1"/>
  <c r="J23" i="113" a="1"/>
  <c r="J23" i="113" s="1"/>
  <c r="N18" i="113" a="1"/>
  <c r="N18" i="113" s="1"/>
  <c r="S25" i="113" a="1"/>
  <c r="S25" i="113" s="1"/>
  <c r="U19" i="113" a="1"/>
  <c r="U19" i="113" s="1"/>
  <c r="J19" i="113" a="1"/>
  <c r="J19" i="113" s="1"/>
  <c r="Q18" i="113" a="1"/>
  <c r="Q18" i="113" s="1"/>
  <c r="P19" i="113" a="1"/>
  <c r="P19" i="113" s="1"/>
  <c r="Q16" i="113" a="1"/>
  <c r="Q16" i="113" s="1"/>
  <c r="V19" i="113" a="1"/>
  <c r="V19" i="113" s="1"/>
  <c r="P18" i="113" a="1"/>
  <c r="P18" i="113" s="1"/>
  <c r="R16" i="113" a="1"/>
  <c r="R16" i="113" s="1"/>
  <c r="K23" i="113" a="1"/>
  <c r="K23" i="113" s="1"/>
  <c r="N23" i="113" a="1"/>
  <c r="N23" i="113" s="1"/>
  <c r="Q19" i="113" a="1"/>
  <c r="Q19" i="113" s="1"/>
  <c r="V23" i="113" a="1"/>
  <c r="V23" i="113" s="1"/>
  <c r="I11" i="131" s="1"/>
  <c r="S28" i="113" a="1"/>
  <c r="S28" i="113" s="1"/>
  <c r="N16" i="113" a="1"/>
  <c r="N16" i="113" s="1"/>
  <c r="O17" i="113" a="1"/>
  <c r="O17" i="113" s="1"/>
  <c r="K16" i="113" a="1"/>
  <c r="K16" i="113" s="1"/>
  <c r="R17" i="113" a="1"/>
  <c r="R17" i="113" s="1"/>
  <c r="I19" i="113" a="1"/>
  <c r="I19" i="113" s="1"/>
  <c r="I22" i="113" a="1"/>
  <c r="I22" i="113" s="1"/>
  <c r="R18" i="113" a="1"/>
  <c r="R18" i="113" s="1"/>
  <c r="I23" i="113" a="1"/>
  <c r="I23" i="113" s="1"/>
  <c r="S18" i="113" a="1"/>
  <c r="S18" i="113" s="1"/>
  <c r="S26" i="113" a="1"/>
  <c r="S26" i="113" s="1"/>
  <c r="I16" i="113" a="1"/>
  <c r="I16" i="113" s="1"/>
  <c r="X19" i="113" a="1"/>
  <c r="X19" i="113" s="1"/>
  <c r="K19" i="113" a="1"/>
  <c r="K19" i="113" s="1"/>
  <c r="M18" i="113" a="1"/>
  <c r="M18" i="113" s="1"/>
  <c r="J18" i="113" a="1"/>
  <c r="J18" i="113" s="1"/>
  <c r="J17" i="113" a="1"/>
  <c r="J17" i="113" s="1"/>
  <c r="W19" i="113" a="1"/>
  <c r="W19" i="113" s="1"/>
  <c r="U23" i="113" a="1"/>
  <c r="U23" i="113" s="1"/>
  <c r="H11" i="131" s="1"/>
  <c r="L23" i="113" a="1"/>
  <c r="L23" i="113" s="1"/>
  <c r="S27" i="113" a="1"/>
  <c r="S27" i="113" s="1"/>
  <c r="S15" i="113" a="1"/>
  <c r="S15" i="113" s="1"/>
  <c r="S22" i="113" a="1"/>
  <c r="S22" i="113" s="1"/>
  <c r="S17" i="113" a="1"/>
  <c r="S17" i="113" s="1"/>
  <c r="K18" i="113" a="1"/>
  <c r="K18" i="113" s="1"/>
  <c r="P16" i="113" a="1"/>
  <c r="P16" i="113" s="1"/>
  <c r="N19" i="113" a="1"/>
  <c r="N19" i="113" s="1"/>
  <c r="Q17" i="113" a="1"/>
  <c r="Q17" i="113" s="1"/>
  <c r="N17" i="113" a="1"/>
  <c r="N17" i="113" s="1"/>
  <c r="P17" i="113" a="1"/>
  <c r="P17" i="113" s="1"/>
  <c r="T23" i="113" a="1"/>
  <c r="T23" i="113" s="1"/>
  <c r="G11" i="131" s="1"/>
  <c r="X18" i="113" a="1"/>
  <c r="X18" i="113" s="1"/>
  <c r="X23" i="113" a="1"/>
  <c r="X23" i="113" s="1"/>
  <c r="K11" i="131" s="1"/>
  <c r="S29" i="113" a="1"/>
  <c r="S29" i="113" s="1"/>
  <c r="U18" i="113" a="1"/>
  <c r="U18" i="113" s="1"/>
  <c r="O18" i="113" a="1"/>
  <c r="O18" i="113" s="1"/>
  <c r="M19" i="113" a="1"/>
  <c r="M19" i="113" s="1"/>
  <c r="O16" i="113" a="1"/>
  <c r="O16" i="113" s="1"/>
  <c r="R19" i="113" a="1"/>
  <c r="R19" i="113" s="1"/>
  <c r="M23" i="113" a="1"/>
  <c r="M23" i="113" s="1"/>
  <c r="P23" i="113" a="1"/>
  <c r="P23" i="113" s="1"/>
  <c r="J16" i="113" a="1"/>
  <c r="J16" i="113" s="1"/>
  <c r="J22" i="113" a="1"/>
  <c r="J22" i="113" s="1"/>
  <c r="K22" i="113" a="1"/>
  <c r="K22" i="113" s="1"/>
  <c r="L22" i="113" a="1"/>
  <c r="L22" i="113" s="1"/>
  <c r="M22" i="113" a="1"/>
  <c r="M22" i="113" s="1"/>
  <c r="N22" i="113" a="1"/>
  <c r="N22" i="113" s="1"/>
  <c r="O22" i="113" a="1"/>
  <c r="O22" i="113" s="1"/>
  <c r="P22" i="113" a="1"/>
  <c r="P22" i="113" s="1"/>
  <c r="Q22" i="113" a="1"/>
  <c r="Q22" i="113" s="1"/>
  <c r="F128" i="116" l="1"/>
  <c r="G127" i="116"/>
  <c r="E120" i="120"/>
  <c r="E112" i="120"/>
  <c r="H112" i="120" s="1"/>
  <c r="E113" i="120"/>
  <c r="H113" i="120" s="1"/>
  <c r="E107" i="120"/>
  <c r="H107" i="120" s="1"/>
  <c r="E108" i="120"/>
  <c r="H108" i="120" s="1"/>
  <c r="E105" i="120"/>
  <c r="E114" i="120"/>
  <c r="H114" i="120" s="1"/>
  <c r="E123" i="120"/>
  <c r="F123" i="120" s="1"/>
  <c r="H123" i="120" s="1"/>
  <c r="E111" i="120"/>
  <c r="H111" i="120" s="1"/>
  <c r="E117" i="120"/>
  <c r="H117" i="120" s="1"/>
  <c r="E122" i="120"/>
  <c r="E118" i="120"/>
  <c r="H118" i="120" s="1"/>
  <c r="E109" i="120"/>
  <c r="H109" i="120" s="1"/>
  <c r="E110" i="120"/>
  <c r="H110" i="120" s="1"/>
  <c r="E106" i="120"/>
  <c r="H106" i="120" s="1"/>
  <c r="E119" i="120"/>
  <c r="E116" i="120"/>
  <c r="H116" i="120" s="1"/>
  <c r="E121" i="120"/>
  <c r="H121" i="120" s="1"/>
  <c r="E115" i="120"/>
  <c r="H115" i="120" s="1"/>
  <c r="H32" i="125"/>
  <c r="G32" i="125"/>
  <c r="F11" i="131"/>
  <c r="F10" i="131"/>
  <c r="F12" i="131"/>
  <c r="E12" i="131"/>
  <c r="E11" i="131"/>
  <c r="E10" i="131"/>
  <c r="N46" i="118"/>
  <c r="G36" i="116"/>
  <c r="G32" i="116"/>
  <c r="G28" i="116"/>
  <c r="G31" i="116"/>
  <c r="G29" i="116"/>
  <c r="G33" i="116"/>
  <c r="G34" i="116"/>
  <c r="G37" i="116"/>
  <c r="G35" i="116"/>
  <c r="G30" i="116"/>
  <c r="F29" i="116"/>
  <c r="F36" i="116"/>
  <c r="F37" i="116"/>
  <c r="F33" i="116"/>
  <c r="F30" i="116"/>
  <c r="F32" i="116"/>
  <c r="F34" i="116"/>
  <c r="F31" i="116"/>
  <c r="F35" i="116"/>
  <c r="K20" i="108"/>
  <c r="J22" i="108"/>
  <c r="J23" i="108" s="1"/>
  <c r="F10" i="102"/>
  <c r="F11" i="102"/>
  <c r="F12" i="102"/>
  <c r="E11" i="102"/>
  <c r="E10" i="102"/>
  <c r="E12" i="102"/>
  <c r="G21" i="114"/>
  <c r="F21" i="114"/>
  <c r="F11" i="126"/>
  <c r="F16" i="126"/>
  <c r="F17" i="126"/>
  <c r="F13" i="126"/>
  <c r="F15" i="126"/>
  <c r="F12" i="126"/>
  <c r="F18" i="126"/>
  <c r="F10" i="126"/>
  <c r="F14" i="126"/>
  <c r="G12" i="126"/>
  <c r="G16" i="126"/>
  <c r="G18" i="126"/>
  <c r="G10" i="126"/>
  <c r="G14" i="126"/>
  <c r="G17" i="126"/>
  <c r="G11" i="126"/>
  <c r="G13" i="126"/>
  <c r="G15" i="126"/>
  <c r="F11" i="114"/>
  <c r="F17" i="114"/>
  <c r="F16" i="114"/>
  <c r="F15" i="114"/>
  <c r="F10" i="114"/>
  <c r="F14" i="114"/>
  <c r="F13" i="114"/>
  <c r="F18" i="114"/>
  <c r="F12" i="114"/>
  <c r="G15" i="114"/>
  <c r="G17" i="114"/>
  <c r="G16" i="114"/>
  <c r="G14" i="114"/>
  <c r="G11" i="114"/>
  <c r="G10" i="114"/>
  <c r="G13" i="114"/>
  <c r="G18" i="114"/>
  <c r="G12" i="114"/>
  <c r="F43" i="116"/>
  <c r="F39" i="116"/>
  <c r="F42" i="116"/>
  <c r="F38" i="116"/>
  <c r="F41" i="116"/>
  <c r="F40" i="116"/>
  <c r="G25" i="125"/>
  <c r="G24" i="125"/>
  <c r="G11" i="125"/>
  <c r="G16" i="125"/>
  <c r="G23" i="125"/>
  <c r="G12" i="125"/>
  <c r="G14" i="125"/>
  <c r="G15" i="125"/>
  <c r="G13" i="125"/>
  <c r="G18" i="125"/>
  <c r="G19" i="125"/>
  <c r="G20" i="125"/>
  <c r="G21" i="125"/>
  <c r="G17" i="125"/>
  <c r="F28" i="116"/>
  <c r="G43" i="116"/>
  <c r="G39" i="116"/>
  <c r="G42" i="116"/>
  <c r="G38" i="116"/>
  <c r="G41" i="116"/>
  <c r="G40" i="116"/>
  <c r="H24" i="125"/>
  <c r="H17" i="125"/>
  <c r="H14" i="125"/>
  <c r="H21" i="125"/>
  <c r="H20" i="125"/>
  <c r="H23" i="125"/>
  <c r="H11" i="125"/>
  <c r="H25" i="125"/>
  <c r="H12" i="125"/>
  <c r="H13" i="125"/>
  <c r="H16" i="125"/>
  <c r="H19" i="125"/>
  <c r="H18" i="125"/>
  <c r="H15" i="125"/>
  <c r="O13" i="121"/>
  <c r="F16" i="103"/>
  <c r="F12" i="100"/>
  <c r="F11" i="103"/>
  <c r="F29" i="103"/>
  <c r="F15" i="103"/>
  <c r="F13" i="103"/>
  <c r="F27" i="103"/>
  <c r="F30" i="103"/>
  <c r="F13" i="100"/>
  <c r="F10" i="101"/>
  <c r="F10" i="100"/>
  <c r="F11" i="101"/>
  <c r="O12" i="121"/>
  <c r="F14" i="100"/>
  <c r="F11" i="100"/>
  <c r="F12" i="101"/>
  <c r="F13" i="101"/>
  <c r="F15" i="100"/>
  <c r="E15" i="103"/>
  <c r="E30" i="103"/>
  <c r="E13" i="100"/>
  <c r="E16" i="103"/>
  <c r="E11" i="103"/>
  <c r="E29" i="103"/>
  <c r="E13" i="103"/>
  <c r="E27" i="103"/>
  <c r="E13" i="101"/>
  <c r="N13" i="121"/>
  <c r="E15" i="100"/>
  <c r="E12" i="100"/>
  <c r="E11" i="100"/>
  <c r="N12" i="121"/>
  <c r="E10" i="100"/>
  <c r="E14" i="100"/>
  <c r="E11" i="101"/>
  <c r="E10" i="101"/>
  <c r="E12" i="101"/>
  <c r="J22" i="107"/>
  <c r="J12" i="107"/>
  <c r="J16" i="107"/>
  <c r="J19" i="107"/>
  <c r="J13" i="107"/>
  <c r="J15" i="107"/>
  <c r="J18" i="107"/>
  <c r="J23" i="107"/>
  <c r="J21" i="107"/>
  <c r="M335" i="122"/>
  <c r="J10" i="107"/>
  <c r="J11" i="107"/>
  <c r="J20" i="107"/>
  <c r="J17" i="107"/>
  <c r="J24" i="107"/>
  <c r="J14" i="107"/>
  <c r="K21" i="107"/>
  <c r="M11" i="124"/>
  <c r="K20" i="107"/>
  <c r="K10" i="107"/>
  <c r="K14" i="107"/>
  <c r="K22" i="107"/>
  <c r="K12" i="107"/>
  <c r="M13" i="124"/>
  <c r="M10" i="124"/>
  <c r="K15" i="107"/>
  <c r="K19" i="107"/>
  <c r="K16" i="107"/>
  <c r="M15" i="124"/>
  <c r="K17" i="107"/>
  <c r="K13" i="107"/>
  <c r="M14" i="124"/>
  <c r="K23" i="107"/>
  <c r="M12" i="124"/>
  <c r="K11" i="107"/>
  <c r="K24" i="107"/>
  <c r="N335" i="122"/>
  <c r="K18" i="107"/>
  <c r="I15" i="107"/>
  <c r="I19" i="107"/>
  <c r="I17" i="107"/>
  <c r="I18" i="107"/>
  <c r="I12" i="107"/>
  <c r="L335" i="122"/>
  <c r="I20" i="107"/>
  <c r="I16" i="107"/>
  <c r="I13" i="107"/>
  <c r="I22" i="107"/>
  <c r="I23" i="107"/>
  <c r="I11" i="107"/>
  <c r="I24" i="107"/>
  <c r="I14" i="107"/>
  <c r="I21" i="107"/>
  <c r="I10" i="107"/>
  <c r="E61" i="120"/>
  <c r="E77" i="120"/>
  <c r="E17" i="107"/>
  <c r="E80" i="120"/>
  <c r="E16" i="107"/>
  <c r="E81" i="120"/>
  <c r="E78" i="120"/>
  <c r="E15" i="107"/>
  <c r="E59" i="120"/>
  <c r="E14" i="107"/>
  <c r="E12" i="107"/>
  <c r="E65" i="120"/>
  <c r="E62" i="120"/>
  <c r="E11" i="107"/>
  <c r="E63" i="120"/>
  <c r="E79" i="120"/>
  <c r="E60" i="120"/>
  <c r="E88" i="120"/>
  <c r="E19" i="107"/>
  <c r="E83" i="120"/>
  <c r="E23" i="107"/>
  <c r="E64" i="120"/>
  <c r="E72" i="120"/>
  <c r="E20" i="107"/>
  <c r="E84" i="120"/>
  <c r="E69" i="120"/>
  <c r="E22" i="107"/>
  <c r="E68" i="120"/>
  <c r="H335" i="122"/>
  <c r="E57" i="120"/>
  <c r="E73" i="120"/>
  <c r="E90" i="120"/>
  <c r="E67" i="120"/>
  <c r="E70" i="120"/>
  <c r="E89" i="120"/>
  <c r="E86" i="120"/>
  <c r="E66" i="120"/>
  <c r="E13" i="107"/>
  <c r="E75" i="120"/>
  <c r="E85" i="120"/>
  <c r="E74" i="120"/>
  <c r="E24" i="107"/>
  <c r="E18" i="107"/>
  <c r="E82" i="120"/>
  <c r="E71" i="120"/>
  <c r="E58" i="120"/>
  <c r="E10" i="107"/>
  <c r="E76" i="120"/>
  <c r="E87" i="120"/>
  <c r="E21" i="107"/>
  <c r="G15" i="107"/>
  <c r="G14" i="107"/>
  <c r="G13" i="107"/>
  <c r="G24" i="107"/>
  <c r="G20" i="107"/>
  <c r="G23" i="107"/>
  <c r="G18" i="107"/>
  <c r="J335" i="122"/>
  <c r="G16" i="107"/>
  <c r="G17" i="107"/>
  <c r="G11" i="107"/>
  <c r="G21" i="107"/>
  <c r="G22" i="107"/>
  <c r="G12" i="107"/>
  <c r="G10" i="107"/>
  <c r="G19" i="107"/>
  <c r="F64" i="120"/>
  <c r="F67" i="120"/>
  <c r="F82" i="120"/>
  <c r="F15" i="107"/>
  <c r="F21" i="107"/>
  <c r="F19" i="107"/>
  <c r="F84" i="120"/>
  <c r="F76" i="120"/>
  <c r="I335" i="122"/>
  <c r="F16" i="107"/>
  <c r="F86" i="120"/>
  <c r="F83" i="120"/>
  <c r="F10" i="107"/>
  <c r="F66" i="120"/>
  <c r="F57" i="120"/>
  <c r="F90" i="120"/>
  <c r="F79" i="120"/>
  <c r="F77" i="120"/>
  <c r="F11" i="107"/>
  <c r="F17" i="107"/>
  <c r="F24" i="107"/>
  <c r="F62" i="120"/>
  <c r="F68" i="120"/>
  <c r="F60" i="120"/>
  <c r="F80" i="120"/>
  <c r="F87" i="120"/>
  <c r="F69" i="120"/>
  <c r="F22" i="107"/>
  <c r="F59" i="120"/>
  <c r="F13" i="107"/>
  <c r="F71" i="120"/>
  <c r="F20" i="107"/>
  <c r="F61" i="120"/>
  <c r="F74" i="120"/>
  <c r="F75" i="120"/>
  <c r="F72" i="120"/>
  <c r="F65" i="120"/>
  <c r="F88" i="120"/>
  <c r="F78" i="120"/>
  <c r="F23" i="107"/>
  <c r="F85" i="120"/>
  <c r="F14" i="107"/>
  <c r="F63" i="120"/>
  <c r="F70" i="120"/>
  <c r="F73" i="120"/>
  <c r="F89" i="120"/>
  <c r="F18" i="107"/>
  <c r="F58" i="120"/>
  <c r="F12" i="107"/>
  <c r="F81" i="120"/>
  <c r="H10" i="107"/>
  <c r="H13" i="107"/>
  <c r="H20" i="107"/>
  <c r="H19" i="107"/>
  <c r="H12" i="107"/>
  <c r="H22" i="107"/>
  <c r="H24" i="107"/>
  <c r="H23" i="107"/>
  <c r="H14" i="107"/>
  <c r="K335" i="122"/>
  <c r="H17" i="107"/>
  <c r="H18" i="107"/>
  <c r="H11" i="107"/>
  <c r="H16" i="107"/>
  <c r="H21" i="107"/>
  <c r="H15" i="107"/>
  <c r="G128" i="116" l="1"/>
  <c r="F127" i="116"/>
  <c r="H105" i="120"/>
  <c r="E124" i="120"/>
  <c r="F122" i="120"/>
  <c r="G126" i="116"/>
  <c r="G11" i="116"/>
  <c r="F126" i="116"/>
  <c r="F11" i="116"/>
  <c r="G60" i="116"/>
  <c r="K60" i="116" s="1"/>
  <c r="F62" i="116"/>
  <c r="H62" i="116" s="1"/>
  <c r="G62" i="116"/>
  <c r="K62" i="116" s="1"/>
  <c r="F60" i="116"/>
  <c r="J60" i="116" s="1"/>
  <c r="E13" i="131"/>
  <c r="F13" i="131"/>
  <c r="G61" i="116"/>
  <c r="I61" i="116" s="1"/>
  <c r="F61" i="116"/>
  <c r="H61" i="116" s="1"/>
  <c r="F63" i="116"/>
  <c r="H63" i="116" s="1"/>
  <c r="G63" i="116"/>
  <c r="I63" i="116" s="1"/>
  <c r="K22" i="108"/>
  <c r="K23" i="108" s="1"/>
  <c r="F64" i="115"/>
  <c r="G50" i="116"/>
  <c r="E64" i="115"/>
  <c r="E15" i="102"/>
  <c r="F32" i="103"/>
  <c r="F33" i="103" s="1"/>
  <c r="E32" i="103"/>
  <c r="E33" i="103" s="1"/>
  <c r="F50" i="116"/>
  <c r="F15" i="102"/>
  <c r="M29" i="124"/>
  <c r="H31" i="125"/>
  <c r="G31" i="125"/>
  <c r="G21" i="126"/>
  <c r="F21" i="126"/>
  <c r="F19" i="126"/>
  <c r="G19" i="126"/>
  <c r="G28" i="125"/>
  <c r="H27" i="125"/>
  <c r="H28" i="125"/>
  <c r="G27" i="125"/>
  <c r="F46" i="116"/>
  <c r="G46" i="116"/>
  <c r="E16" i="101"/>
  <c r="E18" i="103"/>
  <c r="E19" i="103" s="1"/>
  <c r="E91" i="120"/>
  <c r="E97" i="120" s="1"/>
  <c r="H25" i="107"/>
  <c r="H28" i="107" s="1"/>
  <c r="I25" i="107"/>
  <c r="I28" i="107" s="1"/>
  <c r="G25" i="107"/>
  <c r="G28" i="107" s="1"/>
  <c r="E25" i="107"/>
  <c r="E28" i="107" s="1"/>
  <c r="F16" i="100"/>
  <c r="K25" i="107"/>
  <c r="K28" i="107" s="1"/>
  <c r="E16" i="100"/>
  <c r="J25" i="107"/>
  <c r="J28" i="107" s="1"/>
  <c r="F91" i="120"/>
  <c r="F97" i="120" s="1"/>
  <c r="F25" i="107"/>
  <c r="F28" i="107" s="1"/>
  <c r="F16" i="101"/>
  <c r="F18" i="103"/>
  <c r="F19" i="103" s="1"/>
  <c r="H122" i="120" l="1"/>
  <c r="I60" i="116"/>
  <c r="I62" i="116"/>
  <c r="A62" i="116" s="1"/>
  <c r="J62" i="116"/>
  <c r="H60" i="116"/>
  <c r="F53" i="116"/>
  <c r="G53" i="116"/>
  <c r="F22" i="126"/>
  <c r="J63" i="116"/>
  <c r="K61" i="116"/>
  <c r="J61" i="116"/>
  <c r="K63" i="116"/>
  <c r="G22" i="126"/>
  <c r="G29" i="125"/>
  <c r="G33" i="125" s="1"/>
  <c r="H29" i="125"/>
  <c r="H33" i="125" s="1"/>
  <c r="A28" i="107"/>
  <c r="A1" i="107" s="1"/>
  <c r="H33" i="25" s="1"/>
  <c r="A60" i="116" l="1"/>
  <c r="A61" i="116"/>
  <c r="A63" i="116"/>
  <c r="A31" i="101"/>
  <c r="G19" i="114" l="1"/>
  <c r="G22" i="114" s="1"/>
  <c r="F19" i="114"/>
  <c r="F22" i="114" s="1"/>
  <c r="U21" i="121" l="1"/>
  <c r="U18" i="121"/>
  <c r="U19" i="121"/>
  <c r="U24" i="121"/>
  <c r="U15" i="121"/>
  <c r="U23" i="121"/>
  <c r="U20" i="121"/>
  <c r="U16" i="121"/>
  <c r="U17" i="121"/>
  <c r="U22" i="121"/>
  <c r="D37" i="115" l="1"/>
  <c r="F65" i="115" l="1"/>
  <c r="E65" i="115"/>
  <c r="F14" i="101" l="1"/>
  <c r="F17" i="101" s="1"/>
  <c r="E14" i="101" l="1"/>
  <c r="E17" i="101" s="1"/>
  <c r="A63" i="119"/>
  <c r="A1" i="119" s="1"/>
  <c r="H45" i="25" s="1"/>
  <c r="F24" i="104" l="1"/>
  <c r="F12" i="104"/>
  <c r="E24" i="104"/>
  <c r="E12" i="104"/>
  <c r="F13" i="102" l="1"/>
  <c r="F16" i="102" s="1"/>
  <c r="E13" i="102"/>
  <c r="E16" i="102" s="1"/>
  <c r="Q26" i="127" l="1"/>
  <c r="Q28" i="127"/>
  <c r="Q27" i="127"/>
  <c r="Q25" i="127"/>
  <c r="J33" i="105" l="1"/>
  <c r="K33" i="105" l="1"/>
  <c r="L33" i="105" s="1"/>
  <c r="M33" i="105" s="1"/>
  <c r="N33" i="105" s="1"/>
  <c r="I82" i="129" l="1"/>
  <c r="H82" i="129"/>
  <c r="G82" i="129"/>
  <c r="F82" i="129"/>
  <c r="E82" i="129"/>
  <c r="J82" i="129" l="1"/>
  <c r="E87" i="129"/>
  <c r="K82" i="129"/>
  <c r="F87" i="129"/>
  <c r="G87" i="129"/>
  <c r="H87" i="129"/>
  <c r="I87" i="129"/>
  <c r="J87" i="129"/>
  <c r="K87" i="129"/>
  <c r="A82" i="129" l="1"/>
  <c r="A87" i="129"/>
  <c r="G24" i="104" l="1"/>
  <c r="H24" i="104"/>
  <c r="I24" i="104"/>
  <c r="J24" i="104"/>
  <c r="K24" i="104"/>
  <c r="A24" i="104" l="1"/>
  <c r="A1" i="104" s="1"/>
  <c r="H30" i="25" s="1"/>
  <c r="F46" i="120" l="1"/>
  <c r="G125" i="116" l="1"/>
  <c r="G129" i="116" l="1"/>
  <c r="G17" i="116" s="1"/>
  <c r="G131" i="116"/>
  <c r="E46" i="120"/>
  <c r="G18" i="116" l="1"/>
  <c r="G15" i="116"/>
  <c r="G16" i="116"/>
  <c r="G12" i="116"/>
  <c r="G14" i="116"/>
  <c r="G19" i="116"/>
  <c r="G13" i="116"/>
  <c r="H20" i="105"/>
  <c r="F125" i="116"/>
  <c r="G45" i="116" l="1"/>
  <c r="F129" i="116"/>
  <c r="F17" i="116" s="1"/>
  <c r="F131" i="116"/>
  <c r="F19" i="116" l="1"/>
  <c r="F16" i="116"/>
  <c r="F12" i="116"/>
  <c r="F13" i="116"/>
  <c r="F15" i="116"/>
  <c r="F14" i="116"/>
  <c r="F18" i="116"/>
  <c r="F45" i="116" l="1"/>
  <c r="J42" i="126" l="1"/>
  <c r="I42" i="126"/>
  <c r="H42" i="126"/>
  <c r="K42" i="126"/>
  <c r="L42" i="126"/>
  <c r="A42" i="126" l="1"/>
  <c r="G53" i="129" l="1"/>
  <c r="M53" i="129" l="1"/>
  <c r="N53" i="129"/>
  <c r="E53" i="129"/>
  <c r="F53" i="129"/>
  <c r="H53" i="129"/>
  <c r="I53" i="129"/>
  <c r="L53" i="129"/>
  <c r="H75" i="129" l="1"/>
  <c r="K70" i="129"/>
  <c r="G70" i="129"/>
  <c r="F70" i="129"/>
  <c r="G75" i="129" l="1"/>
  <c r="H70" i="129"/>
  <c r="I75" i="129"/>
  <c r="I70" i="129"/>
  <c r="E48" i="129"/>
  <c r="A48" i="129" s="1"/>
  <c r="J75" i="129"/>
  <c r="J70" i="129"/>
  <c r="K75" i="129"/>
  <c r="E75" i="129"/>
  <c r="E70" i="129"/>
  <c r="F75" i="129"/>
  <c r="A75" i="129" l="1"/>
  <c r="A70" i="129"/>
  <c r="K53" i="129" l="1"/>
  <c r="A53" i="129" s="1"/>
  <c r="E43" i="129" l="1"/>
  <c r="F43" i="129"/>
  <c r="G43" i="129"/>
  <c r="H43" i="129"/>
  <c r="I43" i="129"/>
  <c r="J43" i="129"/>
  <c r="K43" i="129"/>
  <c r="E58" i="129" l="1"/>
  <c r="A43" i="129"/>
  <c r="H58" i="129"/>
  <c r="G58" i="129"/>
  <c r="F58" i="129"/>
  <c r="I58" i="129"/>
  <c r="A58" i="129" l="1"/>
  <c r="I38" i="129" l="1"/>
  <c r="H38" i="129"/>
  <c r="G38" i="129"/>
  <c r="J65" i="129"/>
  <c r="J38" i="129"/>
  <c r="E38" i="129"/>
  <c r="K38" i="129"/>
  <c r="F38" i="129"/>
  <c r="E65" i="129" l="1"/>
  <c r="F65" i="129"/>
  <c r="H65" i="129"/>
  <c r="A38" i="129"/>
  <c r="K65" i="129"/>
  <c r="I65" i="129"/>
  <c r="G65" i="129"/>
  <c r="A65" i="129" l="1"/>
  <c r="E10" i="109" l="1"/>
  <c r="E17" i="109"/>
  <c r="E13" i="109"/>
  <c r="E11" i="109"/>
  <c r="E16" i="109"/>
  <c r="E12" i="109"/>
  <c r="E19" i="109"/>
  <c r="E18" i="109"/>
  <c r="E10" i="130"/>
  <c r="E12" i="130"/>
  <c r="E11" i="130"/>
  <c r="E14" i="130"/>
  <c r="E13" i="130"/>
  <c r="F10" i="109" l="1"/>
  <c r="F11" i="109"/>
  <c r="F18" i="109"/>
  <c r="F19" i="109"/>
  <c r="F12" i="109"/>
  <c r="F17" i="109"/>
  <c r="F13" i="109"/>
  <c r="F16" i="109"/>
  <c r="E15" i="130"/>
  <c r="E18" i="130" s="1"/>
  <c r="F10" i="130"/>
  <c r="F11" i="130"/>
  <c r="F14" i="130"/>
  <c r="F13" i="130"/>
  <c r="F12" i="130"/>
  <c r="F15" i="130" l="1"/>
  <c r="F18" i="130" s="1"/>
  <c r="F48" i="118" l="1"/>
  <c r="G29" i="129" l="1"/>
  <c r="H29" i="129"/>
  <c r="K31" i="129"/>
  <c r="I29" i="129"/>
  <c r="K30" i="129"/>
  <c r="J29" i="129"/>
  <c r="K29" i="129"/>
  <c r="F29" i="129"/>
  <c r="F30" i="129"/>
  <c r="F31" i="129"/>
  <c r="G30" i="129"/>
  <c r="G31" i="129"/>
  <c r="H30" i="129"/>
  <c r="H31" i="129"/>
  <c r="I30" i="129"/>
  <c r="I31" i="129"/>
  <c r="J30" i="129"/>
  <c r="J31" i="129"/>
  <c r="A31" i="129" l="1"/>
  <c r="A30" i="129"/>
  <c r="A29" i="129"/>
  <c r="A1" i="129" l="1"/>
  <c r="H46" i="25" s="1"/>
  <c r="F52" i="118" l="1"/>
  <c r="F53" i="118"/>
  <c r="F24" i="118" l="1"/>
  <c r="F33" i="118"/>
  <c r="F23" i="118"/>
  <c r="F32" i="118"/>
  <c r="F41" i="118" s="1"/>
  <c r="F42" i="118" l="1"/>
  <c r="F72" i="118" s="1"/>
  <c r="F66" i="118"/>
  <c r="F80" i="118" s="1"/>
  <c r="F63" i="118"/>
  <c r="F75" i="118" l="1"/>
  <c r="F84" i="118" s="1"/>
  <c r="J34" i="105"/>
  <c r="K34" i="105" s="1"/>
  <c r="L34" i="105" l="1"/>
  <c r="M34" i="105" s="1"/>
  <c r="N34" i="105" s="1"/>
  <c r="I20" i="105" l="1"/>
  <c r="E34" i="100" l="1"/>
  <c r="E35" i="100" s="1"/>
  <c r="E19" i="100"/>
  <c r="F19" i="100"/>
  <c r="F34" i="100"/>
  <c r="F35" i="100" s="1"/>
  <c r="A35" i="100" l="1"/>
  <c r="T10" i="113" l="1"/>
  <c r="U10" i="113" s="1"/>
  <c r="T16" i="113" a="1"/>
  <c r="T16" i="113" s="1"/>
  <c r="T20" i="113" a="1"/>
  <c r="T20" i="113" s="1"/>
  <c r="T26" i="113" l="1" a="1"/>
  <c r="T26" i="113" s="1"/>
  <c r="T21" i="113" a="1"/>
  <c r="T21" i="113" s="1"/>
  <c r="T15" i="113" a="1"/>
  <c r="T15" i="113" s="1"/>
  <c r="T24" i="113" a="1"/>
  <c r="T24" i="113" s="1"/>
  <c r="T29" i="113" a="1"/>
  <c r="T29" i="113" s="1"/>
  <c r="T27" i="113" a="1"/>
  <c r="T27" i="113" s="1"/>
  <c r="T22" i="113" a="1"/>
  <c r="T22" i="113" s="1"/>
  <c r="R28" i="127" s="1"/>
  <c r="T17" i="113" a="1"/>
  <c r="T17" i="113" s="1"/>
  <c r="T28" i="113" a="1"/>
  <c r="T28" i="113" s="1"/>
  <c r="T25" i="113" a="1"/>
  <c r="T25" i="113" s="1"/>
  <c r="G15" i="103"/>
  <c r="G29" i="103"/>
  <c r="P13" i="121"/>
  <c r="P12" i="121"/>
  <c r="G30" i="103"/>
  <c r="G16" i="103"/>
  <c r="U22" i="113" a="1"/>
  <c r="U22" i="113" s="1"/>
  <c r="U21" i="113" a="1"/>
  <c r="U21" i="113" s="1"/>
  <c r="U29" i="113" a="1"/>
  <c r="U29" i="113" s="1"/>
  <c r="V10" i="113"/>
  <c r="U28" i="113" a="1"/>
  <c r="U28" i="113" s="1"/>
  <c r="U15" i="113" a="1"/>
  <c r="U15" i="113" s="1"/>
  <c r="U25" i="113" a="1"/>
  <c r="U25" i="113" s="1"/>
  <c r="U17" i="113" a="1"/>
  <c r="U17" i="113" s="1"/>
  <c r="U27" i="113" a="1"/>
  <c r="U27" i="113" s="1"/>
  <c r="U16" i="113" a="1"/>
  <c r="U16" i="113" s="1"/>
  <c r="U24" i="113" a="1"/>
  <c r="U24" i="113" s="1"/>
  <c r="U20" i="113" a="1"/>
  <c r="U20" i="113" s="1"/>
  <c r="U26" i="113" a="1"/>
  <c r="U26" i="113" s="1"/>
  <c r="R27" i="127" l="1"/>
  <c r="R26" i="127"/>
  <c r="R25" i="127"/>
  <c r="Q13" i="121"/>
  <c r="Q12" i="121"/>
  <c r="H29" i="103"/>
  <c r="H15" i="103"/>
  <c r="H16" i="103"/>
  <c r="H30" i="103"/>
  <c r="V25" i="113" a="1"/>
  <c r="V25" i="113" s="1"/>
  <c r="V27" i="113" a="1"/>
  <c r="V27" i="113" s="1"/>
  <c r="V24" i="113" a="1"/>
  <c r="V24" i="113" s="1"/>
  <c r="V21" i="113" a="1"/>
  <c r="V21" i="113" s="1"/>
  <c r="V16" i="113" a="1"/>
  <c r="V16" i="113" s="1"/>
  <c r="V17" i="113" a="1"/>
  <c r="V17" i="113" s="1"/>
  <c r="V22" i="113" a="1"/>
  <c r="V22" i="113" s="1"/>
  <c r="W10" i="113"/>
  <c r="V15" i="113" a="1"/>
  <c r="V15" i="113" s="1"/>
  <c r="V26" i="113" a="1"/>
  <c r="V26" i="113" s="1"/>
  <c r="V20" i="113" a="1"/>
  <c r="V20" i="113" s="1"/>
  <c r="V28" i="113" a="1"/>
  <c r="V28" i="113" s="1"/>
  <c r="V29" i="113" a="1"/>
  <c r="V29" i="113" s="1"/>
  <c r="S28" i="127"/>
  <c r="S26" i="127"/>
  <c r="S27" i="127"/>
  <c r="S25" i="127"/>
  <c r="X10" i="113" l="1"/>
  <c r="W25" i="113" a="1"/>
  <c r="W25" i="113" s="1"/>
  <c r="W24" i="113" a="1"/>
  <c r="W24" i="113" s="1"/>
  <c r="W16" i="113" a="1"/>
  <c r="W16" i="113" s="1"/>
  <c r="W15" i="113" a="1"/>
  <c r="W15" i="113" s="1"/>
  <c r="W29" i="113" a="1"/>
  <c r="W29" i="113" s="1"/>
  <c r="W26" i="113" a="1"/>
  <c r="W26" i="113" s="1"/>
  <c r="W17" i="113" a="1"/>
  <c r="W17" i="113" s="1"/>
  <c r="W28" i="113" a="1"/>
  <c r="W28" i="113" s="1"/>
  <c r="W22" i="113" a="1"/>
  <c r="W22" i="113" s="1"/>
  <c r="W27" i="113" a="1"/>
  <c r="W27" i="113" s="1"/>
  <c r="W20" i="113" a="1"/>
  <c r="W20" i="113" s="1"/>
  <c r="W21" i="113" a="1"/>
  <c r="W21" i="113" s="1"/>
  <c r="T26" i="127"/>
  <c r="T28" i="127"/>
  <c r="T25" i="127"/>
  <c r="T27" i="127"/>
  <c r="I30" i="103"/>
  <c r="I15" i="103"/>
  <c r="I29" i="103"/>
  <c r="R12" i="121"/>
  <c r="R13" i="121"/>
  <c r="I16" i="103"/>
  <c r="U28" i="127" l="1"/>
  <c r="U25" i="127"/>
  <c r="U27" i="127"/>
  <c r="U26" i="127"/>
  <c r="J15" i="103"/>
  <c r="S13" i="121"/>
  <c r="J29" i="103"/>
  <c r="J16" i="103"/>
  <c r="S12" i="121"/>
  <c r="J30" i="103"/>
  <c r="X26" i="113" a="1"/>
  <c r="X26" i="113" s="1"/>
  <c r="X17" i="113" a="1"/>
  <c r="X17" i="113" s="1"/>
  <c r="X21" i="113" a="1"/>
  <c r="X21" i="113" s="1"/>
  <c r="X22" i="113" a="1"/>
  <c r="X22" i="113" s="1"/>
  <c r="X15" i="113" a="1"/>
  <c r="X15" i="113" s="1"/>
  <c r="X16" i="113" a="1"/>
  <c r="X16" i="113" s="1"/>
  <c r="X27" i="113" a="1"/>
  <c r="X27" i="113" s="1"/>
  <c r="X28" i="113" a="1"/>
  <c r="X28" i="113" s="1"/>
  <c r="X24" i="113" a="1"/>
  <c r="X24" i="113" s="1"/>
  <c r="X20" i="113" a="1"/>
  <c r="X20" i="113" s="1"/>
  <c r="X25" i="113" a="1"/>
  <c r="X25" i="113" s="1"/>
  <c r="X29" i="113" a="1"/>
  <c r="X29" i="113" s="1"/>
  <c r="V28" i="127" l="1"/>
  <c r="W28" i="127" s="1"/>
  <c r="V27" i="127"/>
  <c r="W27" i="127" s="1"/>
  <c r="V25" i="127"/>
  <c r="W25" i="127" s="1"/>
  <c r="V26" i="127"/>
  <c r="W26" i="127" s="1"/>
  <c r="T12" i="121"/>
  <c r="K16" i="103"/>
  <c r="K30" i="103"/>
  <c r="K15" i="103"/>
  <c r="T13" i="121"/>
  <c r="K29" i="103"/>
  <c r="U12" i="121" l="1"/>
  <c r="U13" i="121"/>
  <c r="A27" i="121" l="1"/>
  <c r="A1" i="121" s="1"/>
  <c r="H41" i="25" s="1"/>
  <c r="F22" i="108" l="1"/>
  <c r="E20" i="108"/>
  <c r="F20" i="108"/>
  <c r="E22" i="108"/>
  <c r="F96" i="120"/>
  <c r="E96" i="120"/>
  <c r="E128" i="120"/>
  <c r="F23" i="108" l="1"/>
  <c r="E23" i="108"/>
  <c r="A23" i="108" s="1"/>
  <c r="A1" i="108" s="1"/>
  <c r="H34" i="25" s="1"/>
  <c r="I17" i="105"/>
  <c r="H17" i="105"/>
  <c r="H119" i="120"/>
  <c r="G124" i="120"/>
  <c r="G128" i="120" s="1"/>
  <c r="H21" i="105" l="1"/>
  <c r="F77" i="103"/>
  <c r="I21" i="105"/>
  <c r="G77" i="103"/>
  <c r="G80" i="103" l="1"/>
  <c r="F25" i="103" s="1"/>
  <c r="G79" i="103"/>
  <c r="G11" i="103" s="1"/>
  <c r="H118" i="116"/>
  <c r="H119" i="116" s="1"/>
  <c r="H73" i="103"/>
  <c r="H74" i="103" s="1"/>
  <c r="F79" i="103"/>
  <c r="F80" i="103"/>
  <c r="E25" i="103" s="1"/>
  <c r="G118" i="116" l="1"/>
  <c r="G119" i="116" s="1"/>
  <c r="G73" i="103"/>
  <c r="G74" i="103" s="1"/>
  <c r="F118" i="116"/>
  <c r="F119" i="116" s="1"/>
  <c r="A119" i="116" s="1"/>
  <c r="F73" i="103"/>
  <c r="F74" i="103" s="1"/>
  <c r="A74" i="103" l="1"/>
  <c r="H120" i="120" l="1"/>
  <c r="F124" i="120"/>
  <c r="F128" i="120" s="1"/>
  <c r="H124" i="120" l="1"/>
  <c r="I123" i="120" l="1"/>
  <c r="J123" i="120" s="1"/>
  <c r="I114" i="120"/>
  <c r="J114" i="120" s="1"/>
  <c r="I113" i="120"/>
  <c r="J113" i="120" s="1"/>
  <c r="I121" i="120"/>
  <c r="J121" i="120" s="1"/>
  <c r="I105" i="120"/>
  <c r="I110" i="120"/>
  <c r="J110" i="120" s="1"/>
  <c r="I112" i="120"/>
  <c r="J112" i="120" s="1"/>
  <c r="I115" i="120"/>
  <c r="J115" i="120" s="1"/>
  <c r="I106" i="120"/>
  <c r="J106" i="120" s="1"/>
  <c r="I111" i="120"/>
  <c r="J111" i="120" s="1"/>
  <c r="I118" i="120"/>
  <c r="J118" i="120" s="1"/>
  <c r="I117" i="120"/>
  <c r="J117" i="120" s="1"/>
  <c r="I116" i="120"/>
  <c r="J116" i="120" s="1"/>
  <c r="I109" i="120"/>
  <c r="J109" i="120" s="1"/>
  <c r="I107" i="120"/>
  <c r="J107" i="120" s="1"/>
  <c r="I108" i="120"/>
  <c r="J108" i="120" s="1"/>
  <c r="I122" i="120"/>
  <c r="J122" i="120" s="1"/>
  <c r="I119" i="120"/>
  <c r="J119" i="120" s="1"/>
  <c r="I120" i="120"/>
  <c r="J120" i="120" s="1"/>
  <c r="M12" i="105" l="1"/>
  <c r="M14" i="105"/>
  <c r="M13" i="105"/>
  <c r="K12" i="105"/>
  <c r="K14" i="105"/>
  <c r="K13" i="105"/>
  <c r="J105" i="120"/>
  <c r="J124" i="120" s="1"/>
  <c r="M106" i="120" s="1"/>
  <c r="I124" i="120"/>
  <c r="I128" i="120" s="1"/>
  <c r="L12" i="105"/>
  <c r="L13" i="105"/>
  <c r="L14" i="105"/>
  <c r="J13" i="105"/>
  <c r="J14" i="105"/>
  <c r="J12" i="105"/>
  <c r="N12" i="105"/>
  <c r="N14" i="105"/>
  <c r="N13" i="105"/>
  <c r="M110" i="120" l="1"/>
  <c r="M120" i="120"/>
  <c r="M109" i="120"/>
  <c r="M121" i="120"/>
  <c r="M119" i="120"/>
  <c r="M116" i="120"/>
  <c r="M108" i="120"/>
  <c r="M107" i="120"/>
  <c r="M115" i="120"/>
  <c r="M113" i="120"/>
  <c r="M123" i="120"/>
  <c r="M111" i="120"/>
  <c r="M112" i="120"/>
  <c r="M114" i="120"/>
  <c r="M105" i="120"/>
  <c r="M124" i="120"/>
  <c r="J128" i="120"/>
  <c r="A128" i="120" s="1"/>
  <c r="M122" i="120"/>
  <c r="M118" i="120"/>
  <c r="M117" i="120"/>
  <c r="I127" i="116" l="1"/>
  <c r="L127" i="116"/>
  <c r="K11" i="116"/>
  <c r="K126" i="116"/>
  <c r="L126" i="116"/>
  <c r="L11" i="116"/>
  <c r="I11" i="116"/>
  <c r="I126" i="116"/>
  <c r="K128" i="116" l="1"/>
  <c r="I128" i="116"/>
  <c r="H127" i="116"/>
  <c r="L128" i="116"/>
  <c r="J127" i="116"/>
  <c r="H128" i="116"/>
  <c r="K127" i="116"/>
  <c r="J128" i="116"/>
  <c r="H11" i="116"/>
  <c r="H126" i="116"/>
  <c r="J11" i="116"/>
  <c r="J126" i="116"/>
  <c r="G146" i="120" l="1"/>
  <c r="G46" i="120"/>
  <c r="H125" i="116" s="1"/>
  <c r="H26" i="106"/>
  <c r="H27" i="106" s="1"/>
  <c r="J17" i="105"/>
  <c r="H146" i="120" l="1"/>
  <c r="J20" i="105"/>
  <c r="G93" i="120"/>
  <c r="G89" i="120" s="1"/>
  <c r="H77" i="103"/>
  <c r="H46" i="120"/>
  <c r="K20" i="105" s="1"/>
  <c r="I125" i="116"/>
  <c r="G64" i="120"/>
  <c r="I26" i="106"/>
  <c r="I27" i="106" s="1"/>
  <c r="K17" i="105"/>
  <c r="H131" i="116"/>
  <c r="H129" i="116"/>
  <c r="J21" i="105"/>
  <c r="G80" i="120" l="1"/>
  <c r="G66" i="120"/>
  <c r="G72" i="120"/>
  <c r="G77" i="120"/>
  <c r="G62" i="120"/>
  <c r="G84" i="120"/>
  <c r="G83" i="120"/>
  <c r="G58" i="120"/>
  <c r="G71" i="120"/>
  <c r="G85" i="120"/>
  <c r="G73" i="120"/>
  <c r="G65" i="120"/>
  <c r="G60" i="120"/>
  <c r="G82" i="120"/>
  <c r="G70" i="120"/>
  <c r="G75" i="120"/>
  <c r="G87" i="120"/>
  <c r="G79" i="120"/>
  <c r="G81" i="120"/>
  <c r="G86" i="120"/>
  <c r="G59" i="120"/>
  <c r="G96" i="120"/>
  <c r="G57" i="120"/>
  <c r="G74" i="120"/>
  <c r="G90" i="120"/>
  <c r="G63" i="120"/>
  <c r="G88" i="120"/>
  <c r="G76" i="120"/>
  <c r="G69" i="120"/>
  <c r="G68" i="120"/>
  <c r="G78" i="120"/>
  <c r="G61" i="120"/>
  <c r="G67" i="120"/>
  <c r="H79" i="103"/>
  <c r="H11" i="103" s="1"/>
  <c r="H80" i="103"/>
  <c r="G25" i="103" s="1"/>
  <c r="H93" i="120"/>
  <c r="H88" i="120" s="1"/>
  <c r="I77" i="103"/>
  <c r="I46" i="120"/>
  <c r="J125" i="116" s="1"/>
  <c r="J26" i="106"/>
  <c r="J27" i="106" s="1"/>
  <c r="L17" i="105"/>
  <c r="I146" i="120"/>
  <c r="I129" i="116"/>
  <c r="I131" i="116"/>
  <c r="H17" i="116"/>
  <c r="H13" i="116"/>
  <c r="H19" i="116"/>
  <c r="H12" i="116"/>
  <c r="H16" i="116"/>
  <c r="H18" i="116"/>
  <c r="H14" i="116"/>
  <c r="H15" i="116"/>
  <c r="G91" i="120" l="1"/>
  <c r="G97" i="120" s="1"/>
  <c r="H81" i="120"/>
  <c r="H58" i="120"/>
  <c r="H74" i="120"/>
  <c r="H84" i="120"/>
  <c r="H76" i="120"/>
  <c r="H96" i="120"/>
  <c r="H82" i="120"/>
  <c r="H71" i="120"/>
  <c r="H65" i="120"/>
  <c r="H64" i="120"/>
  <c r="H59" i="120"/>
  <c r="H68" i="120"/>
  <c r="H87" i="120"/>
  <c r="H77" i="120"/>
  <c r="H80" i="120"/>
  <c r="H67" i="120"/>
  <c r="H61" i="120"/>
  <c r="H83" i="120"/>
  <c r="H90" i="120"/>
  <c r="H60" i="120"/>
  <c r="H79" i="120"/>
  <c r="H86" i="120"/>
  <c r="H75" i="120"/>
  <c r="H70" i="120"/>
  <c r="H69" i="120"/>
  <c r="H89" i="120"/>
  <c r="I80" i="103"/>
  <c r="H25" i="103" s="1"/>
  <c r="I79" i="103"/>
  <c r="I11" i="103" s="1"/>
  <c r="H62" i="120"/>
  <c r="H78" i="120"/>
  <c r="H85" i="120"/>
  <c r="H66" i="120"/>
  <c r="H63" i="120"/>
  <c r="L20" i="105"/>
  <c r="H57" i="120"/>
  <c r="H73" i="120"/>
  <c r="H72" i="120"/>
  <c r="J146" i="120"/>
  <c r="I93" i="120"/>
  <c r="I59" i="120" s="1"/>
  <c r="J77" i="103"/>
  <c r="J46" i="120"/>
  <c r="K46" i="120"/>
  <c r="N20" i="105" s="1"/>
  <c r="K146" i="120"/>
  <c r="K125" i="116"/>
  <c r="M20" i="105"/>
  <c r="H45" i="116"/>
  <c r="I17" i="116"/>
  <c r="I15" i="116"/>
  <c r="I13" i="116"/>
  <c r="I16" i="116"/>
  <c r="I12" i="116"/>
  <c r="I19" i="116"/>
  <c r="I18" i="116"/>
  <c r="I14" i="116"/>
  <c r="L26" i="106"/>
  <c r="L27" i="106" s="1"/>
  <c r="N17" i="105"/>
  <c r="J131" i="116"/>
  <c r="J129" i="116"/>
  <c r="I83" i="120"/>
  <c r="K26" i="106"/>
  <c r="K27" i="106" s="1"/>
  <c r="M17" i="105"/>
  <c r="A146" i="120" l="1"/>
  <c r="I58" i="120"/>
  <c r="I78" i="120"/>
  <c r="I66" i="120"/>
  <c r="I62" i="120"/>
  <c r="I70" i="120"/>
  <c r="I76" i="120"/>
  <c r="I87" i="120"/>
  <c r="I84" i="120"/>
  <c r="I79" i="120"/>
  <c r="I77" i="120"/>
  <c r="I85" i="120"/>
  <c r="I80" i="120"/>
  <c r="I89" i="120"/>
  <c r="I64" i="120"/>
  <c r="I63" i="120"/>
  <c r="I69" i="120"/>
  <c r="I82" i="120"/>
  <c r="I65" i="120"/>
  <c r="I86" i="120"/>
  <c r="I96" i="120"/>
  <c r="I90" i="120"/>
  <c r="I75" i="120"/>
  <c r="I73" i="120"/>
  <c r="I60" i="120"/>
  <c r="I81" i="120"/>
  <c r="H91" i="120"/>
  <c r="H97" i="120" s="1"/>
  <c r="I57" i="120"/>
  <c r="J93" i="120"/>
  <c r="J85" i="120" s="1"/>
  <c r="K77" i="103"/>
  <c r="I68" i="120"/>
  <c r="I67" i="120"/>
  <c r="I74" i="120"/>
  <c r="J80" i="103"/>
  <c r="I25" i="103" s="1"/>
  <c r="J79" i="103"/>
  <c r="J11" i="103" s="1"/>
  <c r="I61" i="120"/>
  <c r="I88" i="120"/>
  <c r="K93" i="120"/>
  <c r="K64" i="120" s="1"/>
  <c r="L77" i="103"/>
  <c r="L125" i="116"/>
  <c r="L131" i="116" s="1"/>
  <c r="I72" i="120"/>
  <c r="I71" i="120"/>
  <c r="A27" i="106"/>
  <c r="A1" i="106" s="1"/>
  <c r="H32" i="25" s="1"/>
  <c r="I45" i="116"/>
  <c r="J12" i="116"/>
  <c r="J16" i="116"/>
  <c r="J19" i="116"/>
  <c r="J14" i="116"/>
  <c r="J18" i="116"/>
  <c r="J13" i="116"/>
  <c r="J17" i="116"/>
  <c r="J15" i="116"/>
  <c r="K129" i="116"/>
  <c r="K131" i="116"/>
  <c r="J73" i="120" l="1"/>
  <c r="J61" i="120"/>
  <c r="J64" i="120"/>
  <c r="J68" i="120"/>
  <c r="J78" i="120"/>
  <c r="J83" i="120"/>
  <c r="J70" i="120"/>
  <c r="J59" i="120"/>
  <c r="J63" i="120"/>
  <c r="J57" i="120"/>
  <c r="L129" i="116"/>
  <c r="L13" i="116" s="1"/>
  <c r="J84" i="120"/>
  <c r="J77" i="120"/>
  <c r="J58" i="120"/>
  <c r="J89" i="120"/>
  <c r="J75" i="120"/>
  <c r="J72" i="120"/>
  <c r="J66" i="120"/>
  <c r="J74" i="120"/>
  <c r="J71" i="120"/>
  <c r="J90" i="120"/>
  <c r="J76" i="120"/>
  <c r="J81" i="120"/>
  <c r="J69" i="120"/>
  <c r="J80" i="120"/>
  <c r="J60" i="120"/>
  <c r="J62" i="120"/>
  <c r="J82" i="120"/>
  <c r="J79" i="120"/>
  <c r="J67" i="120"/>
  <c r="J65" i="120"/>
  <c r="J88" i="120"/>
  <c r="J96" i="120"/>
  <c r="J87" i="120"/>
  <c r="I91" i="120"/>
  <c r="I97" i="120" s="1"/>
  <c r="J86" i="120"/>
  <c r="K90" i="120"/>
  <c r="K67" i="120"/>
  <c r="K86" i="120"/>
  <c r="K63" i="120"/>
  <c r="K60" i="120"/>
  <c r="K84" i="120"/>
  <c r="K66" i="120"/>
  <c r="K76" i="120"/>
  <c r="K61" i="120"/>
  <c r="K70" i="120"/>
  <c r="K75" i="120"/>
  <c r="K68" i="120"/>
  <c r="K72" i="120"/>
  <c r="K81" i="120"/>
  <c r="K59" i="120"/>
  <c r="K83" i="120"/>
  <c r="K96" i="120"/>
  <c r="K71" i="120"/>
  <c r="K62" i="120"/>
  <c r="L79" i="103"/>
  <c r="L80" i="103"/>
  <c r="K25" i="103" s="1"/>
  <c r="K77" i="120"/>
  <c r="K89" i="120"/>
  <c r="K58" i="120"/>
  <c r="K78" i="120"/>
  <c r="K69" i="120"/>
  <c r="K80" i="120"/>
  <c r="K87" i="120"/>
  <c r="K79" i="120"/>
  <c r="K79" i="103"/>
  <c r="K11" i="103" s="1"/>
  <c r="K80" i="103"/>
  <c r="J25" i="103" s="1"/>
  <c r="K73" i="120"/>
  <c r="K85" i="120"/>
  <c r="K65" i="120"/>
  <c r="K74" i="120"/>
  <c r="K88" i="120"/>
  <c r="K57" i="120"/>
  <c r="K82" i="120"/>
  <c r="A131" i="116"/>
  <c r="J45" i="116"/>
  <c r="K12" i="116"/>
  <c r="K16" i="116"/>
  <c r="K15" i="116"/>
  <c r="K17" i="116"/>
  <c r="K13" i="116"/>
  <c r="K14" i="116"/>
  <c r="K19" i="116"/>
  <c r="K18" i="116"/>
  <c r="A96" i="120" l="1"/>
  <c r="L17" i="116"/>
  <c r="L14" i="116"/>
  <c r="L18" i="116"/>
  <c r="L19" i="116"/>
  <c r="L16" i="116"/>
  <c r="L12" i="116"/>
  <c r="L45" i="116" s="1"/>
  <c r="L15" i="116"/>
  <c r="J91" i="120"/>
  <c r="J97" i="120" s="1"/>
  <c r="K91" i="120"/>
  <c r="K97" i="120" s="1"/>
  <c r="K45" i="116"/>
  <c r="A97" i="120" l="1"/>
  <c r="A1" i="120" s="1"/>
  <c r="H38" i="25" s="1"/>
  <c r="E62" i="117" l="1"/>
  <c r="E55" i="117"/>
  <c r="E34" i="117"/>
  <c r="E41" i="117"/>
  <c r="E48" i="117"/>
  <c r="E27" i="117" l="1"/>
  <c r="E16" i="117"/>
  <c r="E91" i="117" l="1"/>
  <c r="E92" i="117" l="1"/>
  <c r="F48" i="117" l="1"/>
  <c r="F55" i="117" l="1"/>
  <c r="F34" i="117"/>
  <c r="F27" i="117"/>
  <c r="F62" i="117"/>
  <c r="F16" i="117"/>
  <c r="F41" i="117"/>
  <c r="F91" i="117" l="1"/>
  <c r="F92" i="117" s="1"/>
  <c r="G13" i="131" l="1"/>
  <c r="H13" i="131" l="1"/>
  <c r="J13" i="131" l="1"/>
  <c r="I13" i="131"/>
  <c r="K13" i="131" l="1"/>
  <c r="S18" i="127"/>
  <c r="T18" i="127"/>
  <c r="V18" i="127"/>
  <c r="U18" i="127"/>
  <c r="V22" i="127"/>
  <c r="T22" i="127"/>
  <c r="S22" i="127"/>
  <c r="U22" i="127"/>
  <c r="S24" i="127"/>
  <c r="V24" i="127"/>
  <c r="T24" i="127"/>
  <c r="U24" i="127"/>
  <c r="V10" i="127"/>
  <c r="U10" i="127"/>
  <c r="S10" i="127"/>
  <c r="T10" i="127"/>
  <c r="U11" i="127"/>
  <c r="V11" i="127"/>
  <c r="T11" i="127"/>
  <c r="S11" i="127"/>
  <c r="T17" i="127"/>
  <c r="S17" i="127"/>
  <c r="U17" i="127"/>
  <c r="V17" i="127"/>
  <c r="S21" i="127"/>
  <c r="V21" i="127"/>
  <c r="T21" i="127"/>
  <c r="U21" i="127"/>
  <c r="V13" i="127"/>
  <c r="S13" i="127"/>
  <c r="T13" i="127"/>
  <c r="U13" i="127"/>
  <c r="V14" i="127"/>
  <c r="S14" i="127"/>
  <c r="T14" i="127"/>
  <c r="U14" i="127"/>
  <c r="S16" i="127"/>
  <c r="T16" i="127"/>
  <c r="V16" i="127"/>
  <c r="U16" i="127"/>
  <c r="T19" i="127"/>
  <c r="V19" i="127"/>
  <c r="V23" i="127"/>
  <c r="S23" i="127"/>
  <c r="U23" i="127"/>
  <c r="T23" i="127"/>
  <c r="S12" i="127"/>
  <c r="V12" i="127"/>
  <c r="U12" i="127"/>
  <c r="T12" i="127"/>
  <c r="U20" i="127"/>
  <c r="V20" i="127"/>
  <c r="S20" i="127"/>
  <c r="T20" i="127"/>
  <c r="U15" i="127"/>
  <c r="V15" i="127"/>
  <c r="S15" i="127"/>
  <c r="T15" i="127"/>
  <c r="U9" i="127" l="1"/>
  <c r="Q24" i="127"/>
  <c r="R24" i="127"/>
  <c r="W24" i="127" s="1"/>
  <c r="E24" i="127" s="1"/>
  <c r="Q20" i="127"/>
  <c r="R20" i="127"/>
  <c r="W20" i="127" s="1"/>
  <c r="E20" i="127" s="1"/>
  <c r="R16" i="127"/>
  <c r="W16" i="127" s="1"/>
  <c r="E16" i="127" s="1"/>
  <c r="Q16" i="127"/>
  <c r="Q14" i="127"/>
  <c r="R14" i="127"/>
  <c r="W14" i="127" s="1"/>
  <c r="E14" i="127" s="1"/>
  <c r="Q22" i="127"/>
  <c r="R22" i="127"/>
  <c r="W22" i="127" s="1"/>
  <c r="E22" i="127" s="1"/>
  <c r="R12" i="127"/>
  <c r="W12" i="127" s="1"/>
  <c r="E12" i="127" s="1"/>
  <c r="Q12" i="127"/>
  <c r="Q23" i="127"/>
  <c r="R23" i="127"/>
  <c r="W23" i="127" s="1"/>
  <c r="E23" i="127" s="1"/>
  <c r="R11" i="127"/>
  <c r="W11" i="127" s="1"/>
  <c r="E11" i="127" s="1"/>
  <c r="Q11" i="127"/>
  <c r="T9" i="127"/>
  <c r="N30" i="127"/>
  <c r="Q13" i="127"/>
  <c r="R13" i="127"/>
  <c r="W13" i="127" s="1"/>
  <c r="E13" i="127" s="1"/>
  <c r="Q10" i="127"/>
  <c r="R10" i="127"/>
  <c r="W10" i="127" s="1"/>
  <c r="E10" i="127" s="1"/>
  <c r="S9" i="127"/>
  <c r="Q15" i="127"/>
  <c r="R15" i="127"/>
  <c r="W15" i="127" s="1"/>
  <c r="E15" i="127" s="1"/>
  <c r="S19" i="127"/>
  <c r="R21" i="127"/>
  <c r="W21" i="127" s="1"/>
  <c r="E21" i="127" s="1"/>
  <c r="Q21" i="127"/>
  <c r="V9" i="127"/>
  <c r="P30" i="127"/>
  <c r="U19" i="127"/>
  <c r="Q17" i="127"/>
  <c r="R17" i="127"/>
  <c r="W17" i="127" s="1"/>
  <c r="E17" i="127" s="1"/>
  <c r="Q18" i="127"/>
  <c r="R18" i="127"/>
  <c r="W18" i="127" s="1"/>
  <c r="E18" i="127" s="1"/>
  <c r="R9" i="127"/>
  <c r="Q9" i="127"/>
  <c r="R19" i="127" l="1"/>
  <c r="W19" i="127" s="1"/>
  <c r="E19" i="127" s="1"/>
  <c r="Q19" i="127"/>
  <c r="L30" i="127"/>
  <c r="W9" i="127"/>
  <c r="E9" i="127" s="1"/>
  <c r="M30" i="127"/>
  <c r="O30" i="127"/>
  <c r="N32" i="127"/>
  <c r="P32" i="127"/>
  <c r="L32" i="127"/>
  <c r="O32" i="127"/>
  <c r="M33" i="127" l="1"/>
  <c r="M32" i="127"/>
  <c r="A32" i="127" s="1"/>
  <c r="A1" i="127" s="1"/>
  <c r="H40" i="25" s="1"/>
  <c r="D44" i="115" l="1"/>
  <c r="D45" i="115" l="1"/>
  <c r="N11" i="124" l="1"/>
  <c r="N12" i="124" l="1"/>
  <c r="I29" i="124"/>
  <c r="L29" i="124"/>
  <c r="K29" i="124"/>
  <c r="J29" i="124"/>
  <c r="K32" i="124"/>
  <c r="N13" i="124"/>
  <c r="N15" i="124"/>
  <c r="N14" i="124"/>
  <c r="N10" i="124" l="1"/>
  <c r="N29" i="124" s="1"/>
  <c r="H29" i="124"/>
  <c r="I32" i="124"/>
  <c r="J32" i="124"/>
  <c r="L32" i="124"/>
  <c r="N30" i="124" l="1"/>
  <c r="N32" i="124" s="1"/>
  <c r="H32" i="124" l="1"/>
  <c r="A32" i="124" s="1"/>
  <c r="A1" i="124" s="1"/>
  <c r="H42" i="25" s="1"/>
  <c r="K50" i="116" l="1"/>
  <c r="K46" i="116" l="1"/>
  <c r="K53" i="116" s="1"/>
  <c r="L18" i="125"/>
  <c r="L23" i="125"/>
  <c r="L17" i="125"/>
  <c r="L16" i="125"/>
  <c r="L11" i="125"/>
  <c r="L20" i="125"/>
  <c r="L15" i="125"/>
  <c r="L31" i="125"/>
  <c r="L21" i="125"/>
  <c r="L13" i="125"/>
  <c r="L19" i="125"/>
  <c r="L14" i="125"/>
  <c r="L24" i="125"/>
  <c r="L12" i="125"/>
  <c r="L32" i="125"/>
  <c r="L25" i="125"/>
  <c r="H50" i="116"/>
  <c r="I50" i="116"/>
  <c r="M12" i="125" l="1"/>
  <c r="M11" i="125"/>
  <c r="M14" i="125"/>
  <c r="M13" i="125"/>
  <c r="M16" i="125"/>
  <c r="M19" i="125"/>
  <c r="M15" i="125"/>
  <c r="M25" i="125"/>
  <c r="M18" i="125"/>
  <c r="M20" i="125"/>
  <c r="M32" i="125"/>
  <c r="M24" i="125"/>
  <c r="M23" i="125"/>
  <c r="M31" i="125"/>
  <c r="M21" i="125"/>
  <c r="L46" i="116"/>
  <c r="M17" i="125"/>
  <c r="H46" i="116"/>
  <c r="H53" i="116" s="1"/>
  <c r="I17" i="125"/>
  <c r="I31" i="125"/>
  <c r="I24" i="125"/>
  <c r="I21" i="125"/>
  <c r="I11" i="125"/>
  <c r="I13" i="125"/>
  <c r="I18" i="125"/>
  <c r="I16" i="125"/>
  <c r="I25" i="125"/>
  <c r="I15" i="125"/>
  <c r="I12" i="125"/>
  <c r="I32" i="125"/>
  <c r="I23" i="125"/>
  <c r="I19" i="125"/>
  <c r="I20" i="125"/>
  <c r="I14" i="125"/>
  <c r="L27" i="125"/>
  <c r="L28" i="125"/>
  <c r="L50" i="116"/>
  <c r="K32" i="125"/>
  <c r="K13" i="125"/>
  <c r="K12" i="125"/>
  <c r="K25" i="125"/>
  <c r="K17" i="125"/>
  <c r="K18" i="125"/>
  <c r="K19" i="125"/>
  <c r="J46" i="116"/>
  <c r="K31" i="125"/>
  <c r="K16" i="125"/>
  <c r="K14" i="125"/>
  <c r="K11" i="125"/>
  <c r="K24" i="125"/>
  <c r="K20" i="125"/>
  <c r="K21" i="125"/>
  <c r="K15" i="125"/>
  <c r="K23" i="125"/>
  <c r="J50" i="116"/>
  <c r="J20" i="125"/>
  <c r="J23" i="125"/>
  <c r="J18" i="125"/>
  <c r="J17" i="125"/>
  <c r="J21" i="125"/>
  <c r="J13" i="125"/>
  <c r="I46" i="116"/>
  <c r="I53" i="116" s="1"/>
  <c r="J15" i="125"/>
  <c r="J11" i="125"/>
  <c r="J25" i="125"/>
  <c r="J14" i="125"/>
  <c r="J16" i="125"/>
  <c r="J19" i="125"/>
  <c r="J31" i="125"/>
  <c r="J12" i="125"/>
  <c r="J24" i="125"/>
  <c r="J32" i="125"/>
  <c r="J28" i="125" l="1"/>
  <c r="L29" i="125"/>
  <c r="L33" i="125" s="1"/>
  <c r="J53" i="116"/>
  <c r="I27" i="125"/>
  <c r="K28" i="125"/>
  <c r="J27" i="125"/>
  <c r="J29" i="125" s="1"/>
  <c r="J33" i="125" s="1"/>
  <c r="I28" i="125"/>
  <c r="L53" i="116"/>
  <c r="A53" i="116" s="1"/>
  <c r="A1" i="116" s="1"/>
  <c r="H27" i="25" s="1"/>
  <c r="K27" i="125"/>
  <c r="K29" i="125" s="1"/>
  <c r="K33" i="125" s="1"/>
  <c r="M27" i="125"/>
  <c r="M28" i="125"/>
  <c r="M29" i="125" l="1"/>
  <c r="M33" i="125" s="1"/>
  <c r="I29" i="125"/>
  <c r="I33" i="125" s="1"/>
  <c r="A33" i="125" l="1"/>
  <c r="A1" i="125" s="1"/>
  <c r="H28" i="25" s="1"/>
  <c r="K64" i="115"/>
  <c r="J64" i="115" l="1"/>
  <c r="H64" i="115"/>
  <c r="I64" i="115" l="1"/>
  <c r="G64" i="115"/>
  <c r="J343" i="122" l="1"/>
  <c r="H42" i="114"/>
  <c r="K15" i="114"/>
  <c r="K17" i="114"/>
  <c r="K16" i="114"/>
  <c r="K14" i="114"/>
  <c r="K18" i="114"/>
  <c r="K11" i="114"/>
  <c r="K12" i="114"/>
  <c r="K10" i="114"/>
  <c r="K13" i="114"/>
  <c r="L15" i="114" l="1"/>
  <c r="L10" i="114"/>
  <c r="L17" i="114"/>
  <c r="L13" i="114"/>
  <c r="L11" i="114"/>
  <c r="L18" i="114"/>
  <c r="L14" i="114"/>
  <c r="L16" i="114"/>
  <c r="L12" i="114"/>
  <c r="J10" i="114"/>
  <c r="J18" i="114"/>
  <c r="J13" i="114"/>
  <c r="J16" i="114"/>
  <c r="J15" i="114"/>
  <c r="J12" i="114"/>
  <c r="J17" i="114"/>
  <c r="J14" i="114"/>
  <c r="J11" i="114"/>
  <c r="K19" i="114"/>
  <c r="K22" i="114" s="1"/>
  <c r="H17" i="114"/>
  <c r="H11" i="114"/>
  <c r="H18" i="114"/>
  <c r="H15" i="114"/>
  <c r="H10" i="114"/>
  <c r="H16" i="114"/>
  <c r="H13" i="114"/>
  <c r="H12" i="114"/>
  <c r="H14" i="114"/>
  <c r="J19" i="114" l="1"/>
  <c r="J22" i="114" s="1"/>
  <c r="I14" i="114"/>
  <c r="I17" i="114"/>
  <c r="I16" i="114"/>
  <c r="I15" i="114"/>
  <c r="I11" i="114"/>
  <c r="I13" i="114"/>
  <c r="I18" i="114"/>
  <c r="I10" i="114"/>
  <c r="I12" i="114"/>
  <c r="H19" i="114"/>
  <c r="H22" i="114" s="1"/>
  <c r="L19" i="114"/>
  <c r="L22" i="114" s="1"/>
  <c r="I19" i="114" l="1"/>
  <c r="I22" i="114" s="1"/>
  <c r="A22" i="114" s="1"/>
  <c r="J42" i="114" l="1"/>
  <c r="L343" i="122"/>
  <c r="I42" i="114"/>
  <c r="M343" i="122"/>
  <c r="K42" i="114"/>
  <c r="L42" i="114"/>
  <c r="N343" i="122"/>
  <c r="O341" i="122" l="1"/>
  <c r="O342" i="122"/>
  <c r="O343" i="122" s="1"/>
  <c r="O345" i="122" s="1"/>
  <c r="A42" i="114"/>
  <c r="A1" i="114" s="1"/>
  <c r="H21" i="25" s="1"/>
  <c r="AJ171" i="123" l="1"/>
  <c r="AM519" i="122"/>
  <c r="AM529" i="122"/>
  <c r="AM485" i="122"/>
  <c r="AJ151" i="123"/>
  <c r="AM534" i="122"/>
  <c r="AM445" i="122"/>
  <c r="AM392" i="122"/>
  <c r="AM426" i="122"/>
  <c r="AM585" i="122"/>
  <c r="AM576" i="122"/>
  <c r="AM606" i="122"/>
  <c r="AM388" i="122"/>
  <c r="AM404" i="122"/>
  <c r="AM542" i="122"/>
  <c r="AM587" i="122"/>
  <c r="AM372" i="122"/>
  <c r="AM354" i="122"/>
  <c r="AJ147" i="123"/>
  <c r="AM428" i="122"/>
  <c r="AM379" i="122"/>
  <c r="AM544" i="122"/>
  <c r="AM538" i="122"/>
  <c r="AJ175" i="123"/>
  <c r="AM588" i="122"/>
  <c r="AM580" i="122"/>
  <c r="AM574" i="122"/>
  <c r="AM639" i="122"/>
  <c r="AM509" i="122"/>
  <c r="AM647" i="122"/>
  <c r="AM446" i="122"/>
  <c r="AM614" i="122"/>
  <c r="AM571" i="122"/>
  <c r="AM396" i="122"/>
  <c r="AM403" i="122"/>
  <c r="AJ155" i="123"/>
  <c r="AM503" i="122"/>
  <c r="AJ135" i="123"/>
  <c r="AM473" i="122"/>
  <c r="AM604" i="122"/>
  <c r="AM491" i="122"/>
  <c r="AM653" i="122"/>
  <c r="AM545" i="122"/>
  <c r="AM568" i="122"/>
  <c r="AJ132" i="123"/>
  <c r="AM526" i="122"/>
  <c r="AM374" i="122"/>
  <c r="AM598" i="122"/>
  <c r="AJ169" i="123"/>
  <c r="AM368" i="122"/>
  <c r="AM502" i="122"/>
  <c r="AM464" i="122"/>
  <c r="AM481" i="122"/>
  <c r="AM624" i="122"/>
  <c r="AM626" i="122"/>
  <c r="AJ133" i="123"/>
  <c r="AM406" i="122"/>
  <c r="AM548" i="122"/>
  <c r="AM380" i="122"/>
  <c r="AJ126" i="123"/>
  <c r="AM421" i="122"/>
  <c r="AM543" i="122"/>
  <c r="AM644" i="122"/>
  <c r="AM642" i="122"/>
  <c r="AJ144" i="123"/>
  <c r="AM556" i="122"/>
  <c r="AM366" i="122"/>
  <c r="AJ176" i="123"/>
  <c r="AM417" i="122"/>
  <c r="AM551" i="122"/>
  <c r="AM357" i="122"/>
  <c r="AJ163" i="123"/>
  <c r="AM436" i="122"/>
  <c r="AJ130" i="123"/>
  <c r="AJ178" i="123"/>
  <c r="AM621" i="122"/>
  <c r="AM616" i="122"/>
  <c r="AM369" i="122"/>
  <c r="AM652" i="122"/>
  <c r="AJ145" i="123"/>
  <c r="AM645" i="122"/>
  <c r="AM611" i="122"/>
  <c r="AM395" i="122"/>
  <c r="AM389" i="122"/>
  <c r="AM505" i="122"/>
  <c r="AM521" i="122"/>
  <c r="AJ162" i="123"/>
  <c r="AM411" i="122"/>
  <c r="AM607" i="122"/>
  <c r="AM622" i="122"/>
  <c r="AM546" i="122"/>
  <c r="AJ167" i="123"/>
  <c r="AM610" i="122"/>
  <c r="AM579" i="122"/>
  <c r="AM415" i="122"/>
  <c r="AM631" i="122"/>
  <c r="AM520" i="122"/>
  <c r="AM489" i="122"/>
  <c r="AM424" i="122"/>
  <c r="AM452" i="122"/>
  <c r="AM466" i="122"/>
  <c r="AM444" i="122"/>
  <c r="AM434" i="122"/>
  <c r="AM477" i="122"/>
  <c r="AM461" i="122"/>
  <c r="AM382" i="122"/>
  <c r="AM397" i="122"/>
  <c r="AM655" i="122"/>
  <c r="AM594" i="122"/>
  <c r="AJ156" i="123"/>
  <c r="AM418" i="122"/>
  <c r="AM482" i="122"/>
  <c r="AJ140" i="123"/>
  <c r="AM457" i="122"/>
  <c r="AJ187" i="123"/>
  <c r="AJ160" i="123"/>
  <c r="AJ136" i="123"/>
  <c r="AM500" i="122"/>
  <c r="AM528" i="122"/>
  <c r="AM494" i="122"/>
  <c r="AM422" i="122"/>
  <c r="AM376" i="122"/>
  <c r="AJ189" i="123"/>
  <c r="AM360" i="122"/>
  <c r="AM448" i="122"/>
  <c r="AM581" i="122"/>
  <c r="AJ129" i="123"/>
  <c r="AM559" i="122"/>
  <c r="AM554" i="122"/>
  <c r="AM584" i="122"/>
  <c r="AJ185" i="123"/>
  <c r="AJ128" i="123"/>
  <c r="AM410" i="122"/>
  <c r="AM371" i="122"/>
  <c r="AM510" i="122"/>
  <c r="AM433" i="122"/>
  <c r="AM498" i="122"/>
  <c r="AM459" i="122"/>
  <c r="AM386" i="122"/>
  <c r="AJ150" i="123"/>
  <c r="AM407" i="122"/>
  <c r="AJ111" i="123"/>
  <c r="AM602" i="122"/>
  <c r="AM451" i="122"/>
  <c r="AM650" i="122"/>
  <c r="AM359" i="122"/>
  <c r="AJ188" i="123"/>
  <c r="AM625" i="122"/>
  <c r="AM475" i="122"/>
  <c r="AM597" i="122"/>
  <c r="AM605" i="122"/>
  <c r="AM553" i="122"/>
  <c r="AM460" i="122"/>
  <c r="AM413" i="122"/>
  <c r="AM533" i="122"/>
  <c r="AM437" i="122"/>
  <c r="AM449" i="122"/>
  <c r="AJ120" i="123"/>
  <c r="AJ118" i="123"/>
  <c r="AM402" i="122"/>
  <c r="AM486" i="122"/>
  <c r="AM523" i="122"/>
  <c r="AM564" i="122"/>
  <c r="AM393" i="122"/>
  <c r="AM596" i="122"/>
  <c r="AM501" i="122"/>
  <c r="AM560" i="122"/>
  <c r="AM463" i="122"/>
  <c r="AM633" i="122"/>
  <c r="AM515" i="122"/>
  <c r="AJ170" i="123"/>
  <c r="AM478" i="122"/>
  <c r="AM659" i="122"/>
  <c r="AM467" i="122"/>
  <c r="AM557" i="122"/>
  <c r="AM495" i="122"/>
  <c r="AJ114" i="123"/>
  <c r="AJ183" i="123"/>
  <c r="AJ180" i="123"/>
  <c r="AM570" i="122"/>
  <c r="AM479" i="122"/>
  <c r="AM412" i="122"/>
  <c r="AM474" i="122"/>
  <c r="AM512" i="122"/>
  <c r="AM648" i="122"/>
  <c r="AM419" i="122"/>
  <c r="AJ179" i="123"/>
  <c r="AM527" i="122"/>
  <c r="AJ139" i="123"/>
  <c r="AM484" i="122"/>
  <c r="AM469" i="122"/>
  <c r="AM405" i="122"/>
  <c r="AJ109" i="123"/>
  <c r="AJ165" i="123"/>
  <c r="AM630" i="122"/>
  <c r="AM476" i="122"/>
  <c r="AM619" i="122"/>
  <c r="AJ119" i="123"/>
  <c r="AM427" i="122"/>
  <c r="AM373" i="122"/>
  <c r="AM499" i="122"/>
  <c r="AM377" i="122"/>
  <c r="AM454" i="122"/>
  <c r="AM620" i="122"/>
  <c r="AM600" i="122"/>
  <c r="AM552" i="122"/>
  <c r="AM524" i="122"/>
  <c r="AM401" i="122"/>
  <c r="AM537" i="122"/>
  <c r="AM511" i="122"/>
  <c r="AM536" i="122"/>
  <c r="AM632" i="122"/>
  <c r="AJ174" i="123"/>
  <c r="AM590" i="122"/>
  <c r="AM390" i="122"/>
  <c r="AM637" i="122"/>
  <c r="AM470" i="122"/>
  <c r="AM649" i="122"/>
  <c r="AM582" i="122"/>
  <c r="AM667" i="122"/>
  <c r="AM656" i="122"/>
  <c r="AJ125" i="123"/>
  <c r="AJ112" i="123"/>
  <c r="AM493" i="122"/>
  <c r="AJ154" i="123"/>
  <c r="AM613" i="122"/>
  <c r="AJ152" i="123"/>
  <c r="AM555" i="122"/>
  <c r="AM429" i="122"/>
  <c r="AM643" i="122"/>
  <c r="AM385" i="122"/>
  <c r="AM383" i="122"/>
  <c r="AM567" i="122"/>
  <c r="AM394" i="122"/>
  <c r="AM586" i="122"/>
  <c r="AJ137" i="123"/>
  <c r="AM661" i="122"/>
  <c r="AM575" i="122"/>
  <c r="AM514" i="122"/>
  <c r="AJ141" i="123"/>
  <c r="AM592" i="122"/>
  <c r="AM565" i="122"/>
  <c r="AM440" i="122"/>
  <c r="AJ121" i="123"/>
  <c r="AM365" i="122"/>
  <c r="AM513" i="122"/>
  <c r="AJ157" i="123"/>
  <c r="AM378" i="122"/>
  <c r="AM480" i="122"/>
  <c r="AM358" i="122"/>
  <c r="AJ127" i="123"/>
  <c r="AM362" i="122"/>
  <c r="AM496" i="122"/>
  <c r="AJ172" i="123"/>
  <c r="AM578" i="122"/>
  <c r="AM654" i="122"/>
  <c r="AJ110" i="123"/>
  <c r="AJ177" i="123"/>
  <c r="AM355" i="122"/>
  <c r="AM583" i="122"/>
  <c r="AM441" i="122"/>
  <c r="AJ158" i="123"/>
  <c r="AM487" i="122"/>
  <c r="AM562" i="122"/>
  <c r="AM442" i="122"/>
  <c r="AM550" i="122"/>
  <c r="AM603" i="122"/>
  <c r="AM508" i="122"/>
  <c r="AJ186" i="123"/>
  <c r="AM629" i="122"/>
  <c r="AJ159" i="123"/>
  <c r="AM408" i="122"/>
  <c r="AM623" i="122"/>
  <c r="AM431" i="122"/>
  <c r="AM420" i="122"/>
  <c r="AJ138" i="123"/>
  <c r="AM414" i="122"/>
  <c r="AM443" i="122"/>
  <c r="AM471" i="122"/>
  <c r="AJ184" i="123"/>
  <c r="AM387" i="122"/>
  <c r="AM660" i="122"/>
  <c r="AM438" i="122"/>
  <c r="AM391" i="122"/>
  <c r="AM608" i="122"/>
  <c r="AM532" i="122"/>
  <c r="AM591" i="122"/>
  <c r="AM609" i="122"/>
  <c r="AM549" i="122"/>
  <c r="AM628" i="122"/>
  <c r="AM363" i="122"/>
  <c r="AM456" i="122"/>
  <c r="AM400" i="122"/>
  <c r="AM601" i="122"/>
  <c r="AM364" i="122"/>
  <c r="AM430" i="122"/>
  <c r="AM558" i="122"/>
  <c r="AM506" i="122"/>
  <c r="AM539" i="122"/>
  <c r="AJ117" i="123"/>
  <c r="AM640" i="122"/>
  <c r="AJ148" i="123"/>
  <c r="AM618" i="122"/>
  <c r="AM646" i="122"/>
  <c r="AM561" i="122"/>
  <c r="AM599" i="122"/>
  <c r="AM352" i="122"/>
  <c r="AM465" i="122"/>
  <c r="AM384" i="122"/>
  <c r="AM517" i="122"/>
  <c r="AM535" i="122"/>
  <c r="AM472" i="122"/>
  <c r="AM353" i="122"/>
  <c r="AJ153" i="123"/>
  <c r="AM497" i="122"/>
  <c r="AM356" i="122"/>
  <c r="AJ182" i="123"/>
  <c r="AM541" i="122"/>
  <c r="AM627" i="122"/>
  <c r="AM525" i="122"/>
  <c r="AM432" i="122"/>
  <c r="AM425" i="122"/>
  <c r="AJ122" i="123"/>
  <c r="AM516" i="122"/>
  <c r="AJ181" i="123"/>
  <c r="AM569" i="122"/>
  <c r="AM636" i="122"/>
  <c r="AM612" i="122"/>
  <c r="AM455" i="122"/>
  <c r="AM458" i="122"/>
  <c r="AM666" i="122"/>
  <c r="AM370" i="122"/>
  <c r="AM398" i="122"/>
  <c r="AJ113" i="123"/>
  <c r="AJ134" i="123"/>
  <c r="AJ149" i="123"/>
  <c r="AM507" i="122"/>
  <c r="AM504" i="122"/>
  <c r="AM641" i="122"/>
  <c r="AM518" i="122"/>
  <c r="AM573" i="122"/>
  <c r="AM634" i="122"/>
  <c r="AM531" i="122"/>
  <c r="AM450" i="122"/>
  <c r="AM468" i="122"/>
  <c r="AM563" i="122"/>
  <c r="AM492" i="122"/>
  <c r="AM361" i="122"/>
  <c r="AM416" i="122"/>
  <c r="AJ124" i="123"/>
  <c r="AM522" i="122"/>
  <c r="AM595" i="122"/>
  <c r="AM490" i="122"/>
  <c r="AM589" i="122"/>
  <c r="AM664" i="122"/>
  <c r="AM662" i="122"/>
  <c r="AM668" i="122"/>
  <c r="AM483" i="122"/>
  <c r="AM638" i="122"/>
  <c r="AM375" i="122"/>
  <c r="AM453" i="122"/>
  <c r="AJ116" i="123"/>
  <c r="AM658" i="122"/>
  <c r="AM439" i="122"/>
  <c r="AM547" i="122"/>
  <c r="AJ143" i="123"/>
  <c r="AJ161" i="123"/>
  <c r="AM367" i="122"/>
  <c r="AJ173" i="123"/>
  <c r="AM488" i="122"/>
  <c r="AM665" i="122"/>
  <c r="AM635" i="122"/>
  <c r="AM399" i="122"/>
  <c r="AM572" i="122"/>
  <c r="AJ166" i="123"/>
  <c r="AM617" i="122"/>
  <c r="AJ131" i="123"/>
  <c r="AJ115" i="123"/>
  <c r="AM462" i="122"/>
  <c r="AM663" i="122"/>
  <c r="AM540" i="122"/>
  <c r="AM651" i="122"/>
  <c r="AM615" i="122"/>
  <c r="AM566" i="122"/>
  <c r="AM435" i="122"/>
  <c r="AM657" i="122"/>
  <c r="AM447" i="122"/>
  <c r="AM381" i="122"/>
  <c r="AJ164" i="123"/>
  <c r="AM409" i="122"/>
  <c r="AM423" i="122"/>
  <c r="AJ168" i="123"/>
  <c r="AJ146" i="123"/>
  <c r="AM577" i="122"/>
  <c r="AJ142" i="123"/>
  <c r="AJ123" i="123"/>
  <c r="AM593" i="122"/>
  <c r="AM530" i="122"/>
  <c r="K343" i="122"/>
  <c r="A329" i="122" l="1"/>
  <c r="A1" i="122" s="1"/>
  <c r="H23" i="25" s="1"/>
  <c r="A97" i="123"/>
  <c r="A1" i="123" s="1"/>
  <c r="H24" i="25" s="1"/>
  <c r="M11" i="102" l="1"/>
  <c r="I13" i="102"/>
  <c r="G15" i="102" l="1"/>
  <c r="I15" i="102"/>
  <c r="I16" i="102" s="1"/>
  <c r="J15" i="102"/>
  <c r="J13" i="102"/>
  <c r="I65" i="115"/>
  <c r="J16" i="102" l="1"/>
  <c r="J65" i="115"/>
  <c r="G13" i="102"/>
  <c r="M10" i="102"/>
  <c r="J21" i="126"/>
  <c r="H21" i="126"/>
  <c r="K21" i="126"/>
  <c r="K15" i="102"/>
  <c r="H15" i="102"/>
  <c r="K13" i="102"/>
  <c r="K16" i="102" l="1"/>
  <c r="H65" i="115"/>
  <c r="K65" i="115"/>
  <c r="M12" i="102"/>
  <c r="L21" i="126"/>
  <c r="G16" i="102"/>
  <c r="H13" i="102"/>
  <c r="H16" i="102" s="1"/>
  <c r="G65" i="115"/>
  <c r="A65" i="115" s="1"/>
  <c r="A1" i="115" s="1"/>
  <c r="H26" i="25" s="1"/>
  <c r="K13" i="126"/>
  <c r="K17" i="126"/>
  <c r="K14" i="126"/>
  <c r="K15" i="126"/>
  <c r="K18" i="126"/>
  <c r="K11" i="126"/>
  <c r="K16" i="126"/>
  <c r="K10" i="126"/>
  <c r="K12" i="126"/>
  <c r="H17" i="126"/>
  <c r="H12" i="126"/>
  <c r="H16" i="126"/>
  <c r="H14" i="126"/>
  <c r="H15" i="126"/>
  <c r="H11" i="126"/>
  <c r="H13" i="126"/>
  <c r="H18" i="126"/>
  <c r="H10" i="126"/>
  <c r="I21" i="126"/>
  <c r="J10" i="126"/>
  <c r="J11" i="126"/>
  <c r="J18" i="126"/>
  <c r="J15" i="126"/>
  <c r="J17" i="126"/>
  <c r="J12" i="126"/>
  <c r="J14" i="126"/>
  <c r="J13" i="126"/>
  <c r="J16" i="126"/>
  <c r="G32" i="103"/>
  <c r="J32" i="103"/>
  <c r="I32" i="103"/>
  <c r="K19" i="126" l="1"/>
  <c r="K22" i="126" s="1"/>
  <c r="G33" i="103"/>
  <c r="I11" i="126"/>
  <c r="I18" i="126"/>
  <c r="I10" i="126"/>
  <c r="I16" i="126"/>
  <c r="I13" i="126"/>
  <c r="I14" i="126"/>
  <c r="I15" i="126"/>
  <c r="I17" i="126"/>
  <c r="I12" i="126"/>
  <c r="J14" i="101"/>
  <c r="H19" i="126"/>
  <c r="H22" i="126" s="1"/>
  <c r="A16" i="102"/>
  <c r="A1" i="102" s="1"/>
  <c r="H25" i="25" s="1"/>
  <c r="I14" i="101"/>
  <c r="L12" i="102"/>
  <c r="G14" i="101"/>
  <c r="J33" i="103"/>
  <c r="L11" i="102"/>
  <c r="M13" i="102"/>
  <c r="I33" i="103"/>
  <c r="L10" i="102"/>
  <c r="J19" i="126"/>
  <c r="J22" i="126" s="1"/>
  <c r="L17" i="126"/>
  <c r="L11" i="126"/>
  <c r="L16" i="126"/>
  <c r="L12" i="126"/>
  <c r="L15" i="126"/>
  <c r="L18" i="126"/>
  <c r="L13" i="126"/>
  <c r="L10" i="126"/>
  <c r="L14" i="126"/>
  <c r="K32" i="103"/>
  <c r="H32" i="103"/>
  <c r="L13" i="102" l="1"/>
  <c r="G18" i="103"/>
  <c r="G19" i="103" s="1"/>
  <c r="G16" i="101"/>
  <c r="G17" i="101" s="1"/>
  <c r="G16" i="100"/>
  <c r="L19" i="126"/>
  <c r="L22" i="126" s="1"/>
  <c r="I16" i="101"/>
  <c r="I17" i="101" s="1"/>
  <c r="I18" i="103"/>
  <c r="I19" i="103" s="1"/>
  <c r="I16" i="100"/>
  <c r="K33" i="103"/>
  <c r="H33" i="103"/>
  <c r="I19" i="126"/>
  <c r="I22" i="126" s="1"/>
  <c r="H14" i="101"/>
  <c r="K14" i="101"/>
  <c r="J18" i="103"/>
  <c r="J19" i="103" s="1"/>
  <c r="J16" i="101"/>
  <c r="J17" i="101" s="1"/>
  <c r="J16" i="100"/>
  <c r="G19" i="100"/>
  <c r="A33" i="103" l="1"/>
  <c r="I19" i="100"/>
  <c r="A22" i="126"/>
  <c r="A1" i="126" s="1"/>
  <c r="H22" i="25" s="1"/>
  <c r="H16" i="101"/>
  <c r="H17" i="101" s="1"/>
  <c r="H18" i="103"/>
  <c r="H19" i="103" s="1"/>
  <c r="H16" i="100"/>
  <c r="J19" i="100"/>
  <c r="K16" i="101"/>
  <c r="K17" i="101" s="1"/>
  <c r="K18" i="103"/>
  <c r="K19" i="103" s="1"/>
  <c r="K16" i="100"/>
  <c r="H19" i="100" l="1"/>
  <c r="A17" i="101"/>
  <c r="A1" i="101" s="1"/>
  <c r="H20" i="25" s="1"/>
  <c r="K19" i="100"/>
  <c r="A19" i="103"/>
  <c r="A1" i="103" s="1"/>
  <c r="H29" i="25" s="1"/>
  <c r="A19" i="100" l="1"/>
  <c r="A1" i="100" s="1"/>
  <c r="H19" i="25" s="1"/>
  <c r="A64" i="112"/>
  <c r="A1" i="112" s="1"/>
  <c r="H43" i="25" s="1"/>
  <c r="K21" i="105" l="1"/>
  <c r="G41" i="117" l="1"/>
  <c r="G48" i="117"/>
  <c r="G16" i="117"/>
  <c r="G27" i="117"/>
  <c r="G62" i="117"/>
  <c r="G34" i="117"/>
  <c r="G55" i="117"/>
  <c r="G91" i="117" l="1"/>
  <c r="G92" i="117"/>
  <c r="H62" i="117" l="1"/>
  <c r="H48" i="117"/>
  <c r="H55" i="117"/>
  <c r="H41" i="117"/>
  <c r="H34" i="117"/>
  <c r="H16" i="117"/>
  <c r="H27" i="117"/>
  <c r="L21" i="105"/>
  <c r="H91" i="117" l="1"/>
  <c r="H92" i="117" s="1"/>
  <c r="M21" i="105"/>
  <c r="N21" i="105" l="1"/>
  <c r="A21" i="105" s="1"/>
  <c r="A1" i="105" s="1"/>
  <c r="H31" i="25" s="1"/>
  <c r="I27" i="117" l="1"/>
  <c r="I48" i="117"/>
  <c r="I16" i="117"/>
  <c r="I62" i="117"/>
  <c r="I34" i="117"/>
  <c r="I55" i="117"/>
  <c r="I41" i="117"/>
  <c r="I91" i="117" l="1"/>
  <c r="I92" i="117"/>
  <c r="J62" i="117" l="1"/>
  <c r="J34" i="117"/>
  <c r="J48" i="117"/>
  <c r="J27" i="117"/>
  <c r="J41" i="117"/>
  <c r="J16" i="117"/>
  <c r="J55" i="117"/>
  <c r="J91" i="117" l="1"/>
  <c r="J92" i="117"/>
  <c r="K41" i="117" l="1"/>
  <c r="K55" i="117"/>
  <c r="K34" i="117"/>
  <c r="K16" i="117"/>
  <c r="K62" i="117"/>
  <c r="K48" i="117"/>
  <c r="K27" i="117"/>
  <c r="K91" i="117" l="1"/>
  <c r="K92" i="117"/>
  <c r="A92" i="117" s="1"/>
  <c r="A1" i="117" s="1"/>
  <c r="H39" i="25" s="1"/>
  <c r="G52" i="118" l="1"/>
  <c r="G55" i="118" s="1"/>
  <c r="G53" i="118" l="1"/>
  <c r="G56" i="118" s="1"/>
  <c r="G72" i="118"/>
  <c r="G63" i="118"/>
  <c r="H9" i="127"/>
  <c r="G17" i="127"/>
  <c r="H17" i="127" s="1"/>
  <c r="G20" i="127"/>
  <c r="H20" i="127" s="1"/>
  <c r="G25" i="127"/>
  <c r="H25" i="127" s="1"/>
  <c r="G13" i="127"/>
  <c r="H13" i="127" s="1"/>
  <c r="G24" i="127"/>
  <c r="H24" i="127" s="1"/>
  <c r="G22" i="127"/>
  <c r="H22" i="127" s="1"/>
  <c r="G21" i="127"/>
  <c r="H21" i="127" s="1"/>
  <c r="G26" i="127"/>
  <c r="H26" i="127" s="1"/>
  <c r="G15" i="127"/>
  <c r="H15" i="127" s="1"/>
  <c r="G27" i="127"/>
  <c r="H27" i="127" s="1"/>
  <c r="G12" i="127"/>
  <c r="H12" i="127" s="1"/>
  <c r="G10" i="127"/>
  <c r="H10" i="127" s="1"/>
  <c r="G11" i="127"/>
  <c r="H11" i="127" s="1"/>
  <c r="G19" i="127"/>
  <c r="H19" i="127" s="1"/>
  <c r="G16" i="127"/>
  <c r="H16" i="127" s="1"/>
  <c r="G18" i="127"/>
  <c r="H18" i="127" s="1"/>
  <c r="G14" i="127"/>
  <c r="H14" i="127" s="1"/>
  <c r="G28" i="127"/>
  <c r="H28" i="127" s="1"/>
  <c r="G23" i="127"/>
  <c r="H23" i="127" s="1"/>
  <c r="G64" i="118" l="1"/>
  <c r="G73" i="118"/>
  <c r="G66" i="118"/>
  <c r="G75" i="118"/>
  <c r="G12" i="130"/>
  <c r="G11" i="130"/>
  <c r="G10" i="130"/>
  <c r="G13" i="130"/>
  <c r="G14" i="130"/>
  <c r="G12" i="109"/>
  <c r="G17" i="109"/>
  <c r="G10" i="109"/>
  <c r="G11" i="109"/>
  <c r="G16" i="109"/>
  <c r="G19" i="109"/>
  <c r="G13" i="109"/>
  <c r="G18" i="109"/>
  <c r="G15" i="130" l="1"/>
  <c r="G18" i="130" s="1"/>
  <c r="G76" i="118"/>
  <c r="G67" i="118"/>
  <c r="H52" i="118"/>
  <c r="H55" i="118" s="1"/>
  <c r="H72" i="118" l="1"/>
  <c r="H63" i="118"/>
  <c r="G80" i="118"/>
  <c r="G84" i="118"/>
  <c r="H53" i="118" l="1"/>
  <c r="H56" i="118" s="1"/>
  <c r="H64" i="118"/>
  <c r="H73" i="118"/>
  <c r="H75" i="118" l="1"/>
  <c r="H66" i="118"/>
  <c r="H10" i="109"/>
  <c r="H17" i="109"/>
  <c r="H11" i="109"/>
  <c r="H18" i="109"/>
  <c r="H19" i="109"/>
  <c r="H13" i="109"/>
  <c r="H12" i="109"/>
  <c r="H16" i="109"/>
  <c r="H12" i="130"/>
  <c r="H10" i="130"/>
  <c r="H11" i="130"/>
  <c r="H13" i="130"/>
  <c r="H14" i="130"/>
  <c r="H15" i="130" l="1"/>
  <c r="H18" i="130" s="1"/>
  <c r="H67" i="118"/>
  <c r="H76" i="118"/>
  <c r="H84" i="118" l="1"/>
  <c r="H80" i="118"/>
  <c r="I52" i="118" l="1"/>
  <c r="I55" i="118" s="1"/>
  <c r="I63" i="118" l="1"/>
  <c r="I72" i="118"/>
  <c r="I53" i="118" l="1"/>
  <c r="I56" i="118" s="1"/>
  <c r="I73" i="118"/>
  <c r="I64" i="118"/>
  <c r="I11" i="130" l="1"/>
  <c r="I12" i="130"/>
  <c r="I13" i="130"/>
  <c r="I14" i="130"/>
  <c r="I10" i="130"/>
  <c r="I66" i="118"/>
  <c r="I75" i="118"/>
  <c r="I12" i="109"/>
  <c r="I16" i="109"/>
  <c r="I17" i="109"/>
  <c r="I19" i="109"/>
  <c r="I18" i="109"/>
  <c r="I10" i="109"/>
  <c r="I11" i="109"/>
  <c r="I13" i="109"/>
  <c r="I15" i="130" l="1"/>
  <c r="I18" i="130" s="1"/>
  <c r="I67" i="118"/>
  <c r="I76" i="118"/>
  <c r="J52" i="118"/>
  <c r="J55" i="118" s="1"/>
  <c r="J72" i="118" l="1"/>
  <c r="J63" i="118"/>
  <c r="I80" i="118"/>
  <c r="I84" i="118"/>
  <c r="J53" i="118" l="1"/>
  <c r="J56" i="118" s="1"/>
  <c r="J64" i="118"/>
  <c r="J73" i="118"/>
  <c r="J14" i="130" l="1"/>
  <c r="J10" i="130"/>
  <c r="J11" i="130"/>
  <c r="J12" i="130"/>
  <c r="J13" i="130"/>
  <c r="J66" i="118"/>
  <c r="J75" i="118"/>
  <c r="J16" i="109"/>
  <c r="J18" i="109"/>
  <c r="J12" i="109"/>
  <c r="J11" i="109"/>
  <c r="J17" i="109"/>
  <c r="J13" i="109"/>
  <c r="J10" i="109"/>
  <c r="J19" i="109"/>
  <c r="J15" i="130" l="1"/>
  <c r="J18" i="130" s="1"/>
  <c r="J76" i="118"/>
  <c r="J67" i="118"/>
  <c r="J84" i="118" l="1"/>
  <c r="J80" i="118"/>
  <c r="K52" i="118"/>
  <c r="K55" i="118" l="1"/>
  <c r="L55" i="118"/>
  <c r="K53" i="118" l="1"/>
  <c r="K63" i="118"/>
  <c r="K72" i="118"/>
  <c r="K73" i="118" l="1"/>
  <c r="M72" i="118"/>
  <c r="L72" i="118"/>
  <c r="K64" i="118"/>
  <c r="L63" i="118"/>
  <c r="M63" i="118"/>
  <c r="K12" i="109"/>
  <c r="K16" i="109"/>
  <c r="K10" i="109"/>
  <c r="K18" i="109"/>
  <c r="K17" i="109"/>
  <c r="K19" i="109"/>
  <c r="K11" i="109"/>
  <c r="K13" i="109"/>
  <c r="K10" i="130"/>
  <c r="K14" i="130"/>
  <c r="K12" i="130"/>
  <c r="K11" i="130"/>
  <c r="K13" i="130"/>
  <c r="L56" i="118"/>
  <c r="K56" i="118"/>
  <c r="K75" i="118" l="1"/>
  <c r="K66" i="118"/>
  <c r="A23" i="109"/>
  <c r="A1" i="109" s="1"/>
  <c r="H35" i="25" s="1"/>
  <c r="K15" i="130"/>
  <c r="K18" i="130" s="1"/>
  <c r="A18" i="130" s="1"/>
  <c r="A1" i="130" s="1"/>
  <c r="H36" i="25" s="1"/>
  <c r="M64" i="118"/>
  <c r="N64" i="118" s="1"/>
  <c r="L64" i="118"/>
  <c r="L73" i="118"/>
  <c r="M73" i="118"/>
  <c r="N73" i="118" s="1"/>
  <c r="K67" i="118" l="1"/>
  <c r="M66" i="118"/>
  <c r="L66" i="118"/>
  <c r="K76" i="118"/>
  <c r="M75" i="118"/>
  <c r="L75" i="118"/>
  <c r="K80" i="118"/>
  <c r="A80" i="118" s="1"/>
  <c r="K84" i="118"/>
  <c r="A84" i="118" s="1"/>
  <c r="A1" i="118" l="1"/>
  <c r="H44" i="25" s="1"/>
  <c r="H49" i="25" s="1"/>
  <c r="H8" i="25" s="1"/>
  <c r="H10" i="25" s="1"/>
  <c r="B2" i="131" s="1"/>
  <c r="L76" i="118"/>
  <c r="M76" i="118"/>
  <c r="N76" i="118" s="1"/>
  <c r="M67" i="118"/>
  <c r="N67" i="118" s="1"/>
  <c r="L67" i="118"/>
  <c r="B2" i="123" l="1"/>
  <c r="B2" i="106"/>
  <c r="B2" i="122"/>
  <c r="B2" i="116"/>
  <c r="B2" i="102"/>
  <c r="B2" i="112"/>
  <c r="B2" i="115"/>
  <c r="B2" i="125"/>
  <c r="B2" i="100"/>
  <c r="B2" i="109"/>
  <c r="B2" i="107"/>
  <c r="B2" i="103"/>
  <c r="B2" i="28"/>
  <c r="B2" i="130"/>
  <c r="B2" i="104"/>
  <c r="B2" i="124"/>
  <c r="B2" i="127"/>
  <c r="B2" i="126"/>
  <c r="B2" i="25"/>
  <c r="B2" i="118"/>
  <c r="B2" i="120"/>
  <c r="B2" i="117"/>
  <c r="B2" i="4"/>
  <c r="B2" i="113"/>
  <c r="B2" i="119"/>
  <c r="B2" i="114"/>
  <c r="B2" i="101"/>
  <c r="B2" i="129"/>
  <c r="B2" i="105"/>
  <c r="B2" i="121"/>
  <c r="B2" i="10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<sst xmlns="http://schemas.openxmlformats.org/spreadsheetml/2006/main" count="8741" uniqueCount="944">
  <si>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</si>
  <si>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</si>
  <si>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</si>
  <si>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</si>
  <si>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</si>
  <si>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</si>
  <si>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</si>
  <si>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</si>
  <si>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</si>
  <si>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</si>
  <si>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</si>
  <si>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</si>
  <si>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</si>
  <si>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</si>
  <si>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</si>
  <si>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</si>
  <si>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</si>
  <si>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</si>
  <si>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</si>
  <si>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</si>
  <si>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</si>
  <si>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</si>
  <si>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</si>
  <si>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</si>
  <si>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</si>
  <si>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</si>
  <si>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</si>
  <si>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</si>
  <si>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</si>
  <si>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</si>
  <si>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</si>
  <si>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</si>
  <si>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</si>
  <si>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</si>
  <si>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</si>
  <si>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</si>
  <si>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</si>
  <si>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</si>
  <si>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</si>
  <si>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</si>
  <si>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</si>
  <si>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</si>
  <si>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</si>
  <si>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</si>
  <si>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</si>
  <si>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</si>
  <si>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</si>
  <si>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</si>
  <si>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</si>
  <si>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</si>
  <si>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</si>
  <si>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</si>
  <si>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</si>
  <si>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</si>
  <si>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</si>
  <si>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</si>
  <si>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</si>
  <si>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</si>
  <si>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</si>
  <si>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</si>
  <si>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</si>
  <si>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</si>
  <si>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</si>
  <si>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</si>
  <si>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</si>
  <si>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</si>
  <si>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</si>
  <si>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Nominal</t>
  </si>
  <si>
    <t>LU_Basis</t>
  </si>
  <si>
    <t>Units</t>
  </si>
  <si>
    <t>Percent</t>
  </si>
  <si>
    <t>Dollars</t>
  </si>
  <si>
    <t>Factor</t>
  </si>
  <si>
    <t>$Millions</t>
  </si>
  <si>
    <t>$000's</t>
  </si>
  <si>
    <t>Millions</t>
  </si>
  <si>
    <t>Thousands</t>
  </si>
  <si>
    <t>LU_Units</t>
  </si>
  <si>
    <t>Not Applicable</t>
  </si>
  <si>
    <t>GWh</t>
  </si>
  <si>
    <t>MWh</t>
  </si>
  <si>
    <t>Number</t>
  </si>
  <si>
    <t>Km</t>
  </si>
  <si>
    <t>Kilometres</t>
  </si>
  <si>
    <t>Disclaimer:</t>
  </si>
  <si>
    <t>Unallocated</t>
  </si>
  <si>
    <t>General Model Inputs and Calculations</t>
  </si>
  <si>
    <t>Depreciation</t>
  </si>
  <si>
    <t>Million</t>
  </si>
  <si>
    <t>Estimate</t>
  </si>
  <si>
    <t>End Period</t>
  </si>
  <si>
    <t>Mid Period</t>
  </si>
  <si>
    <t>Start Period</t>
  </si>
  <si>
    <t>Start_Period</t>
  </si>
  <si>
    <t>Mid_Period</t>
  </si>
  <si>
    <t>End_Period</t>
  </si>
  <si>
    <t>Timing_Adj</t>
  </si>
  <si>
    <t>Cash_Timing</t>
  </si>
  <si>
    <t>Opex</t>
  </si>
  <si>
    <t>Real $2023</t>
  </si>
  <si>
    <t>Real $2018</t>
  </si>
  <si>
    <t>PTRM</t>
  </si>
  <si>
    <t>RFM</t>
  </si>
  <si>
    <t>Capex</t>
  </si>
  <si>
    <t>TransGrid</t>
  </si>
  <si>
    <t>Real2023</t>
  </si>
  <si>
    <t>Real2018</t>
  </si>
  <si>
    <t>Data required to populate TransGrid's 2023-28 regulatory submission</t>
  </si>
  <si>
    <t>Revenue model suite</t>
  </si>
  <si>
    <t>Reset RIN</t>
  </si>
  <si>
    <t>Submission area</t>
  </si>
  <si>
    <t>LU_Submission_area</t>
  </si>
  <si>
    <t>Workbook name</t>
  </si>
  <si>
    <t>LU_Workbook_name</t>
  </si>
  <si>
    <t>Proposal tables and charts</t>
  </si>
  <si>
    <t>RIN Wkb 1 - Forecast</t>
  </si>
  <si>
    <t>RIN Wkb 2 - MIC</t>
  </si>
  <si>
    <t>RIN Wkb 3 - Recast CA</t>
  </si>
  <si>
    <t>RIN Wkb 4 - Recast EB</t>
  </si>
  <si>
    <t>CESS / RIN Wkb 5</t>
  </si>
  <si>
    <t>EBSS / RIN Wkb 6</t>
  </si>
  <si>
    <t>RIN Wkb 7 - Bill impacts</t>
  </si>
  <si>
    <t>RIN Wkb 8 - Historical Capex</t>
  </si>
  <si>
    <t>Finance</t>
  </si>
  <si>
    <t>Pricing</t>
  </si>
  <si>
    <t>Project Team and Contact</t>
  </si>
  <si>
    <t>LU_Team_Data_Owners</t>
  </si>
  <si>
    <t>Eli Grace-Webb</t>
  </si>
  <si>
    <t>To be specified</t>
  </si>
  <si>
    <t>Stephanie McDougall</t>
  </si>
  <si>
    <t>[insert name 1]</t>
  </si>
  <si>
    <t>[insert name 2]</t>
  </si>
  <si>
    <t>[insert name 3]</t>
  </si>
  <si>
    <t>LU_Project_Teams</t>
  </si>
  <si>
    <t>Data Status</t>
  </si>
  <si>
    <t>LU_Data_Status</t>
  </si>
  <si>
    <t>Linked from other models</t>
  </si>
  <si>
    <t>[insert name 4]</t>
  </si>
  <si>
    <t>[insert name 5]</t>
  </si>
  <si>
    <t>Asset Management - Area 1</t>
  </si>
  <si>
    <t>Asset Management - Area 2</t>
  </si>
  <si>
    <t>Asset Management - Area 3</t>
  </si>
  <si>
    <t>Regulation</t>
  </si>
  <si>
    <t>External - FSC</t>
  </si>
  <si>
    <t>External - Other</t>
  </si>
  <si>
    <t>Tax</t>
  </si>
  <si>
    <t>[insert name 6]</t>
  </si>
  <si>
    <t>Proposal Strategy</t>
  </si>
  <si>
    <t>LU_Proposal_Strategy</t>
  </si>
  <si>
    <t>Depreciation Strategy</t>
  </si>
  <si>
    <t>Tax Strategy</t>
  </si>
  <si>
    <t>WACC Strategy</t>
  </si>
  <si>
    <t>Revenue Profile Strategy</t>
  </si>
  <si>
    <t>Share Asset Strategy</t>
  </si>
  <si>
    <t>Capex Strategy</t>
  </si>
  <si>
    <t>Capitalised Overheads Strategy</t>
  </si>
  <si>
    <t>Step changes</t>
  </si>
  <si>
    <t>Opex Strategy</t>
  </si>
  <si>
    <t>2.10.1 - NETWORK OVERHEADS EXPENDITURE</t>
  </si>
  <si>
    <t>2.10.2 - CORPORATE OVERHEADS EXPENDITURE</t>
  </si>
  <si>
    <t>Settled - no action required</t>
  </si>
  <si>
    <t>Decision required</t>
  </si>
  <si>
    <t>Data input required</t>
  </si>
  <si>
    <t>Data confirmation required</t>
  </si>
  <si>
    <t>Modelling update required</t>
  </si>
  <si>
    <t>Refresh links between models</t>
  </si>
  <si>
    <t>Output - RIN template</t>
  </si>
  <si>
    <t>2021-22</t>
  </si>
  <si>
    <t>2022-23</t>
  </si>
  <si>
    <t>2023-24</t>
  </si>
  <si>
    <t>2024-25</t>
  </si>
  <si>
    <t>2025-26</t>
  </si>
  <si>
    <t>2026-27</t>
  </si>
  <si>
    <t>Replacement expenditure</t>
  </si>
  <si>
    <t>Connections</t>
  </si>
  <si>
    <t>Augmentation Expenditure</t>
  </si>
  <si>
    <t>Non-network</t>
  </si>
  <si>
    <t>Capitalised network overheads</t>
  </si>
  <si>
    <t>Capitalised corporate overheads</t>
  </si>
  <si>
    <t>Total</t>
  </si>
  <si>
    <t>Forecast 
($0's. real June 2023)</t>
  </si>
  <si>
    <t>2027-28</t>
  </si>
  <si>
    <t>Source Value</t>
  </si>
  <si>
    <t>Reconciliation Check</t>
  </si>
  <si>
    <t>Substations</t>
  </si>
  <si>
    <t>Lines</t>
  </si>
  <si>
    <t>Other assets</t>
  </si>
  <si>
    <t>OPEX</t>
  </si>
  <si>
    <t>Prescribed Transmission Services</t>
  </si>
  <si>
    <t>CAPEX</t>
  </si>
  <si>
    <t>OTHER TRANSMISSION SERVICES</t>
  </si>
  <si>
    <t>Negotiated Services</t>
  </si>
  <si>
    <t>Unregulated Services</t>
  </si>
  <si>
    <t>Price changes
(% YoY real)
Current regulatory period</t>
  </si>
  <si>
    <t xml:space="preserve">Price changes
(%YoY real)
Forthcoming regulatory period </t>
  </si>
  <si>
    <t>Base year total opex, excluding category specific</t>
  </si>
  <si>
    <t>Increment from base year to final year</t>
  </si>
  <si>
    <t>Price growth</t>
  </si>
  <si>
    <t>Output growth</t>
  </si>
  <si>
    <t>Productivity growth</t>
  </si>
  <si>
    <t>Category specific</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</si>
  <si>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</si>
  <si>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</si>
  <si>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</si>
  <si>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</si>
  <si>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</si>
  <si>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</si>
  <si>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</si>
  <si>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</si>
  <si>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</si>
  <si>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Revenue from other Sources</t>
  </si>
  <si>
    <t>ESTIMATED - AS COMMISSIONED</t>
  </si>
  <si>
    <t>Input - Inflation</t>
  </si>
  <si>
    <t>Inflation Profiles</t>
  </si>
  <si>
    <t>Inputs - Inflation</t>
  </si>
  <si>
    <t>Item</t>
  </si>
  <si>
    <t>RBA MPS</t>
  </si>
  <si>
    <t>Unlagged Index: Real (EoP)-Nominal (EoP)</t>
  </si>
  <si>
    <t>Calculated</t>
  </si>
  <si>
    <t>Calculation - Inflation</t>
  </si>
  <si>
    <t>Profiles</t>
  </si>
  <si>
    <t>Convert From</t>
  </si>
  <si>
    <t>Convert From Timing</t>
  </si>
  <si>
    <t>Convert To</t>
  </si>
  <si>
    <t>Convert To Timing</t>
  </si>
  <si>
    <t>Proportion</t>
  </si>
  <si>
    <t>Labour</t>
  </si>
  <si>
    <t>Non Labour</t>
  </si>
  <si>
    <t>Forecast 
(Percent)</t>
  </si>
  <si>
    <t>Forecast 
(Factors)</t>
  </si>
  <si>
    <t>Actuals
($0s, Nominal)</t>
  </si>
  <si>
    <t>ASSET GROUP</t>
  </si>
  <si>
    <t>ASSET CATEGORY</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</si>
  <si>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</si>
  <si>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</si>
  <si>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</si>
  <si>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</si>
  <si>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</si>
  <si>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SUBSTATION POWER TRANSFORMERS BY: 
Highest operating voltage;  Ampere rating</t>
  </si>
  <si>
    <t>SUBSTATION REACTIVE PLANT BY: 
Highest operating voltage; Function</t>
  </si>
  <si>
    <t>SCADA, NETWORK CONTROL AND PROTECTION SYSTEMS BY:
Function</t>
  </si>
  <si>
    <t>OTHER BY: 
NSP defined</t>
  </si>
  <si>
    <t>DIRECT MATERIALS EXPENDITURE</t>
  </si>
  <si>
    <t>DIRECT LABOUR EXPENDITURE</t>
  </si>
  <si>
    <t>IT &amp; COMMUNICTIONS</t>
  </si>
  <si>
    <t>MOTOR VEHICLES</t>
  </si>
  <si>
    <t>BUILDINGS AND PROPERTY</t>
  </si>
  <si>
    <t>OTHER BY: 
TNSP defined</t>
  </si>
  <si>
    <t>Total IT and communications</t>
  </si>
  <si>
    <t>Car</t>
  </si>
  <si>
    <t>Light commercial vehicle</t>
  </si>
  <si>
    <t>Elevated work platform (LCV)</t>
  </si>
  <si>
    <t>Elevated work platform (HCV)</t>
  </si>
  <si>
    <t>Heavy commercial vehicle</t>
  </si>
  <si>
    <t>Total buildings and property expenditure</t>
  </si>
  <si>
    <t>Other expenditure</t>
  </si>
  <si>
    <t>OTHER</t>
  </si>
  <si>
    <t>[insert]</t>
  </si>
  <si>
    <t>Opex Total</t>
  </si>
  <si>
    <t>Capex Total</t>
  </si>
  <si>
    <t>Opex Source Value</t>
  </si>
  <si>
    <t>Opex Check</t>
  </si>
  <si>
    <t>3.3.1 - REGULATORY ASSET BASE VALUES</t>
  </si>
  <si>
    <t>For total asset base:</t>
  </si>
  <si>
    <t>Opening value</t>
  </si>
  <si>
    <t>Inflation addition</t>
  </si>
  <si>
    <t>Straight line depreciation</t>
  </si>
  <si>
    <t>Actual additions (recognised in RAB)</t>
  </si>
  <si>
    <t xml:space="preserve">Disposals </t>
  </si>
  <si>
    <t xml:space="preserve">Closing value </t>
  </si>
  <si>
    <t>3.3.2 - ASSET VALUE ROLL FORWARD</t>
  </si>
  <si>
    <t>For overhead assets:</t>
  </si>
  <si>
    <t>For “other” assets with short lives:</t>
  </si>
  <si>
    <t>For “other” assets with long lives:</t>
  </si>
  <si>
    <t>For easements:</t>
  </si>
  <si>
    <t>For switchyards, substations</t>
  </si>
  <si>
    <t>For underground assets:</t>
  </si>
  <si>
    <t>3.3.3 - TOTAL DISAGGREGATED RAB ASSET VALUES</t>
  </si>
  <si>
    <t>3.3.4 - ASSET LIVES</t>
  </si>
  <si>
    <t>ESTIMATED SERVICE LIFE OF NEW ASSETS</t>
  </si>
  <si>
    <t>Overhead transmission assets (wires and towers/poles etc)</t>
  </si>
  <si>
    <t>Underground transmission assets (cables, ducts etc)</t>
  </si>
  <si>
    <t>Substations, switchyards, transformers etc with transmission function</t>
  </si>
  <si>
    <t>Other assets with long lives</t>
  </si>
  <si>
    <t>Other assets with short lives</t>
  </si>
  <si>
    <t>ESTIMATED RESIDUAL SERVICE LIFE</t>
  </si>
  <si>
    <t>Asset Life
(Years)</t>
  </si>
  <si>
    <t>Actuals
($0's. Nominal)</t>
  </si>
  <si>
    <t>AS COMMISSIONED</t>
  </si>
  <si>
    <t>7.6.1 - INDICATIVE IMPACT OF THE REGULATORY PROPOSAL ON THE AVERAGE ELECTRICITY BILLS</t>
  </si>
  <si>
    <t>7.6.1.1 - PARAMETERS BY TARIFF TYPE</t>
  </si>
  <si>
    <t>Single Rate Tariff</t>
  </si>
  <si>
    <t>A. ANNUAL USAGE PER CUSTOMER</t>
  </si>
  <si>
    <t>kWh</t>
  </si>
  <si>
    <t>Residential customer</t>
  </si>
  <si>
    <t>Small business customer</t>
  </si>
  <si>
    <t>Source:</t>
  </si>
  <si>
    <t>B. TYPICAL ANNUAL ELECTRICITY BILL</t>
  </si>
  <si>
    <t>Tariff description</t>
  </si>
  <si>
    <t>C. TRANSMISSION COSTS AS A PROPORTION OF A TYPICAL CUSTOMER'S ELECTRICITY BILL</t>
  </si>
  <si>
    <t>Proportion (%)</t>
  </si>
  <si>
    <t>D. TRANSMISSION BILL COMPONENT</t>
  </si>
  <si>
    <t>7.6.1.2 - INDICATIVE ANNUAL AVERAGE TRANSMISSION PRICE IMPACT</t>
  </si>
  <si>
    <t>Average</t>
  </si>
  <si>
    <t>Forecast smoothed revenues ($ nominal)</t>
  </si>
  <si>
    <t>$ nominal</t>
  </si>
  <si>
    <t>Forecast smoothed revenues ($ real)</t>
  </si>
  <si>
    <t>Energy delivered forecast (MWh)</t>
  </si>
  <si>
    <t>Annual price path ($ nominal)</t>
  </si>
  <si>
    <t>$/MWh, nominal</t>
  </si>
  <si>
    <t>Annual price path ($ real)</t>
  </si>
  <si>
    <t>Annual price path (per cent, nominal)</t>
  </si>
  <si>
    <t>per cent, nominal</t>
  </si>
  <si>
    <t>Annual price path (per cent, real)</t>
  </si>
  <si>
    <t>7.6.1.3 - TRANSMISSION BILL COMPONENT</t>
  </si>
  <si>
    <t>Annual average</t>
  </si>
  <si>
    <t>Annual impact on customer bill (%)</t>
  </si>
  <si>
    <t>Regulated tariff</t>
  </si>
  <si>
    <t>Annual change</t>
  </si>
  <si>
    <t>Small Business customer</t>
  </si>
  <si>
    <t>$ real, June 2023</t>
  </si>
  <si>
    <t>$ real , June 2023</t>
  </si>
  <si>
    <t>$/MWh, June 2023</t>
  </si>
  <si>
    <t>per cent , June 2023</t>
  </si>
  <si>
    <t>The purpose of this model is to centralise inputs and perform calculations required to populate the Reset RIN as part of the TransGrid - Determination 2023-28.</t>
  </si>
  <si>
    <t>Workbook 1: Forecast RIN</t>
  </si>
  <si>
    <t>Workbook 7: Bill Impacts</t>
  </si>
  <si>
    <t>Workbook 8: Historical Capex</t>
  </si>
  <si>
    <t>Model Appendix</t>
  </si>
  <si>
    <t>2.1.1 - Prescribed Transmission Services Capex (As Incurred)</t>
  </si>
  <si>
    <t>2.1.8 - Prescribed Transmission Services Capitalised Overheads</t>
  </si>
  <si>
    <t>2.6.1 - Non-Network Expenditure</t>
  </si>
  <si>
    <t>2.10 Overheads</t>
  </si>
  <si>
    <t>2.14.2 - Forecast Capex And Opex Price Changes</t>
  </si>
  <si>
    <t>2.16.1 - Prescribed Transmission Services - Opex By Driver</t>
  </si>
  <si>
    <t xml:space="preserve">2.17.1 - Step Changes For Prescribed Transmission Services - Forecast Opex </t>
  </si>
  <si>
    <t>2.17.2 - Step Changes For Prescribed Transmission Services - Forecast Capex</t>
  </si>
  <si>
    <t>2.17.5 - Category Specific Opex For Prescribed Transmission Services</t>
  </si>
  <si>
    <t>3.1.1 - Revenue Grouping By Chargeable Quantity</t>
  </si>
  <si>
    <t>8.2.7 - Immediate Expensing Of Capex</t>
  </si>
  <si>
    <t>7.6 Indicative Impact On Transmission Charges &amp; Electricity Bills</t>
  </si>
  <si>
    <t>Allocation</t>
  </si>
  <si>
    <t>Source / Unit / Basis / Timing</t>
  </si>
  <si>
    <t>Input_CPI / Factor / NA / NA</t>
  </si>
  <si>
    <t>Calculated / Factor / NA / NA</t>
  </si>
  <si>
    <t>Actuals
($0's, Nominal)</t>
  </si>
  <si>
    <t>Input - Historical RIN Responses</t>
  </si>
  <si>
    <t>2019-20</t>
  </si>
  <si>
    <t>2018-19</t>
  </si>
  <si>
    <t>2020-21</t>
  </si>
  <si>
    <t>Input - Forecast from Opex Model</t>
  </si>
  <si>
    <t>Reconciliation Check - Capex</t>
  </si>
  <si>
    <t>Calculated / Dollars / Real 2023 / End Period</t>
  </si>
  <si>
    <t>Total opex forecast</t>
  </si>
  <si>
    <t>RIN Table 2.1.1</t>
  </si>
  <si>
    <t>2.5.1 - Expenditure on Connection Projects</t>
  </si>
  <si>
    <t>Input - Finance - Accounting</t>
  </si>
  <si>
    <t>2.1.1 - PRESCRIBED TRANSMISSION SERVICES CAPEX (as incurred)</t>
  </si>
  <si>
    <t>2.1.8 - PRESCRIBED TRANSMISSION SERVICES CAPITALISED OVERHEADS</t>
  </si>
  <si>
    <t>Forecast ($0's, real June 2021)</t>
  </si>
  <si>
    <t>3.2.1 - OPEX CATEGORIES</t>
  </si>
  <si>
    <t>EXPENDITURE</t>
  </si>
  <si>
    <t>OPEX CATEGORIES AND COST ALLOCATIONS - approved CAM</t>
  </si>
  <si>
    <t xml:space="preserve">Total </t>
  </si>
  <si>
    <t>Instructions
Table 3.2.3 must be completed if there are any proposed changes to the CAM reported in response to Schedule 1, paragraph 1.3.</t>
  </si>
  <si>
    <t>3.2.3 - OPEX CATEGORIES - Revised CAM</t>
  </si>
  <si>
    <t>OPEX CATEGORIES AND COST ALLOCATIONS - revised CAM</t>
  </si>
  <si>
    <t xml:space="preserve">7.4.1 - TOTAL UNREGULATED REVENUE EARNED WITH SHARED ASSETS </t>
  </si>
  <si>
    <t>Name of shared asset unregulated service</t>
  </si>
  <si>
    <t>Description of shared assets used to provide the service</t>
  </si>
  <si>
    <t>Shared asset unregulated revenue  ($0's, nominal)</t>
  </si>
  <si>
    <t>2013-13</t>
  </si>
  <si>
    <t>2014-15</t>
  </si>
  <si>
    <t>2015-16</t>
  </si>
  <si>
    <t>2016-17</t>
  </si>
  <si>
    <t>2017-18</t>
  </si>
  <si>
    <t>Total 
2023-24 to 2027-28</t>
  </si>
  <si>
    <t>Input - Asset Management</t>
  </si>
  <si>
    <t>2.3.2 - AUGEX ASSET DATA - LINES</t>
  </si>
  <si>
    <t>Input - Network Planning</t>
  </si>
  <si>
    <t>SUBSTATION AND PROJECT SUMMARY</t>
  </si>
  <si>
    <t>PLANT AND EQUIPMENT EXPENDITURE AND VOLUME</t>
  </si>
  <si>
    <t>OTHER EXPENDITURE</t>
  </si>
  <si>
    <t>TOTAL DIRECT EXPENDITURE ($0's, direct un-escalated Real 2021)</t>
  </si>
  <si>
    <t>YEARS INCURRED</t>
  </si>
  <si>
    <t>RELATED PARTY CONTRACTS</t>
  </si>
  <si>
    <t>ALL NON RELATED PARTYCONTRACTS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</si>
  <si>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</si>
  <si>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</si>
  <si>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</si>
  <si>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</si>
  <si>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</si>
  <si>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</si>
  <si>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</si>
  <si>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</si>
  <si>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</si>
  <si>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</si>
  <si>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</si>
  <si>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</si>
  <si>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</si>
  <si>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</si>
  <si>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</si>
  <si>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</si>
  <si>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</si>
  <si>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</si>
  <si>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LAND PURCHASES</t>
  </si>
  <si>
    <t>EASEMENTS</t>
  </si>
  <si>
    <t>Comments</t>
  </si>
  <si>
    <t>PRE</t>
  </si>
  <si>
    <t>POST</t>
  </si>
  <si>
    <t>Units Added</t>
  </si>
  <si>
    <t>MVA Added</t>
  </si>
  <si>
    <t>OLTC INCLUDED?</t>
  </si>
  <si>
    <t>Expenditure ($0's, direct un-escalated Real 2021)</t>
  </si>
  <si>
    <t>Insulation</t>
  </si>
  <si>
    <t>Plant Type</t>
  </si>
  <si>
    <t>Expenditure
($0's)</t>
  </si>
  <si>
    <t>Volume</t>
  </si>
  <si>
    <t>Project Totals</t>
  </si>
  <si>
    <t>NOTE: TNSP MUST PROVIDE EXPENDITURE INFORMATION ON A PROJECT CLOSE BASIS.</t>
  </si>
  <si>
    <t>ET_AUG232_00001</t>
  </si>
  <si>
    <t>ET_AUG232_00002</t>
  </si>
  <si>
    <t>ET_AUG232_00003</t>
  </si>
  <si>
    <t>ET_AUG232_00004</t>
  </si>
  <si>
    <t>ET_AUG232_00005</t>
  </si>
  <si>
    <t>ET_AUG232_00006</t>
  </si>
  <si>
    <t>ET_AUG232_00007</t>
  </si>
  <si>
    <t>ET_AUG232_00008</t>
  </si>
  <si>
    <t>ET_AUG232_00009</t>
  </si>
  <si>
    <t>ET_AUG232_00010</t>
  </si>
  <si>
    <t>ET_AUG232_00011</t>
  </si>
  <si>
    <t>ET_AUG232_00012</t>
  </si>
  <si>
    <t>ET_AUG232_00013</t>
  </si>
  <si>
    <t>ET_AUG232_00014</t>
  </si>
  <si>
    <t>ET_AUG232_00015</t>
  </si>
  <si>
    <t>ET_AUG232_00016</t>
  </si>
  <si>
    <t>ET_AUG232_00017</t>
  </si>
  <si>
    <t>ET_AUG232_00018</t>
  </si>
  <si>
    <t>ET_AUG232_00019</t>
  </si>
  <si>
    <t>ET_AUG232_00020</t>
  </si>
  <si>
    <t>ET_AUG232_00021</t>
  </si>
  <si>
    <t>LINE AND PROJECT SUMMARY</t>
  </si>
  <si>
    <t>ALL RELATED PARTY CONTRACTS</t>
  </si>
  <si>
    <t>LINE ID</t>
  </si>
  <si>
    <t>ROUTE LINE LENGTH ADDED</t>
  </si>
  <si>
    <t>TOWERS/POLES (INCLUDING STRUCTURES, AND CIVIL WORKS)</t>
  </si>
  <si>
    <t>LINES AND CABLES</t>
  </si>
  <si>
    <t>OTHER PLANT ITEM - Expenditure ($0's, direct un-escalated Real 2021)</t>
  </si>
  <si>
    <t>Type</t>
  </si>
  <si>
    <t>Rating (MVA)</t>
  </si>
  <si>
    <t>N-1 Emergency Rating (MVA)</t>
  </si>
  <si>
    <t>Circuit KM Added</t>
  </si>
  <si>
    <t>KM ADDED</t>
  </si>
  <si>
    <t>Configuration</t>
  </si>
  <si>
    <t>Towers/Poles Added</t>
  </si>
  <si>
    <t>Towers/Poles Upgraded</t>
  </si>
  <si>
    <t>2.3.4 - AUGEX - TOTAL EXPENDITURE</t>
  </si>
  <si>
    <t>As incurred</t>
  </si>
  <si>
    <t>2.5.1 - EXPENDITURE ON CONNECTION PROJECTS</t>
  </si>
  <si>
    <t>7.9.2 - Proposed priority projects for the network capability incentive parameter</t>
  </si>
  <si>
    <t>Project ranking</t>
  </si>
  <si>
    <t>Transmission Circuit /  Injection Point</t>
  </si>
  <si>
    <t>Scope of works</t>
  </si>
  <si>
    <t>If applicable, the present value of quantified benefits associated with the project
 ($0's, real June 2021)</t>
  </si>
  <si>
    <t>Project cost ($0's, real June 2021)</t>
  </si>
  <si>
    <t>2.6.1 - NON-NETWORK EXPENDITURE</t>
  </si>
  <si>
    <t>SERVICE SUBCATEGORY</t>
  </si>
  <si>
    <t>IT &amp; COMMUNICATIONS</t>
  </si>
  <si>
    <t xml:space="preserve">Elevated work platform (LCV)  </t>
  </si>
  <si>
    <t>OTHER - TNSP nominated</t>
  </si>
  <si>
    <t>2.6.4 -  INFORMATION &amp; COMMUNICATIONS TECHNOLOGY - CAPEX BY PURPOSE</t>
  </si>
  <si>
    <t>EXPENDITURE
Forecast 
($0's. real June 2023)</t>
  </si>
  <si>
    <t>RECURRENT</t>
  </si>
  <si>
    <t>NON-RECURRENT</t>
  </si>
  <si>
    <t>Maintaining existing services, functionalities, capability and/or market benefits</t>
  </si>
  <si>
    <t>Complying with new / altered regulatory obligations / requirements</t>
  </si>
  <si>
    <t>New or expanded ICT capability, functions and services</t>
  </si>
  <si>
    <t>Input - Regulation</t>
  </si>
  <si>
    <t>2.17.2 - STEP CHANGES FOR PRESCRIBED TRANSMISSION SERVICES - FORECAST CAPEX</t>
  </si>
  <si>
    <t>Step change</t>
  </si>
  <si>
    <t>Description</t>
  </si>
  <si>
    <t>Input - Tax</t>
  </si>
  <si>
    <t>8.2.7 - IMMEDIATE EXPENSING OF CAPEX</t>
  </si>
  <si>
    <t>($0's, real June 2021)</t>
  </si>
  <si>
    <t>Asset class</t>
  </si>
  <si>
    <t>Input - Capex Model</t>
  </si>
  <si>
    <t>Augex - Escalation Factor</t>
  </si>
  <si>
    <t>7.4 Shared Assets</t>
  </si>
  <si>
    <t>3.2 Operating Expenditure</t>
  </si>
  <si>
    <t>2.6.4 -  Information &amp; Communications Technology - Capex By Purpose</t>
  </si>
  <si>
    <t>Forecast ($0's, real June 2023)</t>
  </si>
  <si>
    <t>Check - Table 3.2.1</t>
  </si>
  <si>
    <t>Check - Table 3.2.3</t>
  </si>
  <si>
    <t>Target Value</t>
  </si>
  <si>
    <t>Shared asset unregulated revenue  ($0's, real June 2023)</t>
  </si>
  <si>
    <t>Project cost ($0's, real June 2023)</t>
  </si>
  <si>
    <t>Factor - Real 21 Direct Unescalated to Real 23 Escalated</t>
  </si>
  <si>
    <t>Capex Model / Millions / Real 2023 / End Period</t>
  </si>
  <si>
    <t>Expenditure ($0's, direct escalated Real 2023)</t>
  </si>
  <si>
    <t>Total Direct Expenditure ($0's, direct escalated Real 2023)</t>
  </si>
  <si>
    <t>Total - Direct Escalated Real 2023 Dollars</t>
  </si>
  <si>
    <t>Total - Source</t>
  </si>
  <si>
    <t>Check</t>
  </si>
  <si>
    <t>Total Direct Expenditure ($0's, direct un-escalated Real 2021)</t>
  </si>
  <si>
    <t>OTHER PLANT ITEM - Expenditure ($0's, direct escalated Real 2023)</t>
  </si>
  <si>
    <t>Total Non Network Opex</t>
  </si>
  <si>
    <t>Miscellaneous mobile plant items (e.g Mowers, Excavators and Forklifts)</t>
  </si>
  <si>
    <t>Forecast 
($0's. $Nominal)</t>
  </si>
  <si>
    <t>Forecast 
($0's, $Nominal)</t>
  </si>
  <si>
    <t>EXPENDITURE
Forecast 
($0's, $Nominal)</t>
  </si>
  <si>
    <t>Forecast ($0's, $Nominal)</t>
  </si>
  <si>
    <t>Shared asset unregulated revenue  ($0's, $Nominal)</t>
  </si>
  <si>
    <t>7.4.2 - SHARED ASSET UNREGULATED SERVICES - APPORTIONMENT METHODOLOGY</t>
  </si>
  <si>
    <t>Name of shared asset unregulated service for which revenues were apportioned</t>
  </si>
  <si>
    <t>Apportionment methodology</t>
  </si>
  <si>
    <t>Minor Plant, Motor Vehicles &amp; Mobile Plant (2018 onwards)</t>
  </si>
  <si>
    <t>Transmission Lines (2018 onwards)</t>
  </si>
  <si>
    <t>Input - Non Network - ICT - Fleet - Property</t>
  </si>
  <si>
    <t>Input - Source Models</t>
  </si>
  <si>
    <t>Estimate
($0's. $Nominal)</t>
  </si>
  <si>
    <t>Forecast - Direct unescalated
($0's. real June 2021)</t>
  </si>
  <si>
    <t>Template Value</t>
  </si>
  <si>
    <t>Replacement Expenditure</t>
  </si>
  <si>
    <t>Capex Model Source Value</t>
  </si>
  <si>
    <t>Total - Direct materials expenditure</t>
  </si>
  <si>
    <t>Total - Direct labour expenditure</t>
  </si>
  <si>
    <t>Total - Direct connections expenditure</t>
  </si>
  <si>
    <t>Total - Recurrent expenditure</t>
  </si>
  <si>
    <t>Total - Non recurrent expenditure</t>
  </si>
  <si>
    <t>Total - Direct ICT expenditure</t>
  </si>
  <si>
    <t xml:space="preserve"> </t>
  </si>
  <si>
    <t>Input - Previous EB RINs</t>
  </si>
  <si>
    <t>Calculation Value</t>
  </si>
  <si>
    <t>3.2.1 - Opex categories</t>
  </si>
  <si>
    <t>3.3 Assets</t>
  </si>
  <si>
    <t>Primary Source</t>
  </si>
  <si>
    <t>2.2.1 - Replacement Expenditure, Volumes And Asset Failures By Asset Category (As commissioned)</t>
  </si>
  <si>
    <t>2.2.1 (a) - Replacement Expenditure, Volumes And Asset Failures By Asset Category (as incurred)</t>
  </si>
  <si>
    <t>Total Capex Source Value</t>
  </si>
  <si>
    <t>Total Capex Check</t>
  </si>
  <si>
    <t>Alignment - 2.6.1</t>
  </si>
  <si>
    <t>Check - Alignment and Source</t>
  </si>
  <si>
    <t>7.2.1 - PROPOSED CONTINGENT PROJECTS FOR THE FORTHCOMING REGULATORY CONTROL PERIOD</t>
  </si>
  <si>
    <t>7.2.1 - Proposed Contingent Projects For The Forthcoming Regulatory Control Period</t>
  </si>
  <si>
    <t>Proposed contingent project name</t>
  </si>
  <si>
    <t>Proposed contingent capital expenditure 
($0's, nominal)</t>
  </si>
  <si>
    <t>Proposed trigger events</t>
  </si>
  <si>
    <t>Project ID</t>
  </si>
  <si>
    <t>FY24 to FY28 Total (Real$2023)</t>
  </si>
  <si>
    <t>FY24 (Real$2023)</t>
  </si>
  <si>
    <t>FY25 (Real$2023)</t>
  </si>
  <si>
    <t>FY26 (Real$2023)</t>
  </si>
  <si>
    <t>FY27 (Real$2023)</t>
  </si>
  <si>
    <t>FY28 (Real$2023)</t>
  </si>
  <si>
    <t>FY24 ($Nominal)</t>
  </si>
  <si>
    <t>FY25 ($Nominal)</t>
  </si>
  <si>
    <t>FY26 ($Nominal)</t>
  </si>
  <si>
    <t>FY27 ($Nominal)</t>
  </si>
  <si>
    <t>FY28 ($Nominal)</t>
  </si>
  <si>
    <t>FY24 to FY28 Total ($Nominal)</t>
  </si>
  <si>
    <t>Check - Source</t>
  </si>
  <si>
    <t>Value - Source</t>
  </si>
  <si>
    <t>EXPENDITURE
Forecast ($0's, Nominal)</t>
  </si>
  <si>
    <t>EXPENDITURE
Forecast 
($0's, $Real 2021)</t>
  </si>
  <si>
    <t>Template Total</t>
  </si>
  <si>
    <t>2.1.1 Reconciliation</t>
  </si>
  <si>
    <t>Non-network - ICT</t>
  </si>
  <si>
    <t>Direct Unescalated Augex - As Commissioned</t>
  </si>
  <si>
    <t>Augex Escalation - As Commissioned</t>
  </si>
  <si>
    <t>Template Total Check</t>
  </si>
  <si>
    <t>Total (Direct Escalated, Real 2023 Dollars)</t>
  </si>
  <si>
    <t>2.3 Augex Projects (Project close or As Commissioned)</t>
  </si>
  <si>
    <t>Target</t>
  </si>
  <si>
    <t>Increase capacity for Generation between DNT and WG1</t>
  </si>
  <si>
    <t>Darlington Point 330/220 kV Transformer Tripping Scheme</t>
  </si>
  <si>
    <t>Increase capacity for generation X5 Voltage Stability constraints</t>
  </si>
  <si>
    <t>94T Dynamic Ratings</t>
  </si>
  <si>
    <t>Increase capacity in Yass Transformers</t>
  </si>
  <si>
    <t>Maintain capacity during Climate Change (DLR )</t>
  </si>
  <si>
    <t>Input - Opex Model</t>
  </si>
  <si>
    <t>Output measure</t>
  </si>
  <si>
    <t>Forecast (0's)</t>
  </si>
  <si>
    <t>Input - Network Planning and Asset Management</t>
  </si>
  <si>
    <t>TOPED01</t>
  </si>
  <si>
    <t>TPA01+TPA02</t>
  </si>
  <si>
    <t>Applying TOPSD0206 instead of TOPSD0204</t>
  </si>
  <si>
    <t>Actual / Forecast Inflation (%): End of Period, June to Jun, Unlagged</t>
  </si>
  <si>
    <t>2.3.4 - Augex - Total Expenditure (as incurred)</t>
  </si>
  <si>
    <t>Project Name</t>
  </si>
  <si>
    <t>Forecast 
($0's. Nominal)</t>
  </si>
  <si>
    <t>Change in insurance market beyond our control</t>
  </si>
  <si>
    <t>New regulatory obligation</t>
  </si>
  <si>
    <t>Note: The opening balance plus inflation aligns to previous year close</t>
  </si>
  <si>
    <t>Checks - Output Measure Drivers</t>
  </si>
  <si>
    <t>Alignment to Opex Model</t>
  </si>
  <si>
    <t>Alignment to Templates - Asset Management</t>
  </si>
  <si>
    <t/>
  </si>
  <si>
    <t xml:space="preserve">3.5.1 - TRANSMISSION SYSTEM CAPACITIES </t>
  </si>
  <si>
    <t>Template</t>
  </si>
  <si>
    <t>Workbook 1</t>
  </si>
  <si>
    <t>2.2.1 - REPLACEMENT VOLUMES AND ASSET FAILURES BY ASSET CATEGORY</t>
  </si>
  <si>
    <t>3.7.1 - TERRAIN FACTORS</t>
  </si>
  <si>
    <t>7.9.1 - Historical performance and proposed floor, caps and targets for the service component of the STPIS</t>
  </si>
  <si>
    <t>7.9.4 - Market impact component</t>
  </si>
  <si>
    <t>Alignment to Templates - Network Planning</t>
  </si>
  <si>
    <t>3.4 OPERATIONAL DATA</t>
  </si>
  <si>
    <t>3.7.2 - NETWORK CHARACTERISTICS</t>
  </si>
  <si>
    <t>5.4.1 - NON-COINCIDENT &amp; COINCIDENT MAXIMUM DEMAND</t>
  </si>
  <si>
    <t>Alignment to Templates - Non Network</t>
  </si>
  <si>
    <t>Reconciliations</t>
  </si>
  <si>
    <t>Current Period</t>
  </si>
  <si>
    <t>Nominal Dollars</t>
  </si>
  <si>
    <t>Next Period</t>
  </si>
  <si>
    <t>Real $2021, No escalation</t>
  </si>
  <si>
    <t>Conversion Factor</t>
  </si>
  <si>
    <t>Total - Workbook 1 - Forecast RIN</t>
  </si>
  <si>
    <t>Input - Network Planning - FY22 to FY28, as commissioned, including QNI, VNI and PEC</t>
  </si>
  <si>
    <t>Regulation template</t>
  </si>
  <si>
    <t>Regulatory modelling</t>
  </si>
  <si>
    <t>Option 1</t>
  </si>
  <si>
    <t>Option 2</t>
  </si>
  <si>
    <t>Data source</t>
  </si>
  <si>
    <t>Half year adjustment from nominal (mid year) to real (end year)</t>
  </si>
  <si>
    <t>Residential bills</t>
  </si>
  <si>
    <t>Small business bills</t>
  </si>
  <si>
    <t>3.1.2 - Revenue Grouping By Type Of Connected Equipment</t>
  </si>
  <si>
    <t>From Other connected transmission networks</t>
  </si>
  <si>
    <t>From Distribution networks</t>
  </si>
  <si>
    <t>From Directly connected end–users</t>
  </si>
  <si>
    <t>From Generators</t>
  </si>
  <si>
    <t>Other revenue</t>
  </si>
  <si>
    <t>Estimates
($0s, Real 2021)</t>
  </si>
  <si>
    <t>3.1.3 - Revenue (Penalties) Allowed (Deducted) Through Incentive Schemes</t>
  </si>
  <si>
    <t>EBSS</t>
  </si>
  <si>
    <t>STPIS</t>
  </si>
  <si>
    <t>Other (including CESS)</t>
  </si>
  <si>
    <t>Forecast 
($0's. real June 2021)</t>
  </si>
  <si>
    <t>Trended Opex</t>
  </si>
  <si>
    <t>Input - Base Year</t>
  </si>
  <si>
    <t>01 Lines</t>
  </si>
  <si>
    <t>02 Substations</t>
  </si>
  <si>
    <t>04 Secondary Systems</t>
  </si>
  <si>
    <t>05 Land and Easements</t>
  </si>
  <si>
    <t>06 Maintenance Support and Asset Management</t>
  </si>
  <si>
    <t>07 Operations</t>
  </si>
  <si>
    <t>08 Grid Planning</t>
  </si>
  <si>
    <t>09 Insurance</t>
  </si>
  <si>
    <t>10 Rates, Taxes &amp; Charges</t>
  </si>
  <si>
    <t>11 Property Management</t>
  </si>
  <si>
    <t>12 Environmental</t>
  </si>
  <si>
    <t>13 Corporate Governance</t>
  </si>
  <si>
    <t>14 Customer Relations</t>
  </si>
  <si>
    <t>15 Regulatory</t>
  </si>
  <si>
    <t>16 Finance</t>
  </si>
  <si>
    <t>17 Information technology</t>
  </si>
  <si>
    <t>18 HR &amp; Payroll</t>
  </si>
  <si>
    <t>20 Network Support</t>
  </si>
  <si>
    <t>21 Bushfire Remediation</t>
  </si>
  <si>
    <t>2021-22 opex</t>
  </si>
  <si>
    <t>Remove non-recurrent expenditure</t>
  </si>
  <si>
    <t>Remove provisions</t>
  </si>
  <si>
    <t>Source Value - Opex Model</t>
  </si>
  <si>
    <t>Add change from base year to final year</t>
  </si>
  <si>
    <t>Adjusted base year</t>
  </si>
  <si>
    <t>Adjusted final year opex</t>
  </si>
  <si>
    <t>◄ Proportion used to allocate forecast trended opex over the 2023-28 period</t>
  </si>
  <si>
    <t>Input - Step Changes</t>
  </si>
  <si>
    <t>BASE YEAR EXPENDITURE</t>
  </si>
  <si>
    <t>1. Increase in insurance premiums</t>
  </si>
  <si>
    <t>2. Cyber and critical infrastructure security</t>
  </si>
  <si>
    <t>• ICT Cyber Security</t>
  </si>
  <si>
    <t>• OT security</t>
  </si>
  <si>
    <t>• Physical infrastructure security</t>
  </si>
  <si>
    <t>3. ISP Preparatory Activity</t>
  </si>
  <si>
    <t>Check - Base Opex</t>
  </si>
  <si>
    <t>Check - Step Changes</t>
  </si>
  <si>
    <t>◄ Although some step changes may affect more than one category, as a simplification, each step change was allocated to the most appropriate opex category</t>
  </si>
  <si>
    <t>Opex Category</t>
  </si>
  <si>
    <t>◄ Set to match the Information Technology category from Table 3.2.1</t>
  </si>
  <si>
    <t>RIN Table 2.6.1</t>
  </si>
  <si>
    <t>Information technology</t>
  </si>
  <si>
    <t>Table 3.2.1 / Dollars / Real 2023 / End Period</t>
  </si>
  <si>
    <t>Total opex</t>
  </si>
  <si>
    <t>Less information technology</t>
  </si>
  <si>
    <t>Less bushfire remediation</t>
  </si>
  <si>
    <t>Less network support</t>
  </si>
  <si>
    <t>Adjusted opex</t>
  </si>
  <si>
    <t>Bushfire remediation</t>
  </si>
  <si>
    <t>Network support</t>
  </si>
  <si>
    <t>◄ Opex adjusted to remove information technology, bushfire remediation and network support</t>
  </si>
  <si>
    <t>Share of total opex excl. ICT, bushfire, and network support</t>
  </si>
  <si>
    <t>◄ Values set to zero</t>
  </si>
  <si>
    <t>◄ Value used for trending in the Opex Model</t>
  </si>
  <si>
    <t>Vegetation management</t>
  </si>
  <si>
    <t>Maintenance</t>
  </si>
  <si>
    <t>Network overheads</t>
  </si>
  <si>
    <t>Corporate overheads</t>
  </si>
  <si>
    <t>Total Opex</t>
  </si>
  <si>
    <t>Opex Model / Dollars / Real 2023 / End Period</t>
  </si>
  <si>
    <r>
      <t xml:space="preserve">Sources for 2021-22 bills are: AER 2021-22 Default Market Offer Prices Final Determination,  ICRC Retail electricity price recalibration 2021-22, and AER 2021 State of the Energy Market. Bills for 2021-22 were adjusted to 2022-23 </t>
    </r>
    <r>
      <rPr>
        <sz val="10"/>
        <color theme="1"/>
        <rFont val="Calibri"/>
        <family val="2"/>
      </rPr>
      <t>based on the projected change in transmission costs.</t>
    </r>
  </si>
  <si>
    <t>2.3.2 - Augex Asset Data - Lines (Project close or As Commissioned)</t>
  </si>
  <si>
    <t>c-i-c</t>
  </si>
  <si>
    <t>100% revenue from the use of the prescribed assets. Revenue from unregulated assets have been excluded</t>
  </si>
  <si>
    <t>100% revenue from the use of the prescribed assets. Revenue from unregulated sites have been excluded. Growth rate assumed to pipeline projects</t>
  </si>
  <si>
    <t>100% rental revenue from the prescribed properties, no apportionment applied.</t>
  </si>
  <si>
    <t>100% revenue from the use of the prescribed assets, no apportionment applied.</t>
  </si>
  <si>
    <t>TransGrid provides access to radio communications sites to customers.</t>
  </si>
  <si>
    <t>TransGrid provides both dark fibre and bandwidth backhaul service.</t>
  </si>
  <si>
    <t>Office accommodation, land used for operational purposes, surplus land for agriculture and grazing purposes.</t>
  </si>
  <si>
    <t xml:space="preserve">Prescribed assets such as fleet and tools have been used to provide operation and maintenance services </t>
  </si>
  <si>
    <t>1-IT</t>
  </si>
  <si>
    <t>2-Fleet</t>
  </si>
  <si>
    <t>3-Property</t>
  </si>
  <si>
    <t>4-Others (e.g. Plant, Equipment)</t>
  </si>
  <si>
    <t>n/a</t>
  </si>
  <si>
    <t>Strategic property acquisition for Western Sydney Priority Growth Area</t>
  </si>
  <si>
    <t>2020 to 2028</t>
  </si>
  <si>
    <t>Kemps Creek</t>
  </si>
  <si>
    <t>Transmission substation</t>
  </si>
  <si>
    <t>New substation establishment</t>
  </si>
  <si>
    <t>Demand growth</t>
  </si>
  <si>
    <t>330/132</t>
  </si>
  <si>
    <t xml:space="preserve">Macarthur </t>
  </si>
  <si>
    <t>Capacity upgrade</t>
  </si>
  <si>
    <t>Wagga</t>
  </si>
  <si>
    <t>N2208</t>
  </si>
  <si>
    <t>Net market benefit</t>
  </si>
  <si>
    <t>132/66</t>
  </si>
  <si>
    <t>Sydney West</t>
  </si>
  <si>
    <t>N2371</t>
  </si>
  <si>
    <t>Voltage upgrade</t>
  </si>
  <si>
    <t>Voltage issues</t>
  </si>
  <si>
    <t>Kangaroo Valley</t>
  </si>
  <si>
    <t>Switching station</t>
  </si>
  <si>
    <t>Darlington Point</t>
  </si>
  <si>
    <t>Balranald</t>
  </si>
  <si>
    <t>220/22</t>
  </si>
  <si>
    <t>Other</t>
  </si>
  <si>
    <t>Beaconsfield</t>
  </si>
  <si>
    <t>N2584</t>
  </si>
  <si>
    <t>Broken Hill</t>
  </si>
  <si>
    <t>Vineyard</t>
  </si>
  <si>
    <t>N2360</t>
  </si>
  <si>
    <t>Inverell</t>
  </si>
  <si>
    <t>N2649</t>
  </si>
  <si>
    <t>Beryl</t>
  </si>
  <si>
    <t>Williamsdale</t>
  </si>
  <si>
    <t>N2645</t>
  </si>
  <si>
    <t>Macarthur</t>
  </si>
  <si>
    <t>New location adjacent to Kemps Creek Substation</t>
  </si>
  <si>
    <t>North West NSW Protection System (multiple substations)</t>
  </si>
  <si>
    <t>Sydney North West area Protection System (multiple substations)</t>
  </si>
  <si>
    <t>Bayswater</t>
  </si>
  <si>
    <t>500/330</t>
  </si>
  <si>
    <t>Regentville</t>
  </si>
  <si>
    <t>Transmission Substation</t>
  </si>
  <si>
    <t>DCN43</t>
  </si>
  <si>
    <t>Rookwood Rd</t>
  </si>
  <si>
    <t>Sydney South</t>
  </si>
  <si>
    <t>Buronga Substation</t>
  </si>
  <si>
    <t>330/220</t>
  </si>
  <si>
    <t>Dinawan (330kV) Substation</t>
  </si>
  <si>
    <t>Wagga Wagga (330kV) Substation</t>
  </si>
  <si>
    <t>Stockdill Substation and Protection System (VNI)</t>
  </si>
  <si>
    <t>Yass Substation and Protection System (VNI)</t>
  </si>
  <si>
    <t>Upper Tumut Substation Protection System  (VNI)</t>
  </si>
  <si>
    <t>Lower Tumut Substation Protection System  (VNI)</t>
  </si>
  <si>
    <t>Gullen Range Substation Protection System  (VNI)</t>
  </si>
  <si>
    <t>Collector Substation Protection System  (Part of VNI)</t>
  </si>
  <si>
    <t>Marulan Substation Protection System  (VNI)</t>
  </si>
  <si>
    <t>Canberra Substation Protection System  (VNI)</t>
  </si>
  <si>
    <t>Williamsdale Substation Protection System (VNI)</t>
  </si>
  <si>
    <t>Armidale</t>
  </si>
  <si>
    <t>Tamworth</t>
  </si>
  <si>
    <t>Dumaresq</t>
  </si>
  <si>
    <t>Muswellbrook</t>
  </si>
  <si>
    <t>Liddell</t>
  </si>
  <si>
    <t>Non material projects</t>
  </si>
  <si>
    <t>Shunt Reactor</t>
  </si>
  <si>
    <t>Shunt Reactors</t>
  </si>
  <si>
    <t>Capacitor Banks</t>
  </si>
  <si>
    <t>Reactor</t>
  </si>
  <si>
    <t>Syncon</t>
  </si>
  <si>
    <t>Static Var Compensator (SVC)</t>
  </si>
  <si>
    <t>Syncon's</t>
  </si>
  <si>
    <t>Series Compensator</t>
  </si>
  <si>
    <t>Cap banks</t>
  </si>
  <si>
    <t>Cap Banks</t>
  </si>
  <si>
    <t>SVC</t>
  </si>
  <si>
    <t>SF6</t>
  </si>
  <si>
    <t>Oil/Air</t>
  </si>
  <si>
    <t xml:space="preserve">SF6 </t>
  </si>
  <si>
    <t>94T Molong to Orange North</t>
  </si>
  <si>
    <t>Line upgrade - capacity</t>
  </si>
  <si>
    <t>Single Circuit</t>
  </si>
  <si>
    <t>9R5 Wagga 330 to Wagga North</t>
  </si>
  <si>
    <t>N2205</t>
  </si>
  <si>
    <t>9R6 Wagga 132 to Wagga North</t>
  </si>
  <si>
    <t>Cable 46</t>
  </si>
  <si>
    <t>New line on new route - single circuit</t>
  </si>
  <si>
    <t>Cable 47</t>
  </si>
  <si>
    <t>L1 SA Border to Buronga</t>
  </si>
  <si>
    <t>New Interconnector</t>
  </si>
  <si>
    <t>Double Circuit</t>
  </si>
  <si>
    <t>L2 Buronga to Dinawan</t>
  </si>
  <si>
    <t>L3 Dinawan to Wagga Expansion</t>
  </si>
  <si>
    <t>L4 Buronga to Red Cliffs (OX1 line + 0X9 line)</t>
  </si>
  <si>
    <t>Line rebuild over existing route - dual circuit</t>
  </si>
  <si>
    <t>QNI Transmission Line upgrades between Tamworth and Liddell</t>
  </si>
  <si>
    <t>3 Years</t>
  </si>
  <si>
    <t>2020-2022</t>
  </si>
  <si>
    <t>Conduit install ready for a cable in the future</t>
  </si>
  <si>
    <t>26km of new circuit for 0X9</t>
  </si>
  <si>
    <t>Overhead line</t>
  </si>
  <si>
    <t>Cable</t>
  </si>
  <si>
    <t>Overhead Line</t>
  </si>
  <si>
    <t>Sydney West load increase - Need N2291</t>
  </si>
  <si>
    <t>Macarthur 66kV connection Mt Gilead sub - Need 1444</t>
  </si>
  <si>
    <t>Load Growth at West Syd Employment Area - Need N2203</t>
  </si>
  <si>
    <t>Sydney West Battery BESS Install</t>
  </si>
  <si>
    <t>New Macquarie STS connection - Need N2313</t>
  </si>
  <si>
    <t>Connection of Molonglo Zone Substation - Need 1695</t>
  </si>
  <si>
    <t>Vineyard 132kV connection - Box Hill Sub - Need 691</t>
  </si>
  <si>
    <t>Renewable Energy Zone in Central West NSW area</t>
  </si>
  <si>
    <t>(a) New generation of more than 900 MW is reasonably anticipated to connect in central western NSW (west of Wollar and Mount Piper)
(b) Successful completion of a RIT-T demonstrating that increasing capacity of the network in the Central West Orana region is the option or part of the option that maximises positive net economic benefits</t>
  </si>
  <si>
    <t>Improving stability of the South-Western NSW</t>
  </si>
  <si>
    <t>(a) One or more of the following: 
  (i) New generation of more than 400 MW is committed in South Western NSW (west of Wagga) 
  (ii) New generation is committed in North West Victoria: 
    (A) exceeding 800 MW for connection to the Ballarat - Waubra - Ararat - Horsham 220 kV Lines or connection point(s); and/or 
    (B) exceeding 200 MW for connection to the Redcliffs – Weman – Kerang 220 kV Lines or connection point(s); and/or 
     (C) exceeding 500 MW for connection to the Ballarat – Terang – Moorabool 220 kV Lines or connection point(s); and/or 
    (D) exceeding 1,500 MW in the North West Victoria zone 
(b) Successful completion of a RIT-T demonstrating that increasing capacity of the network in South Western NSW at 330/220/132 kV or other voltages is the option that maximises positive net economic benefits 
(c) Where the optimal solution involves works in NSW and Victoria, successful completion of joint planning obligations under the NER demonstrating that strengthening the high voltage interconnection between New South Wales and Victoria is the option that maximises the positive net economic benefit</t>
  </si>
  <si>
    <t>Renewable Energy Zone in New England area</t>
  </si>
  <si>
    <t>(a) New generation of more than 1,100 MW is reasonably anticipated in the New England area of northern NSW (near Armidale and Tamworth)
(b) Successful completion of a RIT-T demonstrating that increasing capacity of the network in Northern NSW is the option or part of the option that maximises positive net economic benefits</t>
  </si>
  <si>
    <t>Meeting NSW system inertia requirement</t>
  </si>
  <si>
    <t>Meeting NSW system strength requirement</t>
  </si>
  <si>
    <t>Improve capacity of Southern NSW lines for renewables</t>
  </si>
  <si>
    <t>(a) New generation of more than 1,000 MW is committed in Southern and/or South western NSW
(b) Successful completion of a RIT-T demonstrating that increasing capacity of the network in southern NSW is the option or part of the option that maximises positive net economic benefits</t>
  </si>
  <si>
    <t>Renewable Energy Zone in South Western NSW</t>
  </si>
  <si>
    <t>(a) New generation of more than 1,000 MW is reasonably anticipated in south western NSW
(b) Successful completion of a RIT-T demonstrating that increasing capacity of the network in South Western  NSW is the option or part of the option that maximises positive net economic benefits</t>
  </si>
  <si>
    <t>Renewable energy zone in Hunter region</t>
  </si>
  <si>
    <t>(a) New generation of more than 1,000 MW is reasonably anticipated in the Hunter region of NSW
(b) Successful completion of a RIT-T demonstrating that increasing capacity of the network in the Hunter region of NSW is the option or part of the option that maximises positive net economic benefits</t>
  </si>
  <si>
    <t>Renewable energy zone in Illawarra region</t>
  </si>
  <si>
    <t>(a) New generation of more than 1,000 MW is reasonably anticipated in the Hunter region of NSW
(b) Successful completion of a RIT-T demonstrating that increasing capacity of the network in the Illawarra region is the option or part of the option that maximises positive net economic benefits</t>
  </si>
  <si>
    <t>Supply to ACT -Network Capability</t>
  </si>
  <si>
    <t>(a) One or more of the following: 
  (i) Combined demand between Canberra to Williamsdale exceeds 890 MW
  (ii) The ACT Utilities (Technical Regulation) (Electricity Transmission Supply Code) makes a change to the agreed maximum demand under a special contingency event, and
(b) Successful completion of a RIT–T that demonstrates that transmission investment is the preferred option (or part of the preferred option)</t>
  </si>
  <si>
    <t>Supply to Bathurst Orange and Parkes Stage 1 and Stage 2</t>
  </si>
  <si>
    <t>(a) Successful completion of a RIT-T demonstrating that increasing capacity of the network in the Bathurst, Orange and Parkes areas is the option or part of the option that maximises positive net economic benefits.</t>
  </si>
  <si>
    <t>Line 86 refurbishment</t>
  </si>
  <si>
    <t>(a) Successful completion of a RIT–T that demonstrates that transmission investment is the preferred option (or part of the preferred option)</t>
  </si>
  <si>
    <t xml:space="preserve">Moree Special Activation Precinct </t>
  </si>
  <si>
    <t>(a) Moree total demand forecast exceeds 50 MW 
(b) Successful completion of a RIT–T that demonstrates that transmission investment is the preferred option (or part of the preferred option)</t>
  </si>
  <si>
    <t>Supply to North West Slopes Area</t>
  </si>
  <si>
    <t>Strategic Easement  acquisition for supply to Sydney from the south</t>
  </si>
  <si>
    <t>(a) Inclusion of Southern 500 kV Ring (supply to Sydney, Newcastle and Wollongong future ISP project, southern section) in optimal development path in 2022 (or subsequent) ISP, and
(b) Rezoning of land along the proposed easement between South Creek and Greendale from rural to residential, commercial or industrial .</t>
  </si>
  <si>
    <t>Manage fault levels in Southern NSW</t>
  </si>
  <si>
    <t>(a) Successful completion of a RIT–T that demonstrates that transmission investment in the HumeLink Project is the preferred option (or part of the preferred option)
(b) Contingent Project Application approval for the HumeLink Project</t>
  </si>
  <si>
    <t>Darlington Point 330/132 kV transformers</t>
  </si>
  <si>
    <t>Upgrade cooler banks of 330/132 kV transformers at Darlington Point Substation to increase their rating</t>
  </si>
  <si>
    <t>Yass 330/132 kV transformers</t>
  </si>
  <si>
    <t>Installation of online monitoring and dynamic rating system for the Yass 330/132 kV transformers</t>
  </si>
  <si>
    <t>94T Molong to Parkes 132 kV line</t>
  </si>
  <si>
    <t>Install Dynamic Line Rating system</t>
  </si>
  <si>
    <t>Balranald 220 kV</t>
  </si>
  <si>
    <t>Install a 20 MVAr capacitor bank at Balranald 220 kV Substation to increase the capacity for generation by 5-10 MW</t>
  </si>
  <si>
    <t>Multiple</t>
  </si>
  <si>
    <t>To combat climate change, installation of Dynamic Line Ratings on highly utilised lines</t>
  </si>
  <si>
    <t>Darlington Point 330/220 kV transformers</t>
  </si>
  <si>
    <t>Install transformer tripping scheme on the two 330/220 kV transformers at Darlington Point Substation</t>
  </si>
  <si>
    <t>Miscellaneous plant</t>
  </si>
  <si>
    <t>Miscellaneous mobile plant (e.g. Mowers, Excavators, Forklifts)</t>
  </si>
  <si>
    <t>Flat rate excluding controlled load</t>
  </si>
  <si>
    <t>Transmission Line Life Extension (2018 onwards)</t>
  </si>
  <si>
    <t>Transmission Lines (pre 2004-05)</t>
  </si>
  <si>
    <t>Underground Cables (pre 2004-05)</t>
  </si>
  <si>
    <t>Substations including Buildings (pre 2004-05)</t>
  </si>
  <si>
    <t>Transmission Lines (2004-09)</t>
  </si>
  <si>
    <t>Underground Cables (2004-09)</t>
  </si>
  <si>
    <t>Substations including Buildings (2004-09)</t>
  </si>
  <si>
    <t>SCADA and Communications (2004-09)</t>
  </si>
  <si>
    <t>Transmission Lines &amp; Cables (09-14)</t>
  </si>
  <si>
    <t>Substations (09-14)</t>
  </si>
  <si>
    <t>Secondary Systems (09-14)</t>
  </si>
  <si>
    <t>Communications (09-14)</t>
  </si>
  <si>
    <t>Minor Plant, Motor Vehicles &amp; Mobile Plant (2009-14)</t>
  </si>
  <si>
    <t>Transmission Lines (2014-18)</t>
  </si>
  <si>
    <t>Underground Cables (2014-18)</t>
  </si>
  <si>
    <t>Substations (2014-18)</t>
  </si>
  <si>
    <t>Secondary Systems (2014-18)</t>
  </si>
  <si>
    <t>Communications (short life) (2014-18)</t>
  </si>
  <si>
    <t>Business IT (2014-18)</t>
  </si>
  <si>
    <t>Minor Plant, Motor Vehicles &amp; Mobile Plant (2014-18)</t>
  </si>
  <si>
    <t>Transmission Line Life Extension (2014-18)</t>
  </si>
  <si>
    <t>Residual - other</t>
  </si>
  <si>
    <t>Underground Cables (2018 onwards)</t>
  </si>
  <si>
    <t>Substations (2018 onwards)</t>
  </si>
  <si>
    <t>Secondary Systems (2018 onwards)</t>
  </si>
  <si>
    <t>Communications (short life) (2018 onwards)</t>
  </si>
  <si>
    <t>Business IT (2018 onwards)</t>
  </si>
  <si>
    <t xml:space="preserve">Land and Easements </t>
  </si>
  <si>
    <t>Synchronous Condensers (2018-23)</t>
  </si>
  <si>
    <t>Buildings - capital works</t>
  </si>
  <si>
    <t>In-house software</t>
  </si>
  <si>
    <t>Equity raising costs</t>
  </si>
  <si>
    <t>Supply to Strathnairn area  (EVOEnergy)</t>
  </si>
  <si>
    <t>Condition of  AusGrid cables 9SA and 92P</t>
  </si>
  <si>
    <t>Energy throughput (GWh)</t>
  </si>
  <si>
    <t>Ratcheted Maximum Demand (MW)</t>
  </si>
  <si>
    <t>Customer numbers (#)</t>
  </si>
  <si>
    <t>Circuit Length (km)</t>
  </si>
  <si>
    <t>2. Cyber and critical infrastructure security - • ICT Cyber Security</t>
  </si>
  <si>
    <t>2. Cyber and critical infrastructure security - • OT security</t>
  </si>
  <si>
    <t>2. Cyber and critical infrastructure security - • Physical infrastructure security</t>
  </si>
  <si>
    <t>Network support costs</t>
  </si>
  <si>
    <t>Network capability projects</t>
  </si>
  <si>
    <t>Synchronous Condensers</t>
  </si>
  <si>
    <t>Leasehold Land and Property</t>
  </si>
  <si>
    <t>N2415</t>
  </si>
  <si>
    <t>N2414</t>
  </si>
  <si>
    <t>N2363</t>
  </si>
  <si>
    <t>N2596</t>
  </si>
  <si>
    <t>N2588</t>
  </si>
  <si>
    <t>N2657</t>
  </si>
  <si>
    <t>N2597</t>
  </si>
  <si>
    <t>N2416</t>
  </si>
  <si>
    <t>N2587</t>
  </si>
  <si>
    <t>N2384</t>
  </si>
  <si>
    <t>TBA</t>
  </si>
  <si>
    <t>N2534</t>
  </si>
  <si>
    <t>Proposed MAR for 2023-24 
($0's, nominal)</t>
  </si>
  <si>
    <t>5 per cent of the 2023-24 ($0's, nominal) MAR</t>
  </si>
  <si>
    <t>RIN Population Model - TransGrid (TGD)</t>
  </si>
  <si>
    <t>This model is confidential information of, and is owned by, TransGrid ABN/ACN 70 250 995 390 (TGD).  It may not be disclosed to, or used or relied on by, any person without the consent of TGD.
TGD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TGD will not be liable to any person for any loss or damage of any kind arising out of or in any way connected with the use of this model (including negligence).   The references to TGD in this disclaimer includes their respective directors, officers, employees, contractors, advisers or agents.</t>
  </si>
  <si>
    <t>ACIL Allen TransGrid TUOS as a proportion of residential and small business electricity bills, 14 September 2021</t>
  </si>
  <si>
    <t>AER 2021-22 Default Market Offer Prices Final Determination
 ICRC Retail electricity price recalibration 2021-22
AER 2021 State of the Energy Market</t>
  </si>
  <si>
    <t>ACIL Allen TransGrid TUOS as a proportion of residential and small business electricity bills, 14 September 2021. The shares for 2021-22 (of 8% and 7% respectively) where rolled forward to 2022-23 based on the projected change in transmission costs.</t>
  </si>
  <si>
    <t>Intercompany revenue from TransGrid Services for O&amp;M services by TOT, with apportionment applied based on support cost charged for Fleet and IT costs</t>
  </si>
  <si>
    <t xml:space="preserve">Recovery of costs for prescribed assets such as fleet and IT used to provide operations and maintenance services to TransGrid services (unregulated business) </t>
  </si>
  <si>
    <t>(a) Notice by AEMO of the existence of an inertia shortfall in the New South Wales region, in line with NER 5.20B, and 
(b) Successful completion by TransGrid of a RIT–T that demonstrates that transmission investment in the 2023-2028 period is the preferred option (or part of the preferred option) (unless exempt under NER 5.16.3(a)(10))</t>
  </si>
  <si>
    <t>(a) Notice by AEMO of the existence of a system strength shortfall in the New South Wales region, in line with NER 5.20C
(b) Identification by TransGrid that the requirements under the system strength standards set out in S5.1a and Schedule 5.1 of the NER are anticipated not to be met going forward, and
(c) Successful completion by TransGrid of a RIT–T that demonstrates that transmission investment in the 2023-2028 period is the preferred option (or part of the preferred option) to meet the declared system strength shortfall (unless exempt under NER 5.16.3(a)(11)), or to enable the system strength standard to continue to be met.</t>
  </si>
  <si>
    <t>Transmission Services</t>
  </si>
  <si>
    <t>TUOS, exit, common and entry and exit services (i.e. all services)</t>
  </si>
  <si>
    <t>Common services</t>
  </si>
  <si>
    <t>Radio communications site leases (Radio Communication sites - towers, equipment building space and ground space)</t>
  </si>
  <si>
    <t>Fibre optic communications data services (Optic Fibre)</t>
  </si>
  <si>
    <t>Property leases (Rental properties)</t>
  </si>
  <si>
    <t>O&amp;M services for third party other than Lumea (Third party Operation and Maintenance)</t>
  </si>
  <si>
    <t>O&amp;M services for Lumea (Intercompany Operation and Maintenance)</t>
  </si>
  <si>
    <t>O&amp;M services for third party other than Lumea (Third party Operations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</si>
</sst>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4" formatCode="_-&quot;$&quot;* #,##0.00_-;\-&quot;$&quot;* #,##0.00_-;_-&quot;$&quot;* &quot;-&quot;??_-;_-@_-"/>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 #,##0_-;[Red]\(#,##0\)_-;_-* &quot;-&quot;??_-;_-@_-"/>
    <numFmt numFmtId="176" formatCode="_-* #,##0_-;\-* #,##0_-;_-* &quot;-&quot;??_-;_-@_-"/>
    <numFmt numFmtId="177" formatCode="0.0%"/>
    <numFmt numFmtId="178" formatCode="#,##0_ ;[Red]\-#,##0\ "/>
    <numFmt numFmtId="179" formatCode="#,##0_ ;\-#,##0\ "/>
    <numFmt numFmtId="180" formatCode="_(#,##0.00%_);\(#,##0.00%\);_(&quot;-&quot;_)"/>
    <numFmt numFmtId="181" formatCode="_(#,##0.0000_);\(#,##0.0000\);_(&quot;-&quot;_)"/>
    <numFmt numFmtId="182" formatCode="#,##0.0"/>
    <numFmt numFmtId="183" formatCode="#,###;[Red]\-#,###"/>
    <numFmt numFmtId="184" formatCode="&quot;$&quot;#,##0_);[Red]\(&quot;$&quot;#,##0\)"/>
    <numFmt numFmtId="185" formatCode="#,##0.000_ ;[Red]\-#,##0.000\ "/>
    <numFmt numFmtId="186" formatCode="#.0;#.0;&quot;-&quot;"/>
    <numFmt numFmtId="187" formatCode="#,##0.000"/>
    <numFmt numFmtId="188" formatCode="#,##0.000_ ;\-#,##0.000\ "/>
    <numFmt numFmtId="189" formatCode="&quot;$&quot;#,##0,"/>
    <numFmt numFmtId="190" formatCode="&quot;$&quot;#,##0"/>
    <numFmt numFmtId="191" formatCode="&quot;$&quot;#,##0.00"/>
    <numFmt numFmtId="192" formatCode="0.0000"/>
    <numFmt numFmtId="193" formatCode="_(&quot;$&quot;* #,##0.00_);_(&quot;$&quot;* \(#,##0.00\);_(&quot;$&quot;* &quot;-&quot;??_);_(@_)"/>
    <numFmt numFmtId="194" formatCode="_(#,##0.000_);\(#,##0.000\);_(&quot;-&quot;_)"/>
    <numFmt numFmtId="195" formatCode="#,##0.0_ ;[Red]\-#,##0.0\ "/>
    <numFmt numFmtId="196" formatCode="#,##0.0_ ;\-#,##0.0\ "/>
    <numFmt numFmtId="197" formatCode="&quot;$&quot;#,##0.0_);[Red]\(&quot;$&quot;#,##0.0\)"/>
    <numFmt numFmtId="198" formatCode="0.000"/>
  </numFmts>
  <fonts count="97" x14ac:knownFonts="1">
    <font>
      <sz val="8"/>
      <color rgb="FFFF0066"/>
      <name val="Helvetic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name val="Helvetica"/>
      <family val="2"/>
    </font>
    <font>
      <sz val="8"/>
      <color theme="1"/>
      <name val="Arial"/>
      <family val="2"/>
    </font>
    <font>
      <sz val="8"/>
      <color rgb="FFFF0066"/>
      <name val="Helvetica"/>
      <family val="2"/>
    </font>
    <font>
      <sz val="10"/>
      <color rgb="FFFF0066"/>
      <name val="Calibri"/>
      <family val="2"/>
      <scheme val="minor"/>
    </font>
    <font>
      <b/>
      <sz val="16"/>
      <color theme="4"/>
      <name val="Calibri"/>
      <family val="2"/>
      <scheme val="minor"/>
    </font>
    <font>
      <b/>
      <sz val="10"/>
      <color theme="1"/>
      <name val="Calibri"/>
      <family val="2"/>
      <scheme val="minor"/>
    </font>
    <font>
      <b/>
      <sz val="10"/>
      <color theme="0"/>
      <name val="Calibri"/>
      <family val="2"/>
      <scheme val="minor"/>
    </font>
    <font>
      <b/>
      <sz val="14"/>
      <color theme="0"/>
      <name val="Calibri"/>
      <family val="2"/>
      <scheme val="minor"/>
    </font>
    <font>
      <b/>
      <sz val="14"/>
      <color theme="0"/>
      <name val="Arial"/>
      <family val="2"/>
    </font>
    <font>
      <b/>
      <sz val="10"/>
      <name val="Arial"/>
      <family val="2"/>
    </font>
    <font>
      <sz val="10"/>
      <name val="Arial"/>
      <family val="2"/>
    </font>
    <font>
      <sz val="11"/>
      <name val="Calibri"/>
      <family val="2"/>
      <scheme val="minor"/>
    </font>
    <font>
      <b/>
      <sz val="10"/>
      <color indexed="8"/>
      <name val="Arial"/>
      <family val="2"/>
    </font>
    <font>
      <b/>
      <sz val="12"/>
      <name val="Calibri"/>
      <family val="2"/>
      <scheme val="minor"/>
    </font>
    <font>
      <sz val="11"/>
      <name val="Arial"/>
      <family val="2"/>
    </font>
    <font>
      <b/>
      <sz val="12"/>
      <color rgb="FFFFFFFF"/>
      <name val="Calibri"/>
      <family val="2"/>
      <scheme val="minor"/>
    </font>
    <font>
      <b/>
      <sz val="14"/>
      <color rgb="FFFFFFFF"/>
      <name val="Calibri"/>
      <family val="2"/>
      <scheme val="minor"/>
    </font>
    <font>
      <sz val="10"/>
      <color indexed="9"/>
      <name val="Arial"/>
      <family val="2"/>
    </font>
    <font>
      <b/>
      <sz val="11"/>
      <name val="Arial"/>
      <family val="2"/>
    </font>
    <font>
      <b/>
      <sz val="11"/>
      <color theme="0"/>
      <name val="Arial"/>
      <family val="2"/>
    </font>
    <font>
      <b/>
      <sz val="10"/>
      <color theme="1"/>
      <name val="Arial"/>
      <family val="2"/>
    </font>
    <font>
      <b/>
      <sz val="11"/>
      <color indexed="8"/>
      <name val="Calibri"/>
      <family val="2"/>
    </font>
    <font>
      <b/>
      <sz val="12"/>
      <color theme="0"/>
      <name val="Calibri"/>
      <family val="2"/>
      <scheme val="minor"/>
    </font>
    <font>
      <b/>
      <sz val="12"/>
      <color theme="0"/>
      <name val="Arial"/>
      <family val="2"/>
    </font>
    <font>
      <b/>
      <sz val="12"/>
      <color theme="1"/>
      <name val="Arial"/>
      <family val="2"/>
    </font>
    <font>
      <b/>
      <sz val="11"/>
      <name val="Calibri"/>
      <family val="2"/>
      <scheme val="minor"/>
    </font>
    <font>
      <sz val="11"/>
      <color theme="1"/>
      <name val="Arial"/>
      <family val="2"/>
    </font>
    <font>
      <i/>
      <sz val="10"/>
      <name val="Arial"/>
      <family val="2"/>
    </font>
    <font>
      <sz val="10"/>
      <color theme="1"/>
      <name val="Arial"/>
      <family val="2"/>
    </font>
    <font>
      <sz val="10"/>
      <color theme="1"/>
      <name val="Calibri"/>
      <family val="2"/>
      <scheme val="minor"/>
    </font>
    <font>
      <b/>
      <sz val="12"/>
      <color theme="1"/>
      <name val="Calibri"/>
      <family val="2"/>
      <scheme val="minor"/>
    </font>
    <font>
      <b/>
      <sz val="9"/>
      <color theme="1"/>
      <name val="Arial"/>
      <family val="2"/>
    </font>
    <font>
      <b/>
      <sz val="10"/>
      <color theme="0"/>
      <name val="Arial"/>
      <family val="2"/>
    </font>
    <font>
      <sz val="11"/>
      <color theme="1" tint="0.499984740745262"/>
      <name val="Arial"/>
      <family val="2"/>
    </font>
    <font>
      <i/>
      <sz val="11"/>
      <color theme="1"/>
      <name val="Arial"/>
      <family val="2"/>
    </font>
    <font>
      <b/>
      <sz val="11"/>
      <color theme="1"/>
      <name val="Arial"/>
      <family val="2"/>
    </font>
    <font>
      <sz val="18"/>
      <color theme="3"/>
      <name val="Arial"/>
      <family val="2"/>
    </font>
    <font>
      <b/>
      <sz val="11"/>
      <color theme="3"/>
      <name val="Arial"/>
      <family val="2"/>
    </font>
    <font>
      <sz val="10"/>
      <color theme="4"/>
      <name val="Arial"/>
      <family val="2"/>
    </font>
    <font>
      <u/>
      <sz val="10"/>
      <color theme="10"/>
      <name val="Arial"/>
      <family val="2"/>
    </font>
    <font>
      <b/>
      <sz val="10"/>
      <color theme="1"/>
      <name val="Helvetica"/>
    </font>
    <font>
      <sz val="11"/>
      <color theme="0"/>
      <name val="Calibri"/>
      <family val="2"/>
      <scheme val="minor"/>
    </font>
    <font>
      <b/>
      <sz val="10"/>
      <color rgb="FFFF0000"/>
      <name val="Arial"/>
      <family val="2"/>
    </font>
    <font>
      <b/>
      <sz val="12"/>
      <color indexed="8"/>
      <name val="Calibri"/>
      <family val="2"/>
    </font>
    <font>
      <b/>
      <sz val="9"/>
      <name val="Arial"/>
      <family val="2"/>
    </font>
    <font>
      <b/>
      <sz val="11"/>
      <name val="Calibri"/>
      <family val="2"/>
    </font>
    <font>
      <b/>
      <sz val="12"/>
      <name val="Arial"/>
      <family val="2"/>
    </font>
    <font>
      <b/>
      <sz val="10"/>
      <name val="Calibri"/>
      <family val="2"/>
      <scheme val="minor"/>
    </font>
    <font>
      <sz val="14"/>
      <color theme="0"/>
      <name val="Arial"/>
      <family val="2"/>
    </font>
    <font>
      <sz val="10"/>
      <color theme="0"/>
      <name val="Arial"/>
      <family val="2"/>
    </font>
    <font>
      <sz val="12"/>
      <color theme="1"/>
      <name val="Calibri"/>
      <family val="2"/>
      <scheme val="minor"/>
    </font>
    <font>
      <sz val="14"/>
      <color theme="0"/>
      <name val="Calibri"/>
      <family val="2"/>
      <scheme val="minor"/>
    </font>
    <font>
      <b/>
      <sz val="14"/>
      <color theme="1"/>
      <name val="Calibri"/>
      <family val="2"/>
      <scheme val="minor"/>
    </font>
    <font>
      <sz val="10"/>
      <color theme="0" tint="-0.14999847407452621"/>
      <name val="Helvetica"/>
      <family val="2"/>
    </font>
    <font>
      <sz val="10"/>
      <color theme="1"/>
      <name val="Calibri"/>
      <family val="2"/>
    </font>
    <font>
      <i/>
      <sz val="11"/>
      <name val="Calibri"/>
      <family val="2"/>
      <scheme val="minor"/>
    </font>
    <font>
      <b/>
      <sz val="11"/>
      <color rgb="FF000000"/>
      <name val="Calibri"/>
      <family val="2"/>
    </font>
    <font>
      <sz val="11"/>
      <color rgb="FF000000"/>
      <name val="Calibri"/>
      <family val="2"/>
    </font>
  </fonts>
  <fills count="47">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2A3D6F"/>
        <bgColor indexed="64"/>
      </patternFill>
    </fill>
    <fill>
      <patternFill patternType="solid">
        <fgColor rgb="FF75842F"/>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rgb="FF000000"/>
        <bgColor rgb="FF000000"/>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1" tint="0.24994659260841701"/>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244062"/>
        <bgColor indexed="64"/>
      </patternFill>
    </fill>
    <fill>
      <patternFill patternType="solid">
        <fgColor rgb="FF366092"/>
        <bgColor indexed="64"/>
      </patternFill>
    </fill>
    <fill>
      <patternFill patternType="solid">
        <fgColor rgb="FF808080"/>
        <bgColor indexed="64"/>
      </patternFill>
    </fill>
    <fill>
      <patternFill patternType="solid">
        <fgColor rgb="FFFDE9D9"/>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FBFBF"/>
        <bgColor rgb="FF000000"/>
      </patternFill>
    </fill>
    <fill>
      <patternFill patternType="solid">
        <fgColor rgb="FFFFFF00"/>
        <bgColor rgb="FF000000"/>
      </patternFill>
    </fill>
  </fills>
  <borders count="29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auto="1"/>
      </right>
      <top style="medium">
        <color auto="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thin">
        <color theme="0"/>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top style="medium">
        <color indexed="64"/>
      </top>
      <bottom/>
      <diagonal/>
    </border>
    <border>
      <left style="medium">
        <color auto="1"/>
      </left>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indexed="64"/>
      </right>
      <top style="thin">
        <color theme="0" tint="-0.24994659260841701"/>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dotted">
        <color auto="1"/>
      </left>
      <right/>
      <top/>
      <bottom style="thin">
        <color auto="1"/>
      </bottom>
      <diagonal/>
    </border>
    <border>
      <left/>
      <right style="dotted">
        <color auto="1"/>
      </right>
      <top/>
      <bottom style="thin">
        <color auto="1"/>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thin">
        <color theme="0"/>
      </left>
      <right style="medium">
        <color indexed="64"/>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top style="medium">
        <color indexed="64"/>
      </top>
      <bottom style="medium">
        <color indexed="64"/>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style="thin">
        <color theme="0"/>
      </bottom>
      <diagonal/>
    </border>
    <border>
      <left style="medium">
        <color auto="1"/>
      </left>
      <right style="thin">
        <color theme="0"/>
      </right>
      <top style="thin">
        <color theme="0"/>
      </top>
      <bottom style="medium">
        <color auto="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medium">
        <color auto="1"/>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style="medium">
        <color indexed="64"/>
      </left>
      <right/>
      <top style="thin">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style="medium">
        <color auto="1"/>
      </right>
      <top style="thin">
        <color theme="0" tint="-0.24994659260841701"/>
      </top>
      <bottom style="medium">
        <color indexed="64"/>
      </bottom>
      <diagonal/>
    </border>
    <border>
      <left style="thin">
        <color theme="0" tint="-0.24994659260841701"/>
      </left>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style="medium">
        <color auto="1"/>
      </right>
      <top style="thin">
        <color theme="0" tint="-0.24994659260841701"/>
      </top>
      <bottom/>
      <diagonal/>
    </border>
    <border>
      <left/>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auto="1"/>
      </right>
      <top style="thin">
        <color indexed="64"/>
      </top>
      <bottom style="thin">
        <color indexed="64"/>
      </bottom>
      <diagonal/>
    </border>
    <border>
      <left/>
      <right style="thin">
        <color indexed="64"/>
      </right>
      <top style="thin">
        <color indexed="64"/>
      </top>
      <bottom style="thin">
        <color theme="0" tint="-0.24994659260841701"/>
      </bottom>
      <diagonal/>
    </border>
    <border>
      <left/>
      <right style="thin">
        <color auto="1"/>
      </right>
      <top style="thin">
        <color theme="0" tint="-0.24994659260841701"/>
      </top>
      <bottom style="thin">
        <color indexed="64"/>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dotted">
        <color auto="1"/>
      </right>
      <top/>
      <bottom/>
      <diagonal/>
    </border>
    <border>
      <left style="dotted">
        <color auto="1"/>
      </left>
      <right/>
      <top/>
      <bottom/>
      <diagonal/>
    </border>
    <border>
      <left style="medium">
        <color indexed="64"/>
      </left>
      <right style="thin">
        <color indexed="64"/>
      </right>
      <top style="thin">
        <color theme="0" tint="-0.24994659260841701"/>
      </top>
      <bottom/>
      <diagonal/>
    </border>
    <border>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medium">
        <color indexed="64"/>
      </right>
      <top style="medium">
        <color indexed="64"/>
      </top>
      <bottom style="thin">
        <color rgb="FFA6A6A6"/>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indexed="64"/>
      </right>
      <top/>
      <bottom style="thin">
        <color theme="0" tint="-0.24994659260841701"/>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tint="-0.24994659260841701"/>
      </right>
      <top style="medium">
        <color indexed="64"/>
      </top>
      <bottom style="medium">
        <color indexed="64"/>
      </bottom>
      <diagonal/>
    </border>
    <border>
      <left style="thin">
        <color theme="0" tint="-0.34998626667073579"/>
      </left>
      <right/>
      <top/>
      <bottom style="thin">
        <color theme="0" tint="-0.34998626667073579"/>
      </bottom>
      <diagonal/>
    </border>
    <border>
      <left style="thin">
        <color auto="1"/>
      </left>
      <right style="thin">
        <color theme="0" tint="-0.24994659260841701"/>
      </right>
      <top/>
      <bottom style="thin">
        <color theme="0" tint="-0.24994659260841701"/>
      </bottom>
      <diagonal/>
    </border>
    <border>
      <left/>
      <right style="medium">
        <color indexed="64"/>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indexed="64"/>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indexed="64"/>
      </left>
      <right/>
      <top/>
      <bottom style="medium">
        <color auto="1"/>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style="medium">
        <color indexed="64"/>
      </right>
      <top/>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bottom style="thin">
        <color theme="0" tint="-0.34998626667073579"/>
      </bottom>
      <diagonal/>
    </border>
    <border>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2499465926084170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theme="0" tint="-0.34998626667073579"/>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medium">
        <color indexed="64"/>
      </left>
      <right style="thin">
        <color indexed="64"/>
      </right>
      <top style="thin">
        <color theme="0" tint="-0.24994659260841701"/>
      </top>
      <bottom style="thick">
        <color auto="1"/>
      </bottom>
      <diagonal/>
    </border>
    <border>
      <left style="thin">
        <color indexed="64"/>
      </left>
      <right/>
      <top style="thin">
        <color theme="0" tint="-0.24994659260841701"/>
      </top>
      <bottom style="thick">
        <color auto="1"/>
      </bottom>
      <diagonal/>
    </border>
    <border>
      <left style="thin">
        <color indexed="64"/>
      </left>
      <right style="thin">
        <color indexed="64"/>
      </right>
      <top style="thin">
        <color theme="0" tint="-0.24994659260841701"/>
      </top>
      <bottom style="thick">
        <color auto="1"/>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theme="0" tint="-0.24994659260841701"/>
      </left>
      <right style="thin">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indexed="64"/>
      </right>
      <top style="thin">
        <color theme="0" tint="-0.34998626667073579"/>
      </top>
      <bottom style="thin">
        <color theme="0" tint="-0.24994659260841701"/>
      </bottom>
      <diagonal/>
    </border>
    <border>
      <left/>
      <right style="thin">
        <color theme="0" tint="-0.34998626667073579"/>
      </right>
      <top style="thin">
        <color theme="0" tint="-0.24994659260841701"/>
      </top>
      <bottom style="medium">
        <color indexed="64"/>
      </bottom>
      <diagonal/>
    </border>
    <border>
      <left style="thin">
        <color theme="0" tint="-0.34998626667073579"/>
      </left>
      <right style="thin">
        <color theme="0" tint="-0.34998626667073579"/>
      </right>
      <top style="thin">
        <color theme="0" tint="-0.24994659260841701"/>
      </top>
      <bottom style="medium">
        <color indexed="64"/>
      </bottom>
      <diagonal/>
    </border>
    <border>
      <left style="thin">
        <color theme="0" tint="-0.34998626667073579"/>
      </left>
      <right/>
      <top style="thin">
        <color theme="0" tint="-0.24994659260841701"/>
      </top>
      <bottom style="medium">
        <color indexed="64"/>
      </bottom>
      <diagonal/>
    </border>
    <border>
      <left style="medium">
        <color indexed="64"/>
      </left>
      <right style="thin">
        <color theme="0" tint="-0.34998626667073579"/>
      </right>
      <top style="thin">
        <color theme="0" tint="-0.24994659260841701"/>
      </top>
      <bottom style="medium">
        <color indexed="64"/>
      </bottom>
      <diagonal/>
    </border>
    <border>
      <left style="thin">
        <color theme="0" tint="-0.34998626667073579"/>
      </left>
      <right style="thin">
        <color indexed="64"/>
      </right>
      <top style="thin">
        <color theme="0" tint="-0.24994659260841701"/>
      </top>
      <bottom style="medium">
        <color indexed="64"/>
      </bottom>
      <diagonal/>
    </border>
    <border>
      <left/>
      <right style="thin">
        <color indexed="64"/>
      </right>
      <top style="medium">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theme="0" tint="-0.34998626667073579"/>
      </right>
      <top/>
      <bottom style="thin">
        <color indexed="64"/>
      </bottom>
      <diagonal/>
    </border>
    <border>
      <left style="thin">
        <color theme="0" tint="-0.34998626667073579"/>
      </left>
      <right style="thin">
        <color auto="1"/>
      </right>
      <top/>
      <bottom style="thin">
        <color auto="1"/>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right/>
      <top/>
      <bottom style="thin">
        <color theme="0" tint="-0.34998626667073579"/>
      </bottom>
      <diagonal/>
    </border>
    <border>
      <left style="medium">
        <color indexed="64"/>
      </left>
      <right style="thin">
        <color rgb="FFA6A6A6"/>
      </right>
      <top style="thin">
        <color rgb="FFA6A6A6"/>
      </top>
      <bottom style="thin">
        <color rgb="FFA6A6A6"/>
      </bottom>
      <diagonal/>
    </border>
    <border>
      <left style="medium">
        <color indexed="64"/>
      </left>
      <right style="thin">
        <color rgb="FFA6A6A6"/>
      </right>
      <top style="thin">
        <color rgb="FFA6A6A6"/>
      </top>
      <bottom style="medium">
        <color indexed="64"/>
      </bottom>
      <diagonal/>
    </border>
    <border>
      <left style="medium">
        <color indexed="64"/>
      </left>
      <right style="medium">
        <color indexed="64"/>
      </right>
      <top style="thin">
        <color rgb="FFA6A6A6"/>
      </top>
      <bottom style="medium">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style="medium">
        <color indexed="64"/>
      </bottom>
      <diagonal/>
    </border>
    <border>
      <left style="medium">
        <color indexed="64"/>
      </left>
      <right style="thin">
        <color theme="0" tint="-0.24994659260841701"/>
      </right>
      <top/>
      <bottom/>
      <diagonal/>
    </border>
    <border>
      <left style="thin">
        <color indexed="64"/>
      </left>
      <right/>
      <top style="medium">
        <color indexed="64"/>
      </top>
      <bottom style="thin">
        <color indexed="64"/>
      </bottom>
      <diagonal/>
    </border>
    <border>
      <left style="thin">
        <color theme="0"/>
      </left>
      <right/>
      <top style="thin">
        <color theme="0"/>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thin">
        <color theme="0"/>
      </bottom>
      <diagonal/>
    </border>
    <border>
      <left/>
      <right style="dotted">
        <color auto="1"/>
      </right>
      <top style="thin">
        <color theme="0"/>
      </top>
      <bottom/>
      <diagonal/>
    </border>
    <border>
      <left style="dotted">
        <color auto="1"/>
      </left>
      <right/>
      <top style="thin">
        <color theme="0"/>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4659260841701"/>
      </right>
      <top style="thin">
        <color theme="0" tint="-0.24994659260841701"/>
      </top>
      <bottom style="thin">
        <color auto="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auto="1"/>
      </bottom>
      <diagonal/>
    </border>
    <border>
      <left/>
      <right style="dotted">
        <color theme="1"/>
      </right>
      <top style="thin">
        <color theme="0"/>
      </top>
      <bottom style="thin">
        <color theme="0"/>
      </bottom>
      <diagonal/>
    </border>
    <border>
      <left style="dotted">
        <color theme="1"/>
      </left>
      <right style="thin">
        <color theme="0"/>
      </right>
      <top style="thin">
        <color theme="0"/>
      </top>
      <bottom style="thin">
        <color theme="0"/>
      </bottom>
      <diagonal/>
    </border>
    <border>
      <left style="medium">
        <color auto="1"/>
      </left>
      <right style="thin">
        <color theme="0" tint="-0.34998626667073579"/>
      </right>
      <top style="medium">
        <color auto="1"/>
      </top>
      <bottom/>
      <diagonal/>
    </border>
    <border>
      <left style="thin">
        <color theme="0" tint="-0.34998626667073579"/>
      </left>
      <right style="thin">
        <color indexed="64"/>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indexed="64"/>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s>
  <cellStyleXfs count="134">
    <xf numFmtId="0" fontId="0" fillId="0" borderId="0"/>
    <xf numFmtId="168" fontId="7" fillId="0" borderId="0" applyFill="0" applyBorder="0" applyProtection="0">
      <alignment vertical="center"/>
    </xf>
    <xf numFmtId="0" fontId="11" fillId="0" borderId="0" applyNumberFormat="0" applyFill="0" applyBorder="0" applyAlignment="0" applyProtection="0"/>
    <xf numFmtId="0" fontId="37" fillId="12" borderId="0" applyBorder="0">
      <alignment horizontal="left" vertical="center"/>
    </xf>
    <xf numFmtId="0" fontId="6" fillId="3" borderId="0" applyProtection="0">
      <alignment vertical="center"/>
    </xf>
    <xf numFmtId="0" fontId="8" fillId="0" borderId="0" applyFill="0" applyProtection="0">
      <alignment vertical="center"/>
    </xf>
    <xf numFmtId="0" fontId="7" fillId="0" borderId="0" applyFill="0" applyBorder="0" applyProtection="0">
      <alignment vertical="center"/>
    </xf>
    <xf numFmtId="0" fontId="9" fillId="0" borderId="5" applyNumberFormat="0" applyFill="0" applyAlignment="0" applyProtection="0"/>
    <xf numFmtId="0" fontId="33" fillId="13" borderId="4">
      <alignment horizontal="left" vertical="center"/>
      <protection locked="0"/>
    </xf>
    <xf numFmtId="164" fontId="32" fillId="0" borderId="0" applyFill="0" applyBorder="0">
      <alignment horizontal="center" vertical="center"/>
    </xf>
    <xf numFmtId="164" fontId="33" fillId="2" borderId="4">
      <alignment horizontal="center" vertical="center"/>
      <protection locked="0"/>
    </xf>
    <xf numFmtId="170" fontId="32" fillId="0" borderId="0" applyFill="0" applyBorder="0">
      <alignment horizontal="center" vertical="center"/>
    </xf>
    <xf numFmtId="170" fontId="33" fillId="13" borderId="4">
      <alignment horizontal="center" vertical="center"/>
      <protection locked="0"/>
    </xf>
    <xf numFmtId="165" fontId="32" fillId="0" borderId="0" applyFill="0" applyBorder="0">
      <alignment horizontal="right" vertical="center"/>
    </xf>
    <xf numFmtId="165" fontId="33" fillId="13" borderId="4">
      <alignment horizontal="right" vertical="center"/>
      <protection locked="0"/>
    </xf>
    <xf numFmtId="167" fontId="32" fillId="0" borderId="0" applyFill="0" applyBorder="0">
      <alignment horizontal="right" vertical="center"/>
    </xf>
    <xf numFmtId="167" fontId="33" fillId="13" borderId="4">
      <alignment horizontal="right" vertical="center"/>
      <protection locked="0"/>
    </xf>
    <xf numFmtId="166" fontId="32" fillId="0" borderId="0" applyFill="0" applyBorder="0">
      <alignment horizontal="right" vertical="center"/>
    </xf>
    <xf numFmtId="166" fontId="33" fillId="13" borderId="4">
      <alignment horizontal="right" vertical="center"/>
      <protection locked="0"/>
    </xf>
    <xf numFmtId="168" fontId="33" fillId="13" borderId="4">
      <alignment horizontal="right" vertical="center"/>
      <protection locked="0"/>
    </xf>
    <xf numFmtId="0" fontId="29" fillId="0" borderId="0" applyFill="0" applyBorder="0">
      <alignment horizontal="left" vertical="center"/>
    </xf>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6" applyNumberFormat="0" applyAlignment="0" applyProtection="0"/>
    <xf numFmtId="0" fontId="16" fillId="9" borderId="7" applyNumberFormat="0" applyAlignment="0" applyProtection="0"/>
    <xf numFmtId="0" fontId="17" fillId="9" borderId="6" applyNumberFormat="0" applyAlignment="0" applyProtection="0"/>
    <xf numFmtId="0" fontId="18" fillId="0" borderId="8" applyNumberFormat="0" applyFill="0" applyAlignment="0" applyProtection="0"/>
    <xf numFmtId="0" fontId="19" fillId="10" borderId="9" applyNumberFormat="0" applyAlignment="0" applyProtection="0"/>
    <xf numFmtId="0" fontId="20" fillId="0" borderId="0" applyNumberFormat="0" applyFill="0" applyBorder="0" applyAlignment="0" applyProtection="0"/>
    <xf numFmtId="0" fontId="7" fillId="11" borderId="10" applyNumberFormat="0" applyFont="0" applyAlignment="0" applyProtection="0"/>
    <xf numFmtId="0" fontId="21" fillId="0" borderId="0" applyNumberFormat="0" applyFill="0" applyBorder="0" applyAlignment="0" applyProtection="0"/>
    <xf numFmtId="0" fontId="22" fillId="0" borderId="0" applyNumberFormat="0" applyFill="0" applyBorder="0">
      <alignment horizontal="left" vertical="center"/>
    </xf>
    <xf numFmtId="0" fontId="23" fillId="0" borderId="0" applyFill="0" applyBorder="0">
      <alignment vertical="center"/>
    </xf>
    <xf numFmtId="0" fontId="34" fillId="0" borderId="0" applyFill="0" applyBorder="0">
      <alignment horizontal="left" vertical="center"/>
    </xf>
    <xf numFmtId="0" fontId="39" fillId="0" borderId="0" applyFill="0" applyBorder="0">
      <alignment horizontal="left" vertical="center"/>
    </xf>
    <xf numFmtId="0" fontId="33" fillId="0" borderId="0" applyFill="0" applyBorder="0">
      <alignment horizontal="left" vertical="center"/>
    </xf>
    <xf numFmtId="0" fontId="32" fillId="0" borderId="0" applyFill="0" applyBorder="0">
      <alignment vertical="center"/>
    </xf>
    <xf numFmtId="0" fontId="36" fillId="16" borderId="0" applyBorder="0">
      <alignment horizontal="left" vertical="center"/>
    </xf>
    <xf numFmtId="0" fontId="35" fillId="16" borderId="0" applyBorder="0">
      <alignment horizontal="left" vertical="center"/>
    </xf>
    <xf numFmtId="171" fontId="32" fillId="0" borderId="0" applyFill="0" applyBorder="0">
      <alignment horizontal="right" vertical="center"/>
    </xf>
    <xf numFmtId="0" fontId="28" fillId="0" borderId="0">
      <alignment horizontal="right" vertical="center"/>
    </xf>
    <xf numFmtId="0" fontId="25" fillId="14" borderId="0">
      <alignment horizontal="left" indent="3"/>
    </xf>
    <xf numFmtId="0" fontId="25" fillId="15" borderId="0">
      <alignment horizontal="left" indent="3"/>
    </xf>
    <xf numFmtId="173" fontId="10" fillId="0" borderId="0">
      <alignment horizontal="center" vertical="center"/>
    </xf>
    <xf numFmtId="174" fontId="27" fillId="13" borderId="4">
      <alignment horizontal="center" vertical="center"/>
      <protection locked="0"/>
    </xf>
    <xf numFmtId="174" fontId="10" fillId="0" borderId="0"/>
    <xf numFmtId="165" fontId="33" fillId="0" borderId="0" applyFill="0" applyBorder="0">
      <alignment horizontal="right" vertical="center"/>
    </xf>
    <xf numFmtId="170" fontId="33" fillId="0" borderId="0" applyFill="0" applyBorder="0">
      <alignment horizontal="center" vertical="center"/>
    </xf>
    <xf numFmtId="171" fontId="33" fillId="0" borderId="0" applyFill="0" applyBorder="0">
      <alignment horizontal="right" vertical="center"/>
    </xf>
    <xf numFmtId="166" fontId="33" fillId="0" borderId="0" applyFill="0" applyBorder="0">
      <alignment horizontal="right" vertical="center"/>
    </xf>
    <xf numFmtId="167" fontId="33" fillId="0" borderId="0" applyFill="0" applyBorder="0">
      <alignment horizontal="right" vertical="center"/>
    </xf>
    <xf numFmtId="164" fontId="33" fillId="0" borderId="0" applyFill="0" applyBorder="0">
      <alignment horizontal="center" vertical="center"/>
    </xf>
    <xf numFmtId="0" fontId="33" fillId="17" borderId="4">
      <alignment horizontal="center" vertical="center"/>
      <protection locked="0"/>
    </xf>
    <xf numFmtId="0" fontId="10" fillId="18" borderId="0"/>
    <xf numFmtId="165" fontId="38" fillId="3" borderId="4">
      <alignment horizontal="right" vertical="center"/>
      <protection locked="0"/>
    </xf>
    <xf numFmtId="0" fontId="40" fillId="0" borderId="0"/>
    <xf numFmtId="0" fontId="41"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2" fillId="0" borderId="0"/>
    <xf numFmtId="0" fontId="19" fillId="20" borderId="0" applyBorder="0">
      <alignment horizontal="left" vertical="center"/>
    </xf>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3" fillId="0" borderId="0" applyFill="0" applyBorder="0">
      <alignment horizontal="left" vertical="center"/>
    </xf>
    <xf numFmtId="0" fontId="44" fillId="0" borderId="0" applyFill="0" applyBorder="0">
      <alignment horizontal="left" vertical="center"/>
    </xf>
    <xf numFmtId="0" fontId="45" fillId="19" borderId="0" applyBorder="0">
      <alignment horizontal="left" vertical="center"/>
    </xf>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12" borderId="0" applyBorder="0">
      <alignment horizontal="left" vertical="center"/>
    </xf>
    <xf numFmtId="9" fontId="41" fillId="0" borderId="0" applyFont="0" applyFill="0" applyBorder="0" applyAlignment="0" applyProtection="0"/>
    <xf numFmtId="175" fontId="50" fillId="24" borderId="28" applyBorder="0">
      <alignment horizontal="right"/>
      <protection locked="0"/>
    </xf>
    <xf numFmtId="176" fontId="51" fillId="3" borderId="36" applyBorder="0">
      <alignment horizontal="right" vertical="center"/>
    </xf>
    <xf numFmtId="0" fontId="49" fillId="0" borderId="0"/>
    <xf numFmtId="0" fontId="3" fillId="0" borderId="0"/>
    <xf numFmtId="0" fontId="49" fillId="0" borderId="0"/>
    <xf numFmtId="0" fontId="54" fillId="28" borderId="0">
      <alignment vertical="center"/>
      <protection locked="0"/>
    </xf>
    <xf numFmtId="0" fontId="58" fillId="32" borderId="43" applyBorder="0">
      <alignment vertical="center"/>
    </xf>
    <xf numFmtId="43" fontId="41" fillId="0" borderId="0" applyFont="0" applyFill="0" applyBorder="0" applyAlignment="0" applyProtection="0"/>
    <xf numFmtId="0" fontId="61" fillId="21" borderId="0">
      <alignment vertical="center"/>
      <protection locked="0"/>
    </xf>
    <xf numFmtId="0" fontId="67" fillId="0" borderId="0"/>
    <xf numFmtId="171" fontId="67" fillId="0" borderId="0" applyFill="0" applyBorder="0">
      <alignment vertical="center"/>
    </xf>
    <xf numFmtId="180" fontId="67" fillId="0" borderId="0" applyFill="0" applyBorder="0">
      <alignment vertical="center"/>
    </xf>
    <xf numFmtId="0" fontId="75" fillId="0" borderId="0" applyNumberFormat="0" applyFill="0" applyBorder="0" applyAlignment="0" applyProtection="0"/>
    <xf numFmtId="0" fontId="47" fillId="36" borderId="0" applyNumberFormat="0" applyBorder="0">
      <alignment vertical="center"/>
    </xf>
    <xf numFmtId="0" fontId="62" fillId="37" borderId="0" applyNumberFormat="0" applyBorder="0">
      <alignment vertical="center"/>
    </xf>
    <xf numFmtId="0" fontId="58" fillId="38" borderId="0" applyNumberFormat="0" applyBorder="0">
      <alignment vertical="center"/>
    </xf>
    <xf numFmtId="0" fontId="76" fillId="0" borderId="0" applyNumberFormat="0" applyFill="0" applyBorder="0">
      <alignment vertical="center"/>
    </xf>
    <xf numFmtId="0" fontId="49" fillId="0" borderId="0" applyFill="0" applyBorder="0">
      <alignment vertical="center"/>
    </xf>
    <xf numFmtId="0" fontId="49" fillId="39" borderId="144">
      <alignment vertical="center"/>
      <protection locked="0"/>
    </xf>
    <xf numFmtId="180" fontId="49" fillId="39" borderId="144">
      <alignment vertical="center"/>
      <protection locked="0"/>
    </xf>
    <xf numFmtId="171" fontId="67" fillId="39" borderId="144">
      <alignment vertical="center"/>
      <protection locked="0"/>
    </xf>
    <xf numFmtId="0" fontId="77" fillId="0" borderId="0" applyFill="0" applyBorder="0">
      <alignment vertical="center"/>
    </xf>
    <xf numFmtId="180" fontId="77" fillId="0" borderId="0" applyFill="0" applyBorder="0">
      <alignment vertical="center"/>
    </xf>
    <xf numFmtId="171" fontId="77" fillId="0" borderId="0" applyFill="0" applyBorder="0">
      <alignment vertical="center"/>
    </xf>
    <xf numFmtId="165" fontId="67" fillId="0" borderId="0" applyFill="0" applyBorder="0">
      <alignment vertical="center"/>
    </xf>
    <xf numFmtId="165" fontId="77" fillId="0" borderId="0" applyFill="0" applyBorder="0">
      <alignment vertical="center"/>
    </xf>
    <xf numFmtId="165" fontId="67" fillId="39" borderId="144">
      <alignment vertical="center"/>
      <protection locked="0"/>
    </xf>
    <xf numFmtId="170" fontId="67" fillId="0" borderId="0" applyFill="0" applyBorder="0">
      <alignment vertical="center"/>
    </xf>
    <xf numFmtId="170" fontId="77" fillId="0" borderId="0" applyFill="0" applyBorder="0">
      <alignment vertical="center"/>
    </xf>
    <xf numFmtId="170" fontId="67" fillId="39" borderId="144">
      <alignment vertical="center"/>
      <protection locked="0"/>
    </xf>
    <xf numFmtId="173" fontId="59" fillId="0" borderId="0">
      <alignment vertical="center"/>
    </xf>
    <xf numFmtId="0" fontId="78" fillId="0" borderId="0" applyNumberFormat="0" applyFill="0" applyBorder="0" applyAlignment="0" applyProtection="0"/>
    <xf numFmtId="0" fontId="22" fillId="0" borderId="0" applyNumberFormat="0" applyFill="0" applyBorder="0">
      <alignment horizontal="left" vertical="center"/>
    </xf>
    <xf numFmtId="165" fontId="33" fillId="13" borderId="4">
      <alignment horizontal="right" vertical="center"/>
      <protection locked="0"/>
    </xf>
    <xf numFmtId="175" fontId="65" fillId="24" borderId="151" applyFill="0" applyBorder="0">
      <alignment horizontal="right" indent="2"/>
      <protection locked="0"/>
    </xf>
    <xf numFmtId="0" fontId="49" fillId="0" borderId="0"/>
    <xf numFmtId="0" fontId="49" fillId="0" borderId="0" applyFill="0"/>
    <xf numFmtId="0" fontId="64" fillId="22" borderId="46">
      <alignment horizontal="center" vertical="center" wrapText="1"/>
    </xf>
    <xf numFmtId="0" fontId="64" fillId="23" borderId="153">
      <alignment horizontal="right" vertical="center" wrapText="1" indent="1"/>
    </xf>
    <xf numFmtId="0" fontId="64" fillId="22" borderId="153">
      <alignment horizontal="right" vertical="center" wrapText="1" indent="1"/>
    </xf>
    <xf numFmtId="0" fontId="19" fillId="21" borderId="0">
      <alignment vertical="center"/>
      <protection locked="0"/>
    </xf>
    <xf numFmtId="0" fontId="2" fillId="0" borderId="0"/>
    <xf numFmtId="0" fontId="84" fillId="17" borderId="91" applyBorder="0">
      <alignment horizontal="right" vertical="center" wrapText="1" indent="1"/>
    </xf>
    <xf numFmtId="0" fontId="49" fillId="0" borderId="0" applyFill="0"/>
    <xf numFmtId="0" fontId="48" fillId="45" borderId="43" applyBorder="0" applyProtection="0">
      <alignment vertical="center"/>
    </xf>
    <xf numFmtId="49" fontId="49" fillId="31" borderId="55" applyAlignment="0">
      <alignment horizontal="left" vertical="center" wrapText="1"/>
      <protection locked="0"/>
    </xf>
    <xf numFmtId="0" fontId="49" fillId="0" borderId="265">
      <alignment horizontal="left" vertical="center" wrapText="1" indent="1"/>
    </xf>
    <xf numFmtId="0" fontId="62" fillId="21" borderId="43">
      <alignment vertical="center"/>
    </xf>
    <xf numFmtId="193" fontId="1" fillId="0" borderId="0" applyFont="0" applyFill="0" applyBorder="0" applyAlignment="0" applyProtection="0"/>
  </cellStyleXfs>
  <cellXfs count="1309">
    <xf numFmtId="0" fontId="0" fillId="0" borderId="0" xfId="0"/>
    <xf numFmtId="0" fontId="0" fillId="0" borderId="0" xfId="0" applyAlignment="1">
      <alignment horizontal="left"/>
    </xf>
    <xf numFmtId="0" fontId="37" fillId="12" borderId="0" xfId="3">
      <alignment horizontal="left" vertical="center"/>
    </xf>
    <xf numFmtId="0" fontId="29" fillId="0" borderId="0" xfId="20">
      <alignment horizontal="left" vertical="center"/>
    </xf>
    <xf numFmtId="0" fontId="34" fillId="0" borderId="0" xfId="34">
      <alignment horizontal="left" vertical="center"/>
    </xf>
    <xf numFmtId="0" fontId="33" fillId="0" borderId="0" xfId="36">
      <alignment horizontal="left" vertical="center"/>
    </xf>
    <xf numFmtId="0" fontId="32" fillId="0" borderId="0" xfId="37">
      <alignment vertical="center"/>
    </xf>
    <xf numFmtId="0" fontId="36" fillId="16" borderId="0" xfId="38">
      <alignment horizontal="left" vertical="center"/>
    </xf>
    <xf numFmtId="0" fontId="33" fillId="0" borderId="1" xfId="36" applyBorder="1" applyAlignment="1">
      <alignment horizontal="center" vertical="center"/>
    </xf>
    <xf numFmtId="0" fontId="24" fillId="0" borderId="0" xfId="37" applyFont="1">
      <alignment vertical="center"/>
    </xf>
    <xf numFmtId="0" fontId="33" fillId="0" borderId="0" xfId="36" applyAlignment="1">
      <alignment horizontal="right" vertical="center"/>
    </xf>
    <xf numFmtId="0" fontId="34" fillId="0" borderId="0" xfId="34" applyAlignment="1">
      <alignment horizontal="center" vertical="center"/>
    </xf>
    <xf numFmtId="0" fontId="0" fillId="0" borderId="0" xfId="0" applyAlignment="1">
      <alignment horizontal="center"/>
    </xf>
    <xf numFmtId="0" fontId="33" fillId="0" borderId="0" xfId="36" applyAlignment="1">
      <alignment horizontal="center" vertical="center"/>
    </xf>
    <xf numFmtId="4" fontId="0" fillId="0" borderId="0" xfId="0" applyNumberFormat="1"/>
    <xf numFmtId="172" fontId="0" fillId="0" borderId="0" xfId="0" applyNumberFormat="1"/>
    <xf numFmtId="0" fontId="30" fillId="0" borderId="0" xfId="37" applyFont="1">
      <alignment vertical="center"/>
    </xf>
    <xf numFmtId="169" fontId="32" fillId="0" borderId="0" xfId="13" applyNumberFormat="1">
      <alignment horizontal="right" vertical="center"/>
    </xf>
    <xf numFmtId="173" fontId="10" fillId="0" borderId="3" xfId="44" applyBorder="1" applyAlignment="1">
      <alignment horizontal="center"/>
    </xf>
    <xf numFmtId="0" fontId="32"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39" fillId="0" borderId="0" xfId="35" applyAlignment="1">
      <alignment horizontal="center" vertical="center"/>
    </xf>
    <xf numFmtId="0" fontId="25" fillId="12" borderId="0" xfId="3" applyFont="1" applyAlignment="1">
      <alignment horizontal="center" vertical="center"/>
    </xf>
    <xf numFmtId="0" fontId="26" fillId="16" borderId="0" xfId="38" applyFont="1" applyAlignment="1">
      <alignment horizontal="center" vertical="center"/>
    </xf>
    <xf numFmtId="0" fontId="0" fillId="0" borderId="16" xfId="0" applyBorder="1"/>
    <xf numFmtId="0" fontId="0" fillId="0" borderId="2" xfId="0" applyBorder="1"/>
    <xf numFmtId="0" fontId="0" fillId="0" borderId="13" xfId="0" applyBorder="1"/>
    <xf numFmtId="0" fontId="33" fillId="13" borderId="4" xfId="8" applyAlignment="1">
      <alignment horizontal="center" vertical="center"/>
      <protection locked="0"/>
    </xf>
    <xf numFmtId="0" fontId="34" fillId="0" borderId="0" xfId="34" applyAlignment="1">
      <alignment vertical="center"/>
    </xf>
    <xf numFmtId="0" fontId="31" fillId="0" borderId="0" xfId="3" applyFont="1" applyFill="1">
      <alignment horizontal="left" vertical="center"/>
    </xf>
    <xf numFmtId="0" fontId="22" fillId="0" borderId="0" xfId="32">
      <alignment horizontal="left" vertical="center"/>
    </xf>
    <xf numFmtId="0" fontId="22" fillId="0" borderId="0" xfId="32" applyAlignment="1">
      <alignment horizontal="center" vertical="center"/>
    </xf>
    <xf numFmtId="0" fontId="10" fillId="18" borderId="0" xfId="54"/>
    <xf numFmtId="0" fontId="33" fillId="17" borderId="4" xfId="53">
      <alignment horizontal="center" vertical="center"/>
      <protection locked="0"/>
    </xf>
    <xf numFmtId="165" fontId="33" fillId="3" borderId="4" xfId="14" applyFill="1">
      <alignment horizontal="right" vertical="center"/>
      <protection locked="0"/>
    </xf>
    <xf numFmtId="170" fontId="33" fillId="0" borderId="1" xfId="48" applyBorder="1">
      <alignment horizontal="center" vertical="center"/>
    </xf>
    <xf numFmtId="170" fontId="32" fillId="0" borderId="0" xfId="11" applyAlignment="1">
      <alignment horizontal="right" vertical="center"/>
    </xf>
    <xf numFmtId="0" fontId="39" fillId="0" borderId="0" xfId="35" applyAlignment="1">
      <alignment horizontal="right" vertical="center"/>
    </xf>
    <xf numFmtId="173" fontId="10" fillId="0" borderId="0" xfId="44">
      <alignment horizontal="center" vertical="center"/>
    </xf>
    <xf numFmtId="20" fontId="0" fillId="0" borderId="0" xfId="0" quotePrefix="1" applyNumberFormat="1"/>
    <xf numFmtId="170" fontId="32" fillId="0" borderId="17" xfId="11" applyBorder="1" applyAlignment="1">
      <alignment horizontal="right" vertical="center"/>
    </xf>
    <xf numFmtId="170" fontId="32" fillId="0" borderId="18" xfId="11" applyBorder="1" applyAlignment="1">
      <alignment horizontal="right" vertical="center"/>
    </xf>
    <xf numFmtId="0" fontId="41" fillId="0" borderId="0" xfId="57"/>
    <xf numFmtId="0" fontId="37" fillId="12" borderId="0" xfId="83">
      <alignment horizontal="left" vertical="center"/>
    </xf>
    <xf numFmtId="0" fontId="33" fillId="4" borderId="1" xfId="36" applyFill="1" applyBorder="1" applyAlignment="1">
      <alignment horizontal="center" vertical="center"/>
    </xf>
    <xf numFmtId="169" fontId="32" fillId="0" borderId="0" xfId="13" applyNumberFormat="1" applyAlignment="1">
      <alignment horizontal="center" vertical="center"/>
    </xf>
    <xf numFmtId="0" fontId="33" fillId="0" borderId="0" xfId="36" applyBorder="1" applyAlignment="1">
      <alignment horizontal="center" vertical="center"/>
    </xf>
    <xf numFmtId="0" fontId="46" fillId="21" borderId="0" xfId="0" applyFont="1" applyFill="1" applyAlignment="1">
      <alignment vertical="center"/>
    </xf>
    <xf numFmtId="0" fontId="47" fillId="21" borderId="0" xfId="0" applyFont="1" applyFill="1"/>
    <xf numFmtId="0" fontId="48" fillId="23" borderId="22" xfId="0" applyFont="1" applyFill="1" applyBorder="1" applyAlignment="1">
      <alignment horizontal="center" vertical="center" wrapText="1"/>
    </xf>
    <xf numFmtId="0" fontId="48" fillId="23" borderId="23" xfId="0" applyFont="1" applyFill="1" applyBorder="1" applyAlignment="1">
      <alignment horizontal="center" vertical="center" wrapText="1"/>
    </xf>
    <xf numFmtId="0" fontId="48" fillId="22" borderId="24" xfId="0" applyFont="1" applyFill="1" applyBorder="1" applyAlignment="1">
      <alignment horizontal="center" vertical="center" wrapText="1"/>
    </xf>
    <xf numFmtId="0" fontId="48" fillId="22" borderId="25" xfId="0" applyFont="1" applyFill="1" applyBorder="1" applyAlignment="1">
      <alignment horizontal="center" vertical="center" wrapText="1"/>
    </xf>
    <xf numFmtId="0" fontId="48" fillId="22" borderId="26" xfId="0" applyFont="1" applyFill="1" applyBorder="1" applyAlignment="1">
      <alignment horizontal="center" vertical="center" wrapText="1"/>
    </xf>
    <xf numFmtId="0" fontId="49" fillId="0" borderId="27" xfId="0" applyFont="1" applyBorder="1" applyAlignment="1">
      <alignment horizontal="right" vertical="center" indent="1"/>
    </xf>
    <xf numFmtId="175" fontId="50" fillId="24" borderId="29" xfId="85" applyBorder="1">
      <alignment horizontal="right"/>
      <protection locked="0"/>
    </xf>
    <xf numFmtId="175" fontId="50" fillId="24" borderId="30" xfId="85" applyBorder="1">
      <alignment horizontal="right"/>
      <protection locked="0"/>
    </xf>
    <xf numFmtId="175" fontId="50" fillId="24" borderId="31" xfId="85" applyBorder="1">
      <alignment horizontal="right"/>
      <protection locked="0"/>
    </xf>
    <xf numFmtId="0" fontId="49" fillId="0" borderId="32" xfId="0" applyFont="1" applyBorder="1" applyAlignment="1">
      <alignment horizontal="right" vertical="center" indent="1"/>
    </xf>
    <xf numFmtId="175" fontId="50" fillId="24" borderId="33" xfId="85" applyBorder="1">
      <alignment horizontal="right"/>
      <protection locked="0"/>
    </xf>
    <xf numFmtId="175" fontId="50" fillId="24" borderId="34" xfId="85" applyBorder="1">
      <alignment horizontal="right"/>
      <protection locked="0"/>
    </xf>
    <xf numFmtId="175" fontId="50" fillId="24" borderId="35" xfId="85" applyBorder="1">
      <alignment horizontal="right"/>
      <protection locked="0"/>
    </xf>
    <xf numFmtId="176" fontId="51" fillId="3" borderId="37" xfId="86" applyBorder="1">
      <alignment horizontal="right" vertical="center"/>
    </xf>
    <xf numFmtId="176" fontId="51" fillId="3" borderId="36" xfId="86" applyBorder="1">
      <alignment horizontal="right" vertical="center"/>
    </xf>
    <xf numFmtId="176" fontId="51" fillId="3" borderId="38" xfId="86" applyBorder="1">
      <alignment horizontal="right" vertical="center"/>
    </xf>
    <xf numFmtId="165" fontId="33" fillId="13" borderId="4" xfId="14">
      <alignment horizontal="right" vertical="center"/>
      <protection locked="0"/>
    </xf>
    <xf numFmtId="173" fontId="10" fillId="0" borderId="0" xfId="44" applyAlignment="1">
      <alignment horizontal="right" vertical="center"/>
    </xf>
    <xf numFmtId="165" fontId="33" fillId="13" borderId="39" xfId="14" applyBorder="1">
      <alignment horizontal="right" vertical="center"/>
      <protection locked="0"/>
    </xf>
    <xf numFmtId="165" fontId="33" fillId="13" borderId="40" xfId="14" applyBorder="1">
      <alignment horizontal="right" vertical="center"/>
      <protection locked="0"/>
    </xf>
    <xf numFmtId="165" fontId="32" fillId="0" borderId="4" xfId="13" applyFill="1" applyBorder="1">
      <alignment horizontal="right" vertical="center"/>
    </xf>
    <xf numFmtId="165" fontId="32" fillId="0" borderId="39" xfId="13" applyFill="1" applyBorder="1">
      <alignment horizontal="right" vertical="center"/>
    </xf>
    <xf numFmtId="165" fontId="32" fillId="0" borderId="40" xfId="13" applyFill="1" applyBorder="1">
      <alignment horizontal="right" vertical="center"/>
    </xf>
    <xf numFmtId="0" fontId="52" fillId="25" borderId="19" xfId="87" applyFont="1" applyFill="1" applyBorder="1" applyAlignment="1">
      <alignment horizontal="left" vertical="center" indent="2"/>
    </xf>
    <xf numFmtId="0" fontId="55" fillId="28" borderId="0" xfId="90" applyFont="1" applyProtection="1">
      <alignment vertical="center"/>
    </xf>
    <xf numFmtId="0" fontId="0" fillId="29" borderId="36" xfId="0" applyFill="1" applyBorder="1" applyAlignment="1">
      <alignment horizontal="right" vertical="center" wrapText="1"/>
    </xf>
    <xf numFmtId="0" fontId="56" fillId="29" borderId="36" xfId="0" applyFont="1" applyFill="1" applyBorder="1" applyAlignment="1">
      <alignment horizontal="right" vertical="center" wrapText="1"/>
    </xf>
    <xf numFmtId="0" fontId="0" fillId="29" borderId="44" xfId="0" applyFill="1" applyBorder="1" applyAlignment="1">
      <alignment horizontal="right" vertical="center" wrapText="1"/>
    </xf>
    <xf numFmtId="0" fontId="49" fillId="30" borderId="45" xfId="0" applyFont="1" applyFill="1" applyBorder="1" applyAlignment="1" applyProtection="1">
      <alignment horizontal="left"/>
      <protection locked="0"/>
    </xf>
    <xf numFmtId="0" fontId="49" fillId="30" borderId="51" xfId="0" applyFont="1" applyFill="1" applyBorder="1" applyAlignment="1" applyProtection="1">
      <alignment horizontal="left"/>
      <protection locked="0"/>
    </xf>
    <xf numFmtId="177" fontId="49" fillId="31" borderId="52" xfId="84" applyNumberFormat="1" applyFont="1" applyFill="1" applyBorder="1" applyAlignment="1" applyProtection="1">
      <alignment horizontal="right" vertical="center"/>
      <protection locked="0"/>
    </xf>
    <xf numFmtId="177" fontId="49" fillId="31" borderId="53" xfId="84" applyNumberFormat="1" applyFont="1" applyFill="1" applyBorder="1" applyAlignment="1" applyProtection="1">
      <alignment horizontal="right" vertical="center"/>
      <protection locked="0"/>
    </xf>
    <xf numFmtId="177" fontId="49" fillId="31" borderId="54" xfId="84" applyNumberFormat="1" applyFont="1" applyFill="1" applyBorder="1" applyAlignment="1" applyProtection="1">
      <alignment horizontal="right" vertical="center"/>
      <protection locked="0"/>
    </xf>
    <xf numFmtId="177" fontId="49" fillId="31" borderId="55" xfId="84" applyNumberFormat="1" applyFont="1" applyFill="1" applyBorder="1" applyAlignment="1" applyProtection="1">
      <alignment horizontal="right" vertical="center"/>
      <protection locked="0"/>
    </xf>
    <xf numFmtId="0" fontId="49" fillId="30" borderId="56" xfId="0" applyFont="1" applyFill="1" applyBorder="1" applyAlignment="1" applyProtection="1">
      <alignment horizontal="left"/>
      <protection locked="0"/>
    </xf>
    <xf numFmtId="177" fontId="49" fillId="31" borderId="57" xfId="84" applyNumberFormat="1" applyFont="1" applyFill="1" applyBorder="1" applyAlignment="1" applyProtection="1">
      <alignment horizontal="right" vertical="center"/>
      <protection locked="0"/>
    </xf>
    <xf numFmtId="177" fontId="49" fillId="31" borderId="58" xfId="84" applyNumberFormat="1" applyFont="1" applyFill="1" applyBorder="1" applyAlignment="1" applyProtection="1">
      <alignment horizontal="right" vertical="center"/>
      <protection locked="0"/>
    </xf>
    <xf numFmtId="177" fontId="49" fillId="31" borderId="59" xfId="84" applyNumberFormat="1" applyFont="1" applyFill="1" applyBorder="1" applyAlignment="1" applyProtection="1">
      <alignment horizontal="right" vertical="center"/>
      <protection locked="0"/>
    </xf>
    <xf numFmtId="177" fontId="49" fillId="31" borderId="60" xfId="84" applyNumberFormat="1" applyFont="1" applyFill="1" applyBorder="1" applyAlignment="1" applyProtection="1">
      <alignment horizontal="right" vertical="center"/>
      <protection locked="0"/>
    </xf>
    <xf numFmtId="0" fontId="49" fillId="30" borderId="61" xfId="0" applyFont="1" applyFill="1" applyBorder="1" applyAlignment="1" applyProtection="1">
      <alignment horizontal="left"/>
      <protection locked="0"/>
    </xf>
    <xf numFmtId="177" fontId="49" fillId="31" borderId="42" xfId="84" applyNumberFormat="1" applyFont="1" applyFill="1" applyBorder="1" applyAlignment="1" applyProtection="1">
      <alignment horizontal="right" vertical="center"/>
      <protection locked="0"/>
    </xf>
    <xf numFmtId="177" fontId="49" fillId="31" borderId="62" xfId="84" applyNumberFormat="1" applyFont="1" applyFill="1" applyBorder="1" applyAlignment="1" applyProtection="1">
      <alignment horizontal="right" vertical="center"/>
      <protection locked="0"/>
    </xf>
    <xf numFmtId="177" fontId="49" fillId="31" borderId="63" xfId="84" applyNumberFormat="1" applyFont="1" applyFill="1" applyBorder="1" applyAlignment="1" applyProtection="1">
      <alignment horizontal="right" vertical="center"/>
      <protection locked="0"/>
    </xf>
    <xf numFmtId="177" fontId="49" fillId="31" borderId="64" xfId="84" applyNumberFormat="1" applyFont="1" applyFill="1" applyBorder="1" applyAlignment="1" applyProtection="1">
      <alignment horizontal="right" vertical="center"/>
      <protection locked="0"/>
    </xf>
    <xf numFmtId="0" fontId="49" fillId="0" borderId="66" xfId="0" applyFont="1" applyBorder="1" applyAlignment="1">
      <alignment horizontal="right" vertical="center" indent="1"/>
    </xf>
    <xf numFmtId="179" fontId="49" fillId="31" borderId="68" xfId="0" applyNumberFormat="1" applyFont="1" applyFill="1" applyBorder="1" applyAlignment="1" applyProtection="1">
      <alignment horizontal="right" vertical="center"/>
      <protection locked="0"/>
    </xf>
    <xf numFmtId="179" fontId="49" fillId="31" borderId="67" xfId="0" applyNumberFormat="1" applyFont="1" applyFill="1" applyBorder="1" applyAlignment="1" applyProtection="1">
      <alignment horizontal="right" vertical="center"/>
      <protection locked="0"/>
    </xf>
    <xf numFmtId="179" fontId="49" fillId="31" borderId="47" xfId="0" applyNumberFormat="1" applyFont="1" applyFill="1" applyBorder="1" applyAlignment="1" applyProtection="1">
      <alignment horizontal="right" vertical="center"/>
      <protection locked="0"/>
    </xf>
    <xf numFmtId="0" fontId="49" fillId="0" borderId="45" xfId="0" applyFont="1" applyBorder="1" applyAlignment="1">
      <alignment horizontal="right" vertical="center" indent="1"/>
    </xf>
    <xf numFmtId="176" fontId="49" fillId="25" borderId="52" xfId="0" applyNumberFormat="1" applyFont="1" applyFill="1" applyBorder="1" applyAlignment="1" applyProtection="1">
      <alignment horizontal="right" vertical="center"/>
      <protection locked="0"/>
    </xf>
    <xf numFmtId="178" fontId="0" fillId="25" borderId="55" xfId="0" applyNumberFormat="1" applyFill="1" applyBorder="1" applyAlignment="1" applyProtection="1">
      <alignment horizontal="right" vertical="top" wrapText="1"/>
      <protection locked="0"/>
    </xf>
    <xf numFmtId="179" fontId="49" fillId="31" borderId="54" xfId="0" applyNumberFormat="1" applyFont="1" applyFill="1" applyBorder="1" applyAlignment="1" applyProtection="1">
      <alignment horizontal="right" vertical="center"/>
      <protection locked="0"/>
    </xf>
    <xf numFmtId="179" fontId="49" fillId="31" borderId="55" xfId="0" applyNumberFormat="1" applyFont="1" applyFill="1" applyBorder="1" applyAlignment="1" applyProtection="1">
      <alignment horizontal="right" vertical="center"/>
      <protection locked="0"/>
    </xf>
    <xf numFmtId="0" fontId="49" fillId="0" borderId="51" xfId="0" applyFont="1" applyBorder="1" applyAlignment="1">
      <alignment horizontal="right" vertical="center" indent="1"/>
    </xf>
    <xf numFmtId="178" fontId="0" fillId="25" borderId="53" xfId="0" applyNumberFormat="1" applyFill="1" applyBorder="1" applyAlignment="1" applyProtection="1">
      <alignment horizontal="right" vertical="top" wrapText="1"/>
      <protection locked="0"/>
    </xf>
    <xf numFmtId="0" fontId="49" fillId="0" borderId="56" xfId="0" applyFont="1" applyBorder="1" applyAlignment="1">
      <alignment horizontal="right" vertical="center" indent="1"/>
    </xf>
    <xf numFmtId="0" fontId="49" fillId="0" borderId="61" xfId="0" applyFont="1" applyBorder="1" applyAlignment="1">
      <alignment horizontal="right" vertical="center" indent="1"/>
    </xf>
    <xf numFmtId="179" fontId="49" fillId="31" borderId="63" xfId="0" applyNumberFormat="1" applyFont="1" applyFill="1" applyBorder="1" applyAlignment="1" applyProtection="1">
      <alignment horizontal="right" vertical="center"/>
      <protection locked="0"/>
    </xf>
    <xf numFmtId="179" fontId="49" fillId="31" borderId="64" xfId="0" applyNumberFormat="1" applyFont="1" applyFill="1" applyBorder="1" applyAlignment="1" applyProtection="1">
      <alignment horizontal="right" vertical="center"/>
      <protection locked="0"/>
    </xf>
    <xf numFmtId="179" fontId="49" fillId="31" borderId="62" xfId="0" applyNumberFormat="1" applyFont="1" applyFill="1" applyBorder="1" applyAlignment="1" applyProtection="1">
      <alignment horizontal="right" vertical="center"/>
      <protection locked="0"/>
    </xf>
    <xf numFmtId="0" fontId="48" fillId="23" borderId="43" xfId="0" applyFont="1" applyFill="1" applyBorder="1" applyAlignment="1">
      <alignment horizontal="center" vertical="center" wrapText="1"/>
    </xf>
    <xf numFmtId="0" fontId="48" fillId="23" borderId="36" xfId="0" applyFont="1" applyFill="1" applyBorder="1" applyAlignment="1">
      <alignment horizontal="center" vertical="center" wrapText="1"/>
    </xf>
    <xf numFmtId="0" fontId="48" fillId="23" borderId="38" xfId="0" applyFont="1" applyFill="1" applyBorder="1" applyAlignment="1">
      <alignment horizontal="center" vertical="center" wrapText="1"/>
    </xf>
    <xf numFmtId="0" fontId="49" fillId="30" borderId="69" xfId="0" applyFont="1" applyFill="1" applyBorder="1" applyAlignment="1" applyProtection="1">
      <alignment horizontal="left" vertical="center"/>
      <protection locked="0"/>
    </xf>
    <xf numFmtId="0" fontId="49" fillId="30" borderId="70" xfId="0" applyFont="1" applyFill="1" applyBorder="1" applyAlignment="1" applyProtection="1">
      <alignment vertical="top" wrapText="1"/>
      <protection locked="0"/>
    </xf>
    <xf numFmtId="0" fontId="49" fillId="30" borderId="70" xfId="0" applyFont="1" applyFill="1" applyBorder="1" applyAlignment="1" applyProtection="1">
      <alignment horizontal="left" vertical="center"/>
      <protection locked="0"/>
    </xf>
    <xf numFmtId="0" fontId="49" fillId="30" borderId="71" xfId="0" applyFont="1" applyFill="1" applyBorder="1" applyAlignment="1" applyProtection="1">
      <alignment horizontal="left" vertical="center"/>
      <protection locked="0"/>
    </xf>
    <xf numFmtId="0" fontId="32" fillId="0" borderId="27" xfId="37" applyBorder="1">
      <alignment vertical="center"/>
    </xf>
    <xf numFmtId="0" fontId="32" fillId="0" borderId="32" xfId="37" applyBorder="1">
      <alignment vertical="center"/>
    </xf>
    <xf numFmtId="0" fontId="32" fillId="0" borderId="72" xfId="37" applyBorder="1">
      <alignment vertical="center"/>
    </xf>
    <xf numFmtId="175" fontId="50" fillId="24" borderId="73" xfId="85" applyBorder="1">
      <alignment horizontal="right"/>
      <protection locked="0"/>
    </xf>
    <xf numFmtId="175" fontId="50" fillId="24" borderId="74" xfId="85" applyBorder="1">
      <alignment horizontal="right"/>
      <protection locked="0"/>
    </xf>
    <xf numFmtId="175" fontId="50" fillId="24" borderId="75" xfId="85" applyBorder="1">
      <alignment horizontal="right"/>
      <protection locked="0"/>
    </xf>
    <xf numFmtId="175" fontId="50" fillId="24" borderId="76" xfId="85" applyBorder="1">
      <alignment horizontal="right"/>
      <protection locked="0"/>
    </xf>
    <xf numFmtId="0" fontId="58" fillId="32" borderId="43" xfId="91" applyBorder="1">
      <alignment vertical="center"/>
    </xf>
    <xf numFmtId="0" fontId="58" fillId="32" borderId="36" xfId="91" applyBorder="1">
      <alignment vertical="center"/>
    </xf>
    <xf numFmtId="0" fontId="39" fillId="0" borderId="2" xfId="35" applyBorder="1">
      <alignment horizontal="left" vertical="center"/>
    </xf>
    <xf numFmtId="0" fontId="39" fillId="0" borderId="2" xfId="35" applyBorder="1" applyAlignment="1">
      <alignment horizontal="center" vertical="center" wrapText="1"/>
    </xf>
    <xf numFmtId="0" fontId="39" fillId="0" borderId="77" xfId="35" applyBorder="1" applyAlignment="1">
      <alignment horizontal="center" vertical="center" wrapText="1"/>
    </xf>
    <xf numFmtId="0" fontId="39" fillId="0" borderId="78" xfId="35" applyBorder="1" applyAlignment="1">
      <alignment horizontal="center" vertical="center" wrapText="1"/>
    </xf>
    <xf numFmtId="169" fontId="33" fillId="0" borderId="0" xfId="47" applyNumberFormat="1" applyAlignment="1">
      <alignment horizontal="center" vertical="center"/>
    </xf>
    <xf numFmtId="0" fontId="32" fillId="0" borderId="0" xfId="37" applyFill="1" applyAlignment="1">
      <alignment horizontal="center" vertical="center"/>
    </xf>
    <xf numFmtId="180" fontId="33" fillId="13" borderId="4" xfId="16" applyNumberFormat="1" applyAlignment="1">
      <alignment horizontal="center" vertical="center"/>
      <protection locked="0"/>
    </xf>
    <xf numFmtId="181" fontId="33" fillId="0" borderId="0" xfId="13" applyNumberFormat="1" applyFont="1" applyFill="1" applyAlignment="1">
      <alignment horizontal="center" vertical="center"/>
    </xf>
    <xf numFmtId="181" fontId="32" fillId="0" borderId="0" xfId="13" applyNumberFormat="1" applyFill="1" applyAlignment="1">
      <alignment horizontal="center" vertical="center"/>
    </xf>
    <xf numFmtId="0" fontId="32" fillId="17" borderId="79" xfId="37" applyFill="1" applyBorder="1" applyAlignment="1">
      <alignment horizontal="center" vertical="center"/>
    </xf>
    <xf numFmtId="0" fontId="32" fillId="17" borderId="4" xfId="37" applyFill="1" applyBorder="1" applyAlignment="1">
      <alignment horizontal="center" vertical="center"/>
    </xf>
    <xf numFmtId="182" fontId="41" fillId="0" borderId="0" xfId="57" applyNumberFormat="1"/>
    <xf numFmtId="169" fontId="33" fillId="13" borderId="4" xfId="14" applyNumberFormat="1">
      <alignment horizontal="right" vertical="center"/>
      <protection locked="0"/>
    </xf>
    <xf numFmtId="169" fontId="33" fillId="13" borderId="39" xfId="14" applyNumberFormat="1" applyBorder="1">
      <alignment horizontal="right" vertical="center"/>
      <protection locked="0"/>
    </xf>
    <xf numFmtId="169" fontId="33" fillId="13" borderId="40" xfId="14" applyNumberFormat="1" applyBorder="1">
      <alignment horizontal="right" vertical="center"/>
      <protection locked="0"/>
    </xf>
    <xf numFmtId="169" fontId="32" fillId="0" borderId="4" xfId="13" applyNumberFormat="1" applyFill="1" applyBorder="1">
      <alignment horizontal="right" vertical="center"/>
    </xf>
    <xf numFmtId="169" fontId="32" fillId="0" borderId="39" xfId="13" applyNumberFormat="1" applyFill="1" applyBorder="1">
      <alignment horizontal="right" vertical="center"/>
    </xf>
    <xf numFmtId="169" fontId="32" fillId="0" borderId="40" xfId="13" applyNumberFormat="1" applyFill="1" applyBorder="1">
      <alignment horizontal="right" vertical="center"/>
    </xf>
    <xf numFmtId="0" fontId="48" fillId="29" borderId="43" xfId="0" applyFont="1" applyFill="1" applyBorder="1" applyAlignment="1">
      <alignment horizontal="left" vertical="center" wrapText="1"/>
    </xf>
    <xf numFmtId="10" fontId="49" fillId="31" borderId="46" xfId="84" applyNumberFormat="1" applyFont="1" applyFill="1" applyBorder="1" applyAlignment="1" applyProtection="1">
      <alignment horizontal="right" vertical="center"/>
      <protection locked="0"/>
    </xf>
    <xf numFmtId="10" fontId="49" fillId="31" borderId="47" xfId="84" applyNumberFormat="1" applyFont="1" applyFill="1" applyBorder="1" applyAlignment="1" applyProtection="1">
      <alignment horizontal="right" vertical="center"/>
      <protection locked="0"/>
    </xf>
    <xf numFmtId="10" fontId="49" fillId="31" borderId="48" xfId="84" applyNumberFormat="1" applyFont="1" applyFill="1" applyBorder="1" applyAlignment="1" applyProtection="1">
      <alignment horizontal="right" vertical="center"/>
      <protection locked="0"/>
    </xf>
    <xf numFmtId="10" fontId="49" fillId="31" borderId="49" xfId="84" applyNumberFormat="1" applyFont="1" applyFill="1" applyBorder="1" applyAlignment="1" applyProtection="1">
      <alignment horizontal="right" vertical="center"/>
      <protection locked="0"/>
    </xf>
    <xf numFmtId="10" fontId="49" fillId="31" borderId="50" xfId="84" applyNumberFormat="1" applyFont="1" applyFill="1" applyBorder="1" applyAlignment="1" applyProtection="1">
      <alignment horizontal="right" vertical="center"/>
      <protection locked="0"/>
    </xf>
    <xf numFmtId="10" fontId="49" fillId="31" borderId="52" xfId="84" applyNumberFormat="1" applyFont="1" applyFill="1" applyBorder="1" applyAlignment="1" applyProtection="1">
      <alignment horizontal="right" vertical="center"/>
      <protection locked="0"/>
    </xf>
    <xf numFmtId="10" fontId="49" fillId="31" borderId="53" xfId="84" applyNumberFormat="1" applyFont="1" applyFill="1" applyBorder="1" applyAlignment="1" applyProtection="1">
      <alignment horizontal="right" vertical="center"/>
      <protection locked="0"/>
    </xf>
    <xf numFmtId="10" fontId="49" fillId="31" borderId="54" xfId="84" applyNumberFormat="1" applyFont="1" applyFill="1" applyBorder="1" applyAlignment="1" applyProtection="1">
      <alignment horizontal="right" vertical="center"/>
      <protection locked="0"/>
    </xf>
    <xf numFmtId="10" fontId="49" fillId="31" borderId="55" xfId="84" applyNumberFormat="1" applyFont="1" applyFill="1" applyBorder="1" applyAlignment="1" applyProtection="1">
      <alignment horizontal="right" vertical="center"/>
      <protection locked="0"/>
    </xf>
    <xf numFmtId="0" fontId="49" fillId="0" borderId="81" xfId="0" applyFont="1" applyBorder="1" applyAlignment="1">
      <alignment horizontal="right" vertical="center" indent="1"/>
    </xf>
    <xf numFmtId="0" fontId="49" fillId="0" borderId="82" xfId="0" applyFont="1" applyBorder="1" applyAlignment="1">
      <alignment horizontal="right" vertical="center" indent="1"/>
    </xf>
    <xf numFmtId="0" fontId="49" fillId="0" borderId="83" xfId="0" applyFont="1" applyBorder="1" applyAlignment="1">
      <alignment horizontal="right" vertical="center" indent="1"/>
    </xf>
    <xf numFmtId="179" fontId="49" fillId="31" borderId="41" xfId="0" applyNumberFormat="1" applyFont="1" applyFill="1" applyBorder="1" applyAlignment="1" applyProtection="1">
      <alignment horizontal="right" vertical="center"/>
      <protection locked="0"/>
    </xf>
    <xf numFmtId="179" fontId="49" fillId="31" borderId="84" xfId="0" applyNumberFormat="1" applyFont="1" applyFill="1" applyBorder="1" applyAlignment="1" applyProtection="1">
      <alignment horizontal="right" vertical="center"/>
      <protection locked="0"/>
    </xf>
    <xf numFmtId="179" fontId="49" fillId="31" borderId="85" xfId="0" applyNumberFormat="1" applyFont="1" applyFill="1" applyBorder="1" applyAlignment="1" applyProtection="1">
      <alignment horizontal="right" vertical="center"/>
      <protection locked="0"/>
    </xf>
    <xf numFmtId="179" fontId="49" fillId="31" borderId="42" xfId="0" applyNumberFormat="1" applyFont="1" applyFill="1" applyBorder="1" applyAlignment="1" applyProtection="1">
      <alignment horizontal="right" vertical="center"/>
      <protection locked="0"/>
    </xf>
    <xf numFmtId="179" fontId="49" fillId="31" borderId="86" xfId="0" applyNumberFormat="1" applyFont="1" applyFill="1" applyBorder="1" applyAlignment="1" applyProtection="1">
      <alignment horizontal="right" vertical="center"/>
      <protection locked="0"/>
    </xf>
    <xf numFmtId="0" fontId="41" fillId="18" borderId="19" xfId="57" applyFill="1" applyBorder="1"/>
    <xf numFmtId="0" fontId="41" fillId="18" borderId="20" xfId="57" applyFill="1" applyBorder="1"/>
    <xf numFmtId="180" fontId="33" fillId="13" borderId="87" xfId="16" applyNumberFormat="1" applyBorder="1">
      <alignment horizontal="right" vertical="center"/>
      <protection locked="0"/>
    </xf>
    <xf numFmtId="180" fontId="33" fillId="13" borderId="88" xfId="16" applyNumberFormat="1" applyBorder="1">
      <alignment horizontal="right" vertical="center"/>
      <protection locked="0"/>
    </xf>
    <xf numFmtId="0" fontId="41" fillId="18" borderId="89" xfId="57" applyFill="1" applyBorder="1"/>
    <xf numFmtId="0" fontId="41" fillId="18" borderId="0" xfId="57" applyFill="1" applyBorder="1"/>
    <xf numFmtId="180" fontId="33" fillId="13" borderId="4" xfId="16" applyNumberFormat="1" applyBorder="1">
      <alignment horizontal="right" vertical="center"/>
      <protection locked="0"/>
    </xf>
    <xf numFmtId="180" fontId="33" fillId="13" borderId="90" xfId="16" applyNumberFormat="1" applyBorder="1">
      <alignment horizontal="right" vertical="center"/>
      <protection locked="0"/>
    </xf>
    <xf numFmtId="0" fontId="41" fillId="18" borderId="91" xfId="57" applyFill="1" applyBorder="1"/>
    <xf numFmtId="0" fontId="41" fillId="18" borderId="92" xfId="57" applyFill="1" applyBorder="1"/>
    <xf numFmtId="180" fontId="33" fillId="13" borderId="93" xfId="16" applyNumberFormat="1" applyBorder="1">
      <alignment horizontal="right" vertical="center"/>
      <protection locked="0"/>
    </xf>
    <xf numFmtId="180" fontId="33" fillId="13" borderId="94" xfId="16" applyNumberFormat="1" applyBorder="1">
      <alignment horizontal="right" vertical="center"/>
      <protection locked="0"/>
    </xf>
    <xf numFmtId="181" fontId="33" fillId="13" borderId="87" xfId="14" applyNumberFormat="1" applyBorder="1">
      <alignment horizontal="right" vertical="center"/>
      <protection locked="0"/>
    </xf>
    <xf numFmtId="181" fontId="32" fillId="0" borderId="20" xfId="13" applyNumberFormat="1" applyBorder="1">
      <alignment horizontal="right" vertical="center"/>
    </xf>
    <xf numFmtId="181" fontId="32" fillId="0" borderId="21" xfId="13" applyNumberFormat="1" applyBorder="1">
      <alignment horizontal="right" vertical="center"/>
    </xf>
    <xf numFmtId="181" fontId="33" fillId="13" borderId="4" xfId="14" applyNumberFormat="1" applyBorder="1">
      <alignment horizontal="right" vertical="center"/>
      <protection locked="0"/>
    </xf>
    <xf numFmtId="181" fontId="32" fillId="0" borderId="0" xfId="13" applyNumberFormat="1" applyBorder="1">
      <alignment horizontal="right" vertical="center"/>
    </xf>
    <xf numFmtId="181" fontId="32" fillId="0" borderId="95" xfId="13" applyNumberFormat="1" applyBorder="1">
      <alignment horizontal="right" vertical="center"/>
    </xf>
    <xf numFmtId="181" fontId="33" fillId="13" borderId="93" xfId="14" applyNumberFormat="1" applyBorder="1">
      <alignment horizontal="right" vertical="center"/>
      <protection locked="0"/>
    </xf>
    <xf numFmtId="181" fontId="32" fillId="0" borderId="92" xfId="13" applyNumberFormat="1" applyBorder="1">
      <alignment horizontal="right" vertical="center"/>
    </xf>
    <xf numFmtId="181" fontId="32" fillId="0" borderId="96" xfId="13" applyNumberFormat="1" applyBorder="1">
      <alignment horizontal="right" vertical="center"/>
    </xf>
    <xf numFmtId="0" fontId="48" fillId="22" borderId="80" xfId="0" applyFont="1" applyFill="1" applyBorder="1" applyAlignment="1">
      <alignment horizontal="center" vertical="center" wrapText="1"/>
    </xf>
    <xf numFmtId="0" fontId="48" fillId="22" borderId="99" xfId="0" applyFont="1" applyFill="1" applyBorder="1" applyAlignment="1">
      <alignment horizontal="center" vertical="center" wrapText="1"/>
    </xf>
    <xf numFmtId="167" fontId="32" fillId="0" borderId="97" xfId="15" applyBorder="1">
      <alignment horizontal="right" vertical="center"/>
    </xf>
    <xf numFmtId="167" fontId="32" fillId="0" borderId="98" xfId="15" applyBorder="1">
      <alignment horizontal="right" vertical="center"/>
    </xf>
    <xf numFmtId="176" fontId="51" fillId="3" borderId="43" xfId="86" applyBorder="1">
      <alignment horizontal="right" vertical="center"/>
    </xf>
    <xf numFmtId="175" fontId="50" fillId="24" borderId="69" xfId="85" applyBorder="1">
      <alignment horizontal="right"/>
      <protection locked="0"/>
    </xf>
    <xf numFmtId="175" fontId="50" fillId="24" borderId="70" xfId="85" applyBorder="1">
      <alignment horizontal="right"/>
      <protection locked="0"/>
    </xf>
    <xf numFmtId="175" fontId="50" fillId="24" borderId="100" xfId="85" applyBorder="1">
      <alignment horizontal="right"/>
      <protection locked="0"/>
    </xf>
    <xf numFmtId="175" fontId="50" fillId="24" borderId="101" xfId="85" applyBorder="1">
      <alignment horizontal="right"/>
      <protection locked="0"/>
    </xf>
    <xf numFmtId="175" fontId="50" fillId="24" borderId="102" xfId="85" applyBorder="1">
      <alignment horizontal="right"/>
      <protection locked="0"/>
    </xf>
    <xf numFmtId="169" fontId="32" fillId="0" borderId="73" xfId="13" applyNumberFormat="1" applyFill="1" applyBorder="1">
      <alignment horizontal="right" vertical="center"/>
    </xf>
    <xf numFmtId="169" fontId="32" fillId="0" borderId="74" xfId="13" applyNumberFormat="1" applyFill="1" applyBorder="1">
      <alignment horizontal="right" vertical="center"/>
    </xf>
    <xf numFmtId="169" fontId="33" fillId="13" borderId="103" xfId="14" applyNumberFormat="1" applyBorder="1">
      <alignment horizontal="right" vertical="center"/>
      <protection locked="0"/>
    </xf>
    <xf numFmtId="169" fontId="33" fillId="13" borderId="87" xfId="14" applyNumberFormat="1" applyBorder="1">
      <alignment horizontal="right" vertical="center"/>
      <protection locked="0"/>
    </xf>
    <xf numFmtId="169" fontId="33" fillId="13" borderId="104" xfId="14" applyNumberFormat="1" applyBorder="1">
      <alignment horizontal="right" vertical="center"/>
      <protection locked="0"/>
    </xf>
    <xf numFmtId="169" fontId="33" fillId="13" borderId="4" xfId="14" applyNumberFormat="1" applyBorder="1">
      <alignment horizontal="right" vertical="center"/>
      <protection locked="0"/>
    </xf>
    <xf numFmtId="169" fontId="33" fillId="13" borderId="105" xfId="14" applyNumberFormat="1" applyBorder="1">
      <alignment horizontal="right" vertical="center"/>
      <protection locked="0"/>
    </xf>
    <xf numFmtId="169" fontId="33" fillId="13" borderId="93" xfId="14" applyNumberFormat="1" applyBorder="1">
      <alignment horizontal="right" vertical="center"/>
      <protection locked="0"/>
    </xf>
    <xf numFmtId="169" fontId="32" fillId="0" borderId="76" xfId="13" applyNumberFormat="1" applyFill="1" applyBorder="1">
      <alignment horizontal="right" vertical="center"/>
    </xf>
    <xf numFmtId="0" fontId="32" fillId="0" borderId="66" xfId="37" applyBorder="1">
      <alignment vertical="center"/>
    </xf>
    <xf numFmtId="0" fontId="32" fillId="0" borderId="51" xfId="37" applyBorder="1">
      <alignment vertical="center"/>
    </xf>
    <xf numFmtId="0" fontId="32" fillId="0" borderId="61" xfId="37" applyBorder="1">
      <alignment vertical="center"/>
    </xf>
    <xf numFmtId="169" fontId="32" fillId="0" borderId="106" xfId="13" applyNumberFormat="1" applyFill="1" applyBorder="1">
      <alignment horizontal="right" vertical="center"/>
    </xf>
    <xf numFmtId="169" fontId="32" fillId="0" borderId="107" xfId="13" applyNumberFormat="1" applyFill="1" applyBorder="1">
      <alignment horizontal="right" vertical="center"/>
    </xf>
    <xf numFmtId="167" fontId="32" fillId="0" borderId="108" xfId="15" applyBorder="1">
      <alignment horizontal="right" vertical="center"/>
    </xf>
    <xf numFmtId="169" fontId="33" fillId="13" borderId="88" xfId="14" applyNumberFormat="1" applyBorder="1">
      <alignment horizontal="right" vertical="center"/>
      <protection locked="0"/>
    </xf>
    <xf numFmtId="169" fontId="33" fillId="13" borderId="90" xfId="14" applyNumberFormat="1" applyBorder="1">
      <alignment horizontal="right" vertical="center"/>
      <protection locked="0"/>
    </xf>
    <xf numFmtId="0" fontId="59" fillId="27" borderId="92" xfId="0" applyFont="1" applyFill="1" applyBorder="1" applyAlignment="1">
      <alignment horizontal="center"/>
    </xf>
    <xf numFmtId="0" fontId="59" fillId="27" borderId="96" xfId="0" applyFont="1" applyFill="1" applyBorder="1" applyAlignment="1">
      <alignment horizontal="center"/>
    </xf>
    <xf numFmtId="0" fontId="49" fillId="27" borderId="89" xfId="0" applyFont="1" applyFill="1" applyBorder="1" applyAlignment="1">
      <alignment horizontal="left" vertical="center" indent="1"/>
    </xf>
    <xf numFmtId="0" fontId="49" fillId="27" borderId="91" xfId="0" applyFont="1" applyFill="1" applyBorder="1" applyAlignment="1">
      <alignment horizontal="left" vertical="center" indent="1"/>
    </xf>
    <xf numFmtId="0" fontId="49" fillId="27" borderId="19" xfId="0" applyFont="1" applyFill="1" applyBorder="1" applyAlignment="1">
      <alignment horizontal="left" vertical="center" wrapText="1" indent="1"/>
    </xf>
    <xf numFmtId="0" fontId="49" fillId="27" borderId="89" xfId="0" applyFont="1" applyFill="1" applyBorder="1" applyAlignment="1">
      <alignment horizontal="left" vertical="center" wrapText="1" indent="1"/>
    </xf>
    <xf numFmtId="49" fontId="49" fillId="31" borderId="19" xfId="0" applyNumberFormat="1" applyFont="1" applyFill="1" applyBorder="1" applyAlignment="1" applyProtection="1">
      <alignment horizontal="left" vertical="center" wrapText="1" indent="1"/>
      <protection locked="0"/>
    </xf>
    <xf numFmtId="0" fontId="49" fillId="27" borderId="110" xfId="0" applyFont="1" applyFill="1" applyBorder="1" applyAlignment="1">
      <alignment horizontal="left" vertical="center" indent="1"/>
    </xf>
    <xf numFmtId="0" fontId="49" fillId="27" borderId="111" xfId="0" applyFont="1" applyFill="1" applyBorder="1" applyAlignment="1">
      <alignment horizontal="left" vertical="center" indent="1"/>
    </xf>
    <xf numFmtId="0" fontId="49" fillId="27" borderId="112" xfId="0" applyFont="1" applyFill="1" applyBorder="1" applyAlignment="1">
      <alignment horizontal="left" indent="1"/>
    </xf>
    <xf numFmtId="0" fontId="48" fillId="25" borderId="19" xfId="0" applyFont="1" applyFill="1" applyBorder="1"/>
    <xf numFmtId="0" fontId="49" fillId="0" borderId="51" xfId="0" applyFont="1" applyBorder="1" applyAlignment="1">
      <alignment horizontal="left" vertical="center"/>
    </xf>
    <xf numFmtId="0" fontId="49" fillId="0" borderId="61" xfId="0" applyFont="1" applyBorder="1" applyAlignment="1">
      <alignment horizontal="left" vertical="center"/>
    </xf>
    <xf numFmtId="49" fontId="49" fillId="0" borderId="66" xfId="0" applyNumberFormat="1" applyFont="1" applyBorder="1" applyAlignment="1">
      <alignment horizontal="left" vertical="center"/>
    </xf>
    <xf numFmtId="176" fontId="51" fillId="3" borderId="20" xfId="86" applyBorder="1">
      <alignment horizontal="right" vertical="center"/>
    </xf>
    <xf numFmtId="0" fontId="49" fillId="27" borderId="80" xfId="0" applyFont="1" applyFill="1" applyBorder="1" applyAlignment="1">
      <alignment horizontal="left" vertical="center" indent="1"/>
    </xf>
    <xf numFmtId="0" fontId="49" fillId="27" borderId="89" xfId="0" applyFont="1" applyFill="1" applyBorder="1" applyAlignment="1">
      <alignment horizontal="left" indent="1"/>
    </xf>
    <xf numFmtId="0" fontId="49" fillId="27" borderId="43" xfId="0" applyFont="1" applyFill="1" applyBorder="1" applyAlignment="1">
      <alignment horizontal="left" vertical="center" indent="1"/>
    </xf>
    <xf numFmtId="0" fontId="49" fillId="30" borderId="114" xfId="0" applyFont="1" applyFill="1" applyBorder="1" applyAlignment="1" applyProtection="1">
      <alignment horizontal="left" vertical="center" indent="1"/>
      <protection locked="0"/>
    </xf>
    <xf numFmtId="0" fontId="49" fillId="30" borderId="115" xfId="0" applyFont="1" applyFill="1" applyBorder="1" applyAlignment="1" applyProtection="1">
      <alignment horizontal="left" vertical="top" wrapText="1" indent="1"/>
      <protection locked="0"/>
    </xf>
    <xf numFmtId="0" fontId="49" fillId="30" borderId="115" xfId="0" applyFont="1" applyFill="1" applyBorder="1" applyAlignment="1" applyProtection="1">
      <alignment horizontal="left" vertical="center" indent="1"/>
      <protection locked="0"/>
    </xf>
    <xf numFmtId="0" fontId="49" fillId="30" borderId="116" xfId="0" applyFont="1" applyFill="1" applyBorder="1" applyAlignment="1" applyProtection="1">
      <alignment horizontal="left" vertical="center" indent="1"/>
      <protection locked="0"/>
    </xf>
    <xf numFmtId="0" fontId="49" fillId="27" borderId="19" xfId="0" applyFont="1" applyFill="1" applyBorder="1" applyAlignment="1">
      <alignment horizontal="left" vertical="center" indent="1"/>
    </xf>
    <xf numFmtId="169" fontId="32" fillId="0" borderId="0" xfId="13" applyNumberFormat="1" applyFill="1" applyBorder="1">
      <alignment horizontal="right" vertical="center"/>
    </xf>
    <xf numFmtId="0" fontId="60" fillId="25" borderId="108" xfId="0" applyFont="1" applyFill="1" applyBorder="1" applyAlignment="1">
      <alignment horizontal="left" vertical="center" wrapText="1"/>
    </xf>
    <xf numFmtId="0" fontId="60" fillId="25" borderId="43" xfId="0" applyFont="1" applyFill="1" applyBorder="1" applyAlignment="1">
      <alignment horizontal="left" vertical="center" wrapText="1"/>
    </xf>
    <xf numFmtId="0" fontId="60" fillId="25" borderId="36" xfId="0" applyFont="1" applyFill="1" applyBorder="1" applyAlignment="1">
      <alignment horizontal="left" vertical="center" wrapText="1"/>
    </xf>
    <xf numFmtId="0" fontId="60" fillId="25" borderId="38" xfId="0" applyFont="1" applyFill="1" applyBorder="1" applyAlignment="1">
      <alignment horizontal="left" vertical="center" wrapText="1"/>
    </xf>
    <xf numFmtId="0" fontId="32" fillId="0" borderId="32" xfId="37" applyBorder="1" applyAlignment="1">
      <alignment horizontal="left" vertical="center" indent="1"/>
    </xf>
    <xf numFmtId="0" fontId="32" fillId="0" borderId="27" xfId="37" applyBorder="1" applyAlignment="1">
      <alignment vertical="center"/>
    </xf>
    <xf numFmtId="0" fontId="32" fillId="0" borderId="32" xfId="37" applyBorder="1" applyAlignment="1">
      <alignment horizontal="left" vertical="center"/>
    </xf>
    <xf numFmtId="0" fontId="32" fillId="0" borderId="72" xfId="37" applyBorder="1" applyAlignment="1">
      <alignment vertical="center"/>
    </xf>
    <xf numFmtId="0" fontId="32" fillId="0" borderId="72" xfId="37" applyBorder="1" applyAlignment="1">
      <alignment horizontal="left" vertical="center"/>
    </xf>
    <xf numFmtId="0" fontId="48" fillId="22" borderId="22" xfId="0" applyFont="1" applyFill="1" applyBorder="1" applyAlignment="1">
      <alignment horizontal="center" vertical="center" wrapText="1"/>
    </xf>
    <xf numFmtId="0" fontId="47" fillId="21" borderId="0" xfId="93" applyFont="1">
      <alignment vertical="center"/>
      <protection locked="0"/>
    </xf>
    <xf numFmtId="0" fontId="62" fillId="21" borderId="0" xfId="93" applyFont="1">
      <alignment vertical="center"/>
      <protection locked="0"/>
    </xf>
    <xf numFmtId="0" fontId="61" fillId="21" borderId="0" xfId="93">
      <alignment vertical="center"/>
      <protection locked="0"/>
    </xf>
    <xf numFmtId="0" fontId="61" fillId="21" borderId="0" xfId="93" applyProtection="1">
      <alignment vertical="center"/>
    </xf>
    <xf numFmtId="0" fontId="48" fillId="27" borderId="0" xfId="57" applyFont="1" applyFill="1" applyAlignment="1">
      <alignment horizontal="left" vertical="center" wrapText="1"/>
    </xf>
    <xf numFmtId="0" fontId="63" fillId="33" borderId="43" xfId="57" applyFont="1" applyFill="1" applyBorder="1"/>
    <xf numFmtId="0" fontId="63" fillId="33" borderId="36" xfId="57" applyFont="1" applyFill="1" applyBorder="1"/>
    <xf numFmtId="0" fontId="63" fillId="33" borderId="38" xfId="57" applyFont="1" applyFill="1" applyBorder="1"/>
    <xf numFmtId="0" fontId="0" fillId="0" borderId="38" xfId="0" applyBorder="1"/>
    <xf numFmtId="0" fontId="64" fillId="34" borderId="98" xfId="57" applyFont="1" applyFill="1" applyBorder="1" applyAlignment="1">
      <alignment horizontal="center" vertical="center" wrapText="1"/>
    </xf>
    <xf numFmtId="0" fontId="65" fillId="27" borderId="0" xfId="57" applyFont="1" applyFill="1" applyAlignment="1">
      <alignment horizontal="center" vertical="center"/>
    </xf>
    <xf numFmtId="0" fontId="44" fillId="34" borderId="43" xfId="57" applyFont="1" applyFill="1" applyBorder="1" applyAlignment="1">
      <alignment vertical="center"/>
    </xf>
    <xf numFmtId="0" fontId="44" fillId="34" borderId="36" xfId="57" applyFont="1" applyFill="1" applyBorder="1" applyAlignment="1">
      <alignment vertical="center"/>
    </xf>
    <xf numFmtId="0" fontId="65" fillId="34" borderId="38" xfId="57" applyFont="1" applyFill="1" applyBorder="1" applyAlignment="1">
      <alignment vertical="center"/>
    </xf>
    <xf numFmtId="0" fontId="65" fillId="27" borderId="0" xfId="57" applyFont="1" applyFill="1"/>
    <xf numFmtId="0" fontId="65" fillId="35" borderId="117" xfId="0" applyFont="1" applyFill="1" applyBorder="1"/>
    <xf numFmtId="0" fontId="44" fillId="35" borderId="3" xfId="0" applyFont="1" applyFill="1" applyBorder="1" applyAlignment="1">
      <alignment horizontal="center" vertical="center"/>
    </xf>
    <xf numFmtId="0" fontId="64" fillId="35" borderId="108" xfId="57" applyFont="1" applyFill="1" applyBorder="1" applyAlignment="1">
      <alignment horizontal="center" vertical="center" wrapText="1"/>
    </xf>
    <xf numFmtId="0" fontId="65" fillId="35" borderId="89" xfId="0" applyFont="1" applyFill="1" applyBorder="1"/>
    <xf numFmtId="0" fontId="44" fillId="35" borderId="0" xfId="0" applyFont="1" applyFill="1" applyAlignment="1">
      <alignment horizontal="center" vertical="center"/>
    </xf>
    <xf numFmtId="0" fontId="64" fillId="35" borderId="98" xfId="57" applyFont="1" applyFill="1" applyBorder="1" applyAlignment="1">
      <alignment horizontal="center" vertical="center" wrapText="1"/>
    </xf>
    <xf numFmtId="0" fontId="49" fillId="0" borderId="19" xfId="57" applyFont="1" applyBorder="1" applyAlignment="1">
      <alignment horizontal="left" vertical="center" wrapText="1"/>
    </xf>
    <xf numFmtId="49" fontId="49" fillId="0" borderId="20" xfId="57" applyNumberFormat="1" applyFont="1" applyBorder="1" applyAlignment="1">
      <alignment horizontal="left" vertical="center" wrapText="1"/>
    </xf>
    <xf numFmtId="38" fontId="49" fillId="31" borderId="81" xfId="84" applyNumberFormat="1" applyFont="1" applyFill="1" applyBorder="1" applyAlignment="1" applyProtection="1">
      <alignment horizontal="right" vertical="center" wrapText="1" indent="1"/>
      <protection locked="0"/>
    </xf>
    <xf numFmtId="0" fontId="66" fillId="27" borderId="0" xfId="57" applyFont="1" applyFill="1" applyAlignment="1">
      <alignment horizontal="left" vertical="center"/>
    </xf>
    <xf numFmtId="0" fontId="67" fillId="0" borderId="89" xfId="57" applyFont="1" applyBorder="1" applyAlignment="1">
      <alignment wrapText="1"/>
    </xf>
    <xf numFmtId="49" fontId="67" fillId="0" borderId="0" xfId="57" applyNumberFormat="1" applyFont="1" applyAlignment="1">
      <alignment wrapText="1"/>
    </xf>
    <xf numFmtId="38" fontId="49" fillId="31" borderId="83" xfId="84" applyNumberFormat="1" applyFont="1" applyFill="1" applyBorder="1" applyAlignment="1" applyProtection="1">
      <alignment horizontal="right" vertical="center" wrapText="1" indent="1"/>
      <protection locked="0"/>
    </xf>
    <xf numFmtId="0" fontId="0" fillId="0" borderId="43" xfId="0" applyBorder="1"/>
    <xf numFmtId="0" fontId="68" fillId="31" borderId="96" xfId="0" applyFont="1" applyFill="1" applyBorder="1" applyAlignment="1">
      <alignment horizontal="left" vertical="top" wrapText="1"/>
    </xf>
    <xf numFmtId="0" fontId="44" fillId="34" borderId="118" xfId="57" applyFont="1" applyFill="1" applyBorder="1" applyAlignment="1">
      <alignment vertical="center"/>
    </xf>
    <xf numFmtId="0" fontId="44" fillId="34" borderId="119" xfId="57" applyFont="1" applyFill="1" applyBorder="1" applyAlignment="1">
      <alignment vertical="center"/>
    </xf>
    <xf numFmtId="0" fontId="65" fillId="34" borderId="21" xfId="57" applyFont="1" applyFill="1" applyBorder="1" applyAlignment="1">
      <alignment vertical="center"/>
    </xf>
    <xf numFmtId="0" fontId="0" fillId="0" borderId="36" xfId="0" applyBorder="1"/>
    <xf numFmtId="0" fontId="64" fillId="34" borderId="80" xfId="57" applyFont="1" applyFill="1" applyBorder="1" applyAlignment="1">
      <alignment horizontal="center" vertical="center" wrapText="1"/>
    </xf>
    <xf numFmtId="0" fontId="65" fillId="23" borderId="89" xfId="0" applyFont="1" applyFill="1" applyBorder="1"/>
    <xf numFmtId="0" fontId="9" fillId="23" borderId="108" xfId="57" applyFont="1" applyFill="1" applyBorder="1" applyAlignment="1">
      <alignment horizontal="center" vertical="center" wrapText="1"/>
    </xf>
    <xf numFmtId="0" fontId="9" fillId="23" borderId="98" xfId="57" applyFont="1" applyFill="1" applyBorder="1" applyAlignment="1">
      <alignment horizontal="center" vertical="center" wrapText="1"/>
    </xf>
    <xf numFmtId="0" fontId="49" fillId="27" borderId="120" xfId="57" applyFont="1" applyFill="1" applyBorder="1" applyAlignment="1">
      <alignment horizontal="left" vertical="center" wrapText="1"/>
    </xf>
    <xf numFmtId="49" fontId="49" fillId="31" borderId="66" xfId="57" applyNumberFormat="1" applyFont="1" applyFill="1" applyBorder="1" applyAlignment="1" applyProtection="1">
      <alignment horizontal="left" vertical="center" wrapText="1"/>
      <protection locked="0"/>
    </xf>
    <xf numFmtId="0" fontId="67" fillId="0" borderId="61" xfId="57" applyFont="1" applyBorder="1" applyAlignment="1">
      <alignment wrapText="1"/>
    </xf>
    <xf numFmtId="49" fontId="67" fillId="31" borderId="61" xfId="57" applyNumberFormat="1" applyFont="1" applyFill="1" applyBorder="1" applyAlignment="1" applyProtection="1">
      <alignment wrapText="1"/>
      <protection locked="0"/>
    </xf>
    <xf numFmtId="0" fontId="0" fillId="0" borderId="92" xfId="0" applyBorder="1"/>
    <xf numFmtId="0" fontId="0" fillId="0" borderId="96" xfId="0" applyBorder="1"/>
    <xf numFmtId="49" fontId="49" fillId="0" borderId="21" xfId="57" applyNumberFormat="1" applyFont="1" applyBorder="1" applyAlignment="1">
      <alignment horizontal="left" vertical="center" wrapText="1"/>
    </xf>
    <xf numFmtId="177" fontId="49" fillId="31" borderId="81" xfId="84" applyNumberFormat="1" applyFont="1" applyFill="1" applyBorder="1" applyAlignment="1" applyProtection="1">
      <alignment horizontal="right" vertical="center" wrapText="1" indent="1"/>
      <protection locked="0"/>
    </xf>
    <xf numFmtId="0" fontId="67" fillId="0" borderId="91" xfId="57" applyFont="1" applyBorder="1" applyAlignment="1">
      <alignment wrapText="1"/>
    </xf>
    <xf numFmtId="49" fontId="67" fillId="0" borderId="96" xfId="57" applyNumberFormat="1" applyFont="1" applyBorder="1" applyAlignment="1">
      <alignment wrapText="1"/>
    </xf>
    <xf numFmtId="0" fontId="67" fillId="0" borderId="0" xfId="0" applyFont="1"/>
    <xf numFmtId="0" fontId="65" fillId="0" borderId="0" xfId="0" applyFont="1"/>
    <xf numFmtId="0" fontId="41" fillId="27" borderId="0" xfId="57" applyFill="1"/>
    <xf numFmtId="0" fontId="44" fillId="23" borderId="3" xfId="0" applyFont="1" applyFill="1" applyBorder="1"/>
    <xf numFmtId="0" fontId="44" fillId="23" borderId="92" xfId="0" applyFont="1" applyFill="1" applyBorder="1"/>
    <xf numFmtId="183" fontId="49" fillId="25" borderId="81" xfId="84" applyNumberFormat="1" applyFont="1" applyFill="1" applyBorder="1" applyAlignment="1" applyProtection="1">
      <alignment horizontal="right" vertical="center" wrapText="1" indent="1"/>
    </xf>
    <xf numFmtId="183" fontId="49" fillId="25" borderId="83" xfId="84" applyNumberFormat="1" applyFont="1" applyFill="1" applyBorder="1" applyAlignment="1" applyProtection="1">
      <alignment horizontal="right" vertical="center" wrapText="1" indent="1"/>
    </xf>
    <xf numFmtId="0" fontId="69" fillId="33" borderId="43" xfId="57" applyFont="1" applyFill="1" applyBorder="1" applyAlignment="1">
      <alignment vertical="center"/>
    </xf>
    <xf numFmtId="0" fontId="69" fillId="33" borderId="36" xfId="57" applyFont="1" applyFill="1" applyBorder="1" applyAlignment="1">
      <alignment vertical="center"/>
    </xf>
    <xf numFmtId="0" fontId="63" fillId="33" borderId="20" xfId="57" applyFont="1" applyFill="1" applyBorder="1" applyAlignment="1">
      <alignment vertical="center"/>
    </xf>
    <xf numFmtId="0" fontId="63" fillId="33" borderId="38" xfId="57" applyFont="1" applyFill="1" applyBorder="1" applyAlignment="1">
      <alignment vertical="center"/>
    </xf>
    <xf numFmtId="0" fontId="65" fillId="27" borderId="0" xfId="57" applyFont="1" applyFill="1" applyAlignment="1">
      <alignment vertical="center"/>
    </xf>
    <xf numFmtId="0" fontId="65" fillId="23" borderId="43" xfId="0" applyFont="1" applyFill="1" applyBorder="1"/>
    <xf numFmtId="0" fontId="70" fillId="23" borderId="36" xfId="0" applyFont="1" applyFill="1" applyBorder="1" applyAlignment="1">
      <alignment horizontal="center"/>
    </xf>
    <xf numFmtId="0" fontId="48" fillId="23" borderId="121" xfId="40" applyNumberFormat="1" applyFont="1" applyFill="1" applyBorder="1" applyAlignment="1">
      <alignment horizontal="center" vertical="center" wrapText="1"/>
    </xf>
    <xf numFmtId="0" fontId="48" fillId="22" borderId="122" xfId="40" applyNumberFormat="1" applyFont="1" applyFill="1" applyBorder="1" applyAlignment="1">
      <alignment horizontal="center" vertical="center" wrapText="1"/>
    </xf>
    <xf numFmtId="0" fontId="48" fillId="22" borderId="123" xfId="40" applyNumberFormat="1" applyFont="1" applyFill="1" applyBorder="1" applyAlignment="1">
      <alignment horizontal="center" vertical="center" wrapText="1"/>
    </xf>
    <xf numFmtId="0" fontId="71" fillId="33" borderId="38" xfId="57" applyFont="1" applyFill="1" applyBorder="1" applyAlignment="1">
      <alignment horizontal="center" vertical="center"/>
    </xf>
    <xf numFmtId="0" fontId="65" fillId="0" borderId="41" xfId="57" applyFont="1" applyBorder="1"/>
    <xf numFmtId="0" fontId="72" fillId="0" borderId="68" xfId="57" applyFont="1" applyBorder="1"/>
    <xf numFmtId="176" fontId="65" fillId="31" borderId="48" xfId="92" applyNumberFormat="1" applyFont="1" applyFill="1" applyBorder="1" applyAlignment="1" applyProtection="1">
      <alignment horizontal="right"/>
      <protection locked="0"/>
    </xf>
    <xf numFmtId="0" fontId="71" fillId="34" borderId="124" xfId="57" applyFont="1" applyFill="1" applyBorder="1" applyAlignment="1" applyProtection="1">
      <alignment horizontal="right" vertical="center"/>
      <protection locked="0"/>
    </xf>
    <xf numFmtId="0" fontId="73" fillId="27" borderId="0" xfId="57" applyFont="1" applyFill="1"/>
    <xf numFmtId="0" fontId="65" fillId="27" borderId="52" xfId="57" applyFont="1" applyFill="1" applyBorder="1"/>
    <xf numFmtId="0" fontId="72" fillId="27" borderId="54" xfId="57" applyFont="1" applyFill="1" applyBorder="1"/>
    <xf numFmtId="176" fontId="65" fillId="31" borderId="54" xfId="92" applyNumberFormat="1" applyFont="1" applyFill="1" applyBorder="1" applyAlignment="1" applyProtection="1">
      <alignment horizontal="right"/>
      <protection locked="0"/>
    </xf>
    <xf numFmtId="0" fontId="71" fillId="34" borderId="125" xfId="57" applyFont="1" applyFill="1" applyBorder="1" applyAlignment="1" applyProtection="1">
      <alignment horizontal="right" vertical="center"/>
      <protection locked="0"/>
    </xf>
    <xf numFmtId="0" fontId="65" fillId="25" borderId="52" xfId="57" applyFont="1" applyFill="1" applyBorder="1"/>
    <xf numFmtId="0" fontId="72" fillId="25" borderId="54" xfId="57" applyFont="1" applyFill="1" applyBorder="1"/>
    <xf numFmtId="176" fontId="67" fillId="25" borderId="54" xfId="57" applyNumberFormat="1" applyFont="1" applyFill="1" applyBorder="1"/>
    <xf numFmtId="176" fontId="48" fillId="25" borderId="55" xfId="57" applyNumberFormat="1" applyFont="1" applyFill="1" applyBorder="1" applyAlignment="1">
      <alignment horizontal="right" vertical="center"/>
    </xf>
    <xf numFmtId="176" fontId="48" fillId="25" borderId="126" xfId="57" applyNumberFormat="1" applyFont="1" applyFill="1" applyBorder="1" applyAlignment="1">
      <alignment horizontal="right" vertical="center"/>
    </xf>
    <xf numFmtId="0" fontId="71" fillId="34" borderId="125" xfId="57" applyFont="1" applyFill="1" applyBorder="1" applyAlignment="1">
      <alignment horizontal="right" vertical="center"/>
    </xf>
    <xf numFmtId="0" fontId="65" fillId="0" borderId="52" xfId="57" applyFont="1" applyBorder="1"/>
    <xf numFmtId="0" fontId="72" fillId="0" borderId="54" xfId="57" applyFont="1" applyBorder="1"/>
    <xf numFmtId="0" fontId="67" fillId="25" borderId="54" xfId="57" applyFont="1" applyFill="1" applyBorder="1"/>
    <xf numFmtId="0" fontId="48" fillId="25" borderId="55" xfId="57" applyFont="1" applyFill="1" applyBorder="1" applyAlignment="1">
      <alignment horizontal="right" vertical="center"/>
    </xf>
    <xf numFmtId="0" fontId="48" fillId="25" borderId="126" xfId="57" applyFont="1" applyFill="1" applyBorder="1" applyAlignment="1">
      <alignment horizontal="right" vertical="center"/>
    </xf>
    <xf numFmtId="172" fontId="67" fillId="0" borderId="54" xfId="57" applyNumberFormat="1" applyFont="1" applyBorder="1" applyAlignment="1">
      <alignment horizontal="center"/>
    </xf>
    <xf numFmtId="172" fontId="67" fillId="0" borderId="55" xfId="57" applyNumberFormat="1" applyFont="1" applyBorder="1" applyAlignment="1">
      <alignment horizontal="center"/>
    </xf>
    <xf numFmtId="172" fontId="65" fillId="0" borderId="55" xfId="92" applyNumberFormat="1" applyFont="1" applyFill="1" applyBorder="1" applyAlignment="1" applyProtection="1">
      <alignment horizontal="center" vertical="top"/>
    </xf>
    <xf numFmtId="172" fontId="65" fillId="0" borderId="126" xfId="92" applyNumberFormat="1" applyFont="1" applyFill="1" applyBorder="1" applyAlignment="1" applyProtection="1">
      <alignment horizontal="center" vertical="top"/>
    </xf>
    <xf numFmtId="0" fontId="67" fillId="0" borderId="54" xfId="57" applyFont="1" applyBorder="1"/>
    <xf numFmtId="177" fontId="49" fillId="0" borderId="55" xfId="84" applyNumberFormat="1" applyFont="1" applyFill="1" applyBorder="1" applyAlignment="1" applyProtection="1">
      <alignment vertical="center"/>
    </xf>
    <xf numFmtId="177" fontId="49" fillId="0" borderId="126" xfId="84" applyNumberFormat="1" applyFont="1" applyFill="1" applyBorder="1" applyAlignment="1" applyProtection="1">
      <alignment vertical="center"/>
    </xf>
    <xf numFmtId="177" fontId="71" fillId="33" borderId="125" xfId="84" applyNumberFormat="1" applyFont="1" applyFill="1" applyBorder="1" applyProtection="1"/>
    <xf numFmtId="0" fontId="65" fillId="27" borderId="0" xfId="57" quotePrefix="1" applyFont="1" applyFill="1"/>
    <xf numFmtId="0" fontId="65" fillId="0" borderId="42" xfId="57" applyFont="1" applyBorder="1"/>
    <xf numFmtId="0" fontId="72" fillId="27" borderId="63" xfId="57" applyFont="1" applyFill="1" applyBorder="1"/>
    <xf numFmtId="0" fontId="67" fillId="0" borderId="63" xfId="57" applyFont="1" applyBorder="1"/>
    <xf numFmtId="177" fontId="49" fillId="0" borderId="64" xfId="84" applyNumberFormat="1" applyFont="1" applyFill="1" applyBorder="1" applyAlignment="1" applyProtection="1">
      <alignment vertical="center"/>
    </xf>
    <xf numFmtId="177" fontId="49" fillId="0" borderId="127" xfId="84" applyNumberFormat="1" applyFont="1" applyFill="1" applyBorder="1" applyAlignment="1" applyProtection="1">
      <alignment vertical="center"/>
    </xf>
    <xf numFmtId="177" fontId="71" fillId="33" borderId="128" xfId="84" applyNumberFormat="1" applyFont="1" applyFill="1" applyBorder="1" applyProtection="1"/>
    <xf numFmtId="0" fontId="69" fillId="33" borderId="19" xfId="57" applyFont="1" applyFill="1" applyBorder="1" applyAlignment="1">
      <alignment vertical="center"/>
    </xf>
    <xf numFmtId="0" fontId="69" fillId="33" borderId="20" xfId="57" applyFont="1" applyFill="1" applyBorder="1" applyAlignment="1">
      <alignment vertical="center"/>
    </xf>
    <xf numFmtId="0" fontId="63" fillId="33" borderId="36" xfId="57" applyFont="1" applyFill="1" applyBorder="1" applyAlignment="1">
      <alignment vertical="center"/>
    </xf>
    <xf numFmtId="0" fontId="74" fillId="34" borderId="121" xfId="57" applyFont="1" applyFill="1" applyBorder="1" applyAlignment="1">
      <alignment vertical="center"/>
    </xf>
    <xf numFmtId="0" fontId="74" fillId="34" borderId="129" xfId="57" applyFont="1" applyFill="1" applyBorder="1" applyAlignment="1">
      <alignment vertical="center"/>
    </xf>
    <xf numFmtId="0" fontId="0" fillId="34" borderId="20" xfId="0" applyFill="1" applyBorder="1" applyAlignment="1">
      <alignment vertical="center"/>
    </xf>
    <xf numFmtId="0" fontId="65" fillId="34" borderId="20" xfId="57" applyFont="1" applyFill="1" applyBorder="1" applyAlignment="1">
      <alignment vertical="center"/>
    </xf>
    <xf numFmtId="0" fontId="0" fillId="0" borderId="20" xfId="0" applyBorder="1"/>
    <xf numFmtId="0" fontId="48" fillId="23" borderId="41" xfId="40" applyNumberFormat="1" applyFont="1" applyFill="1" applyBorder="1" applyAlignment="1">
      <alignment horizontal="center" vertical="center" wrapText="1"/>
    </xf>
    <xf numFmtId="0" fontId="48" fillId="22" borderId="67" xfId="40" applyNumberFormat="1" applyFont="1" applyFill="1" applyBorder="1" applyAlignment="1">
      <alignment horizontal="center" vertical="center" wrapText="1"/>
    </xf>
    <xf numFmtId="177" fontId="65" fillId="0" borderId="130" xfId="57" applyNumberFormat="1" applyFont="1" applyBorder="1"/>
    <xf numFmtId="177" fontId="65" fillId="0" borderId="131" xfId="57" applyNumberFormat="1" applyFont="1" applyBorder="1"/>
    <xf numFmtId="184" fontId="67" fillId="0" borderId="67" xfId="57" applyNumberFormat="1" applyFont="1" applyBorder="1"/>
    <xf numFmtId="184" fontId="49" fillId="0" borderId="49" xfId="57" applyNumberFormat="1" applyFont="1" applyBorder="1"/>
    <xf numFmtId="177" fontId="49" fillId="34" borderId="132" xfId="57" applyNumberFormat="1" applyFont="1" applyFill="1" applyBorder="1"/>
    <xf numFmtId="177" fontId="73" fillId="0" borderId="133" xfId="57" applyNumberFormat="1" applyFont="1" applyBorder="1"/>
    <xf numFmtId="177" fontId="73" fillId="0" borderId="134" xfId="57" applyNumberFormat="1" applyFont="1" applyBorder="1"/>
    <xf numFmtId="184" fontId="67" fillId="0" borderId="57" xfId="57" applyNumberFormat="1" applyFont="1" applyBorder="1"/>
    <xf numFmtId="184" fontId="67" fillId="0" borderId="60" xfId="57" applyNumberFormat="1" applyFont="1" applyBorder="1"/>
    <xf numFmtId="184" fontId="49" fillId="0" borderId="60" xfId="57" applyNumberFormat="1" applyFont="1" applyBorder="1"/>
    <xf numFmtId="177" fontId="49" fillId="0" borderId="135" xfId="57" applyNumberFormat="1" applyFont="1" applyBorder="1"/>
    <xf numFmtId="0" fontId="0" fillId="0" borderId="136" xfId="0" applyBorder="1"/>
    <xf numFmtId="0" fontId="48" fillId="23" borderId="138" xfId="40" applyNumberFormat="1" applyFont="1" applyFill="1" applyBorder="1" applyAlignment="1">
      <alignment horizontal="center" vertical="center" wrapText="1"/>
    </xf>
    <xf numFmtId="0" fontId="58" fillId="33" borderId="138" xfId="57" applyFont="1" applyFill="1" applyBorder="1" applyAlignment="1">
      <alignment horizontal="center" vertical="center" wrapText="1"/>
    </xf>
    <xf numFmtId="0" fontId="58" fillId="33" borderId="139" xfId="57" applyFont="1" applyFill="1" applyBorder="1" applyAlignment="1">
      <alignment horizontal="center" vertical="center" wrapText="1"/>
    </xf>
    <xf numFmtId="184" fontId="67" fillId="0" borderId="46" xfId="57" applyNumberFormat="1" applyFont="1" applyBorder="1"/>
    <xf numFmtId="184" fontId="67" fillId="0" borderId="49" xfId="57" applyNumberFormat="1" applyFont="1" applyBorder="1"/>
    <xf numFmtId="184" fontId="67" fillId="0" borderId="42" xfId="57" applyNumberFormat="1" applyFont="1" applyBorder="1"/>
    <xf numFmtId="184" fontId="67" fillId="0" borderId="64" xfId="57" applyNumberFormat="1" applyFont="1" applyBorder="1"/>
    <xf numFmtId="184" fontId="49" fillId="0" borderId="64" xfId="57" applyNumberFormat="1" applyFont="1" applyBorder="1"/>
    <xf numFmtId="177" fontId="49" fillId="34" borderId="86" xfId="57" applyNumberFormat="1" applyFont="1" applyFill="1" applyBorder="1"/>
    <xf numFmtId="177" fontId="65" fillId="0" borderId="140" xfId="57" applyNumberFormat="1" applyFont="1" applyBorder="1"/>
    <xf numFmtId="177" fontId="73" fillId="0" borderId="141" xfId="57" applyNumberFormat="1" applyFont="1" applyBorder="1"/>
    <xf numFmtId="177" fontId="65" fillId="0" borderId="142" xfId="57" applyNumberFormat="1" applyFont="1" applyBorder="1"/>
    <xf numFmtId="177" fontId="65" fillId="0" borderId="143" xfId="57" applyNumberFormat="1" applyFont="1" applyBorder="1"/>
    <xf numFmtId="0" fontId="32" fillId="0" borderId="38" xfId="37" applyBorder="1">
      <alignment vertical="center"/>
    </xf>
    <xf numFmtId="177" fontId="49" fillId="31" borderId="80" xfId="84" applyNumberFormat="1" applyFont="1" applyFill="1" applyBorder="1" applyAlignment="1" applyProtection="1">
      <alignment horizontal="right" vertical="center" wrapText="1" indent="1"/>
      <protection locked="0"/>
    </xf>
    <xf numFmtId="173" fontId="10" fillId="0" borderId="0" xfId="44" applyFill="1">
      <alignment horizontal="center" vertical="center"/>
    </xf>
    <xf numFmtId="0" fontId="0" fillId="0" borderId="0" xfId="0" applyFill="1"/>
    <xf numFmtId="173" fontId="59" fillId="0" borderId="0" xfId="115" applyFill="1" applyAlignment="1">
      <alignment horizontal="center" vertical="center"/>
    </xf>
    <xf numFmtId="0" fontId="33" fillId="0" borderId="0" xfId="36">
      <alignment horizontal="left" vertical="center"/>
    </xf>
    <xf numFmtId="181" fontId="32" fillId="0" borderId="0" xfId="13" applyNumberFormat="1" applyFill="1" applyAlignment="1">
      <alignment horizontal="right" vertical="center"/>
    </xf>
    <xf numFmtId="0" fontId="49" fillId="31" borderId="51" xfId="0" applyNumberFormat="1" applyFont="1" applyFill="1" applyBorder="1" applyAlignment="1" applyProtection="1">
      <alignment horizontal="left" vertical="center"/>
      <protection locked="0"/>
    </xf>
    <xf numFmtId="0" fontId="49" fillId="31" borderId="61" xfId="0" applyNumberFormat="1" applyFont="1" applyFill="1" applyBorder="1" applyAlignment="1" applyProtection="1">
      <alignment horizontal="left" vertical="center"/>
      <protection locked="0"/>
    </xf>
    <xf numFmtId="180" fontId="33" fillId="13" borderId="4" xfId="16" applyNumberFormat="1">
      <alignment horizontal="right" vertical="center"/>
      <protection locked="0"/>
    </xf>
    <xf numFmtId="0" fontId="41" fillId="18" borderId="0" xfId="57" applyFill="1"/>
    <xf numFmtId="0" fontId="53" fillId="26" borderId="66" xfId="88" applyFont="1" applyFill="1" applyBorder="1" applyAlignment="1">
      <alignment vertical="center" wrapText="1"/>
    </xf>
    <xf numFmtId="0" fontId="53" fillId="27" borderId="66" xfId="89" applyFont="1" applyFill="1" applyBorder="1" applyAlignment="1">
      <alignment vertical="center" wrapText="1"/>
    </xf>
    <xf numFmtId="0" fontId="53" fillId="27" borderId="61" xfId="89" applyFont="1" applyFill="1" applyBorder="1" applyAlignment="1">
      <alignment vertical="center" wrapText="1"/>
    </xf>
    <xf numFmtId="0" fontId="57" fillId="25" borderId="20" xfId="0" applyFont="1" applyFill="1" applyBorder="1" applyAlignment="1">
      <alignment horizontal="center" vertical="center"/>
    </xf>
    <xf numFmtId="175" fontId="50" fillId="18" borderId="29" xfId="85" applyFill="1" applyBorder="1">
      <alignment horizontal="right"/>
      <protection locked="0"/>
    </xf>
    <xf numFmtId="175" fontId="50" fillId="18" borderId="31" xfId="85" applyFill="1" applyBorder="1">
      <alignment horizontal="right"/>
      <protection locked="0"/>
    </xf>
    <xf numFmtId="175" fontId="50" fillId="18" borderId="30" xfId="85" applyFill="1" applyBorder="1">
      <alignment horizontal="right"/>
      <protection locked="0"/>
    </xf>
    <xf numFmtId="175" fontId="50" fillId="18" borderId="33" xfId="85" applyFill="1" applyBorder="1">
      <alignment horizontal="right"/>
      <protection locked="0"/>
    </xf>
    <xf numFmtId="175" fontId="50" fillId="18" borderId="35" xfId="85" applyFill="1" applyBorder="1">
      <alignment horizontal="right"/>
      <protection locked="0"/>
    </xf>
    <xf numFmtId="175" fontId="50" fillId="18" borderId="34" xfId="85" applyFill="1" applyBorder="1">
      <alignment horizontal="right"/>
      <protection locked="0"/>
    </xf>
    <xf numFmtId="0" fontId="49" fillId="0" borderId="147" xfId="0" applyFont="1" applyBorder="1" applyAlignment="1">
      <alignment horizontal="right" vertical="center" indent="1"/>
    </xf>
    <xf numFmtId="175" fontId="50" fillId="24" borderId="148" xfId="85" applyBorder="1">
      <alignment horizontal="right"/>
      <protection locked="0"/>
    </xf>
    <xf numFmtId="175" fontId="50" fillId="24" borderId="149" xfId="85" applyBorder="1">
      <alignment horizontal="right"/>
      <protection locked="0"/>
    </xf>
    <xf numFmtId="175" fontId="50" fillId="18" borderId="148" xfId="85" applyFill="1" applyBorder="1">
      <alignment horizontal="right"/>
      <protection locked="0"/>
    </xf>
    <xf numFmtId="175" fontId="50" fillId="18" borderId="150" xfId="85" applyFill="1" applyBorder="1">
      <alignment horizontal="right"/>
      <protection locked="0"/>
    </xf>
    <xf numFmtId="175" fontId="50" fillId="18" borderId="149" xfId="85" applyFill="1" applyBorder="1">
      <alignment horizontal="right"/>
      <protection locked="0"/>
    </xf>
    <xf numFmtId="176" fontId="51" fillId="3" borderId="37" xfId="86" applyBorder="1" applyProtection="1">
      <alignment horizontal="right" vertical="center"/>
      <protection locked="0"/>
    </xf>
    <xf numFmtId="176" fontId="51" fillId="3" borderId="36" xfId="86" applyBorder="1" applyProtection="1">
      <alignment horizontal="right" vertical="center"/>
      <protection locked="0"/>
    </xf>
    <xf numFmtId="176" fontId="51" fillId="3" borderId="38" xfId="86" applyBorder="1" applyProtection="1">
      <alignment horizontal="right" vertical="center"/>
      <protection locked="0"/>
    </xf>
    <xf numFmtId="0" fontId="55" fillId="28" borderId="19" xfId="90" applyFont="1" applyBorder="1" applyProtection="1">
      <alignment vertical="center"/>
    </xf>
    <xf numFmtId="0" fontId="54" fillId="28" borderId="20" xfId="90" applyBorder="1" applyProtection="1">
      <alignment vertical="center"/>
    </xf>
    <xf numFmtId="0" fontId="49" fillId="0" borderId="0" xfId="87" applyAlignment="1">
      <alignment vertical="center" wrapText="1"/>
    </xf>
    <xf numFmtId="0" fontId="49" fillId="0" borderId="0" xfId="87"/>
    <xf numFmtId="0" fontId="3" fillId="0" borderId="92" xfId="88" applyBorder="1"/>
    <xf numFmtId="0" fontId="52" fillId="25" borderId="20" xfId="0" applyFont="1" applyFill="1" applyBorder="1" applyAlignment="1">
      <alignment vertical="center"/>
    </xf>
    <xf numFmtId="0" fontId="52" fillId="25" borderId="21" xfId="0" applyFont="1" applyFill="1" applyBorder="1" applyAlignment="1">
      <alignment vertical="center"/>
    </xf>
    <xf numFmtId="0" fontId="53" fillId="26" borderId="41" xfId="88" applyFont="1" applyFill="1" applyBorder="1" applyAlignment="1">
      <alignment vertical="center" wrapText="1"/>
    </xf>
    <xf numFmtId="175" fontId="65" fillId="18" borderId="67" xfId="119" applyFill="1" applyBorder="1">
      <alignment horizontal="right" indent="2"/>
      <protection locked="0"/>
    </xf>
    <xf numFmtId="175" fontId="65" fillId="18" borderId="84" xfId="119" applyFill="1" applyBorder="1">
      <alignment horizontal="right" indent="2"/>
      <protection locked="0"/>
    </xf>
    <xf numFmtId="0" fontId="52" fillId="25" borderId="89" xfId="87" applyFont="1" applyFill="1" applyBorder="1" applyAlignment="1">
      <alignment horizontal="left" vertical="center" indent="2"/>
    </xf>
    <xf numFmtId="0" fontId="52" fillId="25" borderId="0" xfId="87" applyFont="1" applyFill="1" applyAlignment="1">
      <alignment horizontal="left" vertical="center"/>
    </xf>
    <xf numFmtId="175" fontId="65" fillId="31" borderId="67" xfId="119" applyFill="1" applyBorder="1">
      <alignment horizontal="right" indent="2"/>
      <protection locked="0"/>
    </xf>
    <xf numFmtId="0" fontId="52" fillId="25" borderId="0" xfId="87" applyFont="1" applyFill="1" applyAlignment="1">
      <alignment vertical="center"/>
    </xf>
    <xf numFmtId="0" fontId="53" fillId="27" borderId="41" xfId="89" applyFont="1" applyFill="1" applyBorder="1" applyAlignment="1">
      <alignment vertical="center" wrapText="1"/>
    </xf>
    <xf numFmtId="175" fontId="65" fillId="31" borderId="84" xfId="119" applyFill="1" applyBorder="1">
      <alignment horizontal="right" indent="2"/>
      <protection locked="0"/>
    </xf>
    <xf numFmtId="0" fontId="53" fillId="27" borderId="42" xfId="89" applyFont="1" applyFill="1" applyBorder="1" applyAlignment="1">
      <alignment vertical="center" wrapText="1"/>
    </xf>
    <xf numFmtId="175" fontId="65" fillId="31" borderId="64" xfId="119" applyFill="1" applyBorder="1">
      <alignment horizontal="right" indent="2"/>
      <protection locked="0"/>
    </xf>
    <xf numFmtId="175" fontId="65" fillId="31" borderId="86" xfId="119" applyFill="1" applyBorder="1">
      <alignment horizontal="right" indent="2"/>
      <protection locked="0"/>
    </xf>
    <xf numFmtId="0" fontId="3" fillId="0" borderId="0" xfId="88"/>
    <xf numFmtId="185" fontId="49" fillId="0" borderId="0" xfId="89" applyNumberFormat="1"/>
    <xf numFmtId="0" fontId="49" fillId="0" borderId="0" xfId="120"/>
    <xf numFmtId="185" fontId="81" fillId="0" borderId="0" xfId="87" applyNumberFormat="1" applyFont="1" applyAlignment="1">
      <alignment horizontal="center"/>
    </xf>
    <xf numFmtId="0" fontId="49" fillId="0" borderId="92" xfId="120" applyBorder="1" applyAlignment="1">
      <alignment horizontal="center" vertical="center"/>
    </xf>
    <xf numFmtId="0" fontId="53" fillId="26" borderId="27" xfId="88" applyFont="1" applyFill="1" applyBorder="1" applyAlignment="1">
      <alignment vertical="center" wrapText="1"/>
    </xf>
    <xf numFmtId="175" fontId="65" fillId="31" borderId="152" xfId="119" applyFill="1" applyBorder="1">
      <alignment horizontal="right" indent="2"/>
      <protection locked="0"/>
    </xf>
    <xf numFmtId="0" fontId="53" fillId="27" borderId="27" xfId="89" applyFont="1" applyFill="1" applyBorder="1" applyAlignment="1">
      <alignment vertical="center" wrapText="1"/>
    </xf>
    <xf numFmtId="0" fontId="53" fillId="27" borderId="72" xfId="89" applyFont="1" applyFill="1" applyBorder="1" applyAlignment="1">
      <alignment vertical="center" wrapText="1"/>
    </xf>
    <xf numFmtId="0" fontId="64" fillId="23" borderId="153" xfId="123">
      <alignment horizontal="right" vertical="center" wrapText="1" indent="1"/>
    </xf>
    <xf numFmtId="0" fontId="64" fillId="22" borderId="153" xfId="124">
      <alignment horizontal="right" vertical="center" wrapText="1" indent="1"/>
    </xf>
    <xf numFmtId="176" fontId="51" fillId="3" borderId="43" xfId="86" applyBorder="1" applyProtection="1">
      <alignment horizontal="right" vertical="center"/>
      <protection locked="0"/>
    </xf>
    <xf numFmtId="0" fontId="46" fillId="21" borderId="0" xfId="125" applyFont="1">
      <alignment vertical="center"/>
      <protection locked="0"/>
    </xf>
    <xf numFmtId="0" fontId="82" fillId="25" borderId="43" xfId="0" applyFont="1" applyFill="1" applyBorder="1" applyAlignment="1">
      <alignment horizontal="left" vertical="center" wrapText="1" indent="1"/>
    </xf>
    <xf numFmtId="0" fontId="60" fillId="25" borderId="36" xfId="0" applyFont="1" applyFill="1" applyBorder="1" applyAlignment="1">
      <alignment vertical="center" wrapText="1"/>
    </xf>
    <xf numFmtId="0" fontId="60" fillId="25" borderId="38" xfId="0" applyFont="1" applyFill="1" applyBorder="1" applyAlignment="1">
      <alignment vertical="center" wrapText="1"/>
    </xf>
    <xf numFmtId="176" fontId="50" fillId="31" borderId="69" xfId="0" applyNumberFormat="1" applyFont="1" applyFill="1" applyBorder="1" applyAlignment="1" applyProtection="1">
      <alignment horizontal="right"/>
      <protection locked="0"/>
    </xf>
    <xf numFmtId="176" fontId="50" fillId="31" borderId="30" xfId="0" applyNumberFormat="1" applyFont="1" applyFill="1" applyBorder="1" applyAlignment="1" applyProtection="1">
      <alignment horizontal="right"/>
      <protection locked="0"/>
    </xf>
    <xf numFmtId="176" fontId="50" fillId="31" borderId="29" xfId="0" applyNumberFormat="1" applyFont="1" applyFill="1" applyBorder="1" applyAlignment="1" applyProtection="1">
      <alignment horizontal="right"/>
      <protection locked="0"/>
    </xf>
    <xf numFmtId="176" fontId="50" fillId="31" borderId="31" xfId="0" applyNumberFormat="1" applyFont="1" applyFill="1" applyBorder="1" applyAlignment="1" applyProtection="1">
      <alignment horizontal="right"/>
      <protection locked="0"/>
    </xf>
    <xf numFmtId="176" fontId="50" fillId="31" borderId="70" xfId="0" applyNumberFormat="1" applyFont="1" applyFill="1" applyBorder="1" applyAlignment="1" applyProtection="1">
      <alignment horizontal="right"/>
      <protection locked="0"/>
    </xf>
    <xf numFmtId="176" fontId="50" fillId="31" borderId="34" xfId="0" applyNumberFormat="1" applyFont="1" applyFill="1" applyBorder="1" applyAlignment="1" applyProtection="1">
      <alignment horizontal="right"/>
      <protection locked="0"/>
    </xf>
    <xf numFmtId="176" fontId="50" fillId="31" borderId="33" xfId="0" applyNumberFormat="1" applyFont="1" applyFill="1" applyBorder="1" applyAlignment="1" applyProtection="1">
      <alignment horizontal="right"/>
      <protection locked="0"/>
    </xf>
    <xf numFmtId="176" fontId="50" fillId="31" borderId="35" xfId="0" applyNumberFormat="1" applyFont="1" applyFill="1" applyBorder="1" applyAlignment="1" applyProtection="1">
      <alignment horizontal="right"/>
      <protection locked="0"/>
    </xf>
    <xf numFmtId="176" fontId="50" fillId="31" borderId="159" xfId="0" applyNumberFormat="1" applyFont="1" applyFill="1" applyBorder="1" applyAlignment="1" applyProtection="1">
      <alignment horizontal="right"/>
      <protection locked="0"/>
    </xf>
    <xf numFmtId="176" fontId="50" fillId="31" borderId="149" xfId="0" applyNumberFormat="1" applyFont="1" applyFill="1" applyBorder="1" applyAlignment="1" applyProtection="1">
      <alignment horizontal="right"/>
      <protection locked="0"/>
    </xf>
    <xf numFmtId="176" fontId="50" fillId="31" borderId="148" xfId="0" applyNumberFormat="1" applyFont="1" applyFill="1" applyBorder="1" applyAlignment="1" applyProtection="1">
      <alignment horizontal="right"/>
      <protection locked="0"/>
    </xf>
    <xf numFmtId="176" fontId="50" fillId="31" borderId="150" xfId="0" applyNumberFormat="1" applyFont="1" applyFill="1" applyBorder="1" applyAlignment="1" applyProtection="1">
      <alignment horizontal="right"/>
      <protection locked="0"/>
    </xf>
    <xf numFmtId="176" fontId="9" fillId="34" borderId="43" xfId="0" applyNumberFormat="1" applyFont="1" applyFill="1" applyBorder="1" applyAlignment="1">
      <alignment horizontal="right" vertical="center"/>
    </xf>
    <xf numFmtId="0" fontId="0" fillId="0" borderId="95" xfId="0" applyBorder="1"/>
    <xf numFmtId="0" fontId="64" fillId="23" borderId="163" xfId="123" applyBorder="1">
      <alignment horizontal="right" vertical="center" wrapText="1" indent="1"/>
    </xf>
    <xf numFmtId="0" fontId="64" fillId="22" borderId="164" xfId="124" applyBorder="1">
      <alignment horizontal="right" vertical="center" wrapText="1" indent="1"/>
    </xf>
    <xf numFmtId="0" fontId="50" fillId="31" borderId="109" xfId="0" applyFont="1" applyFill="1" applyBorder="1" applyAlignment="1" applyProtection="1">
      <alignment horizontal="right"/>
      <protection locked="0"/>
    </xf>
    <xf numFmtId="0" fontId="50" fillId="31" borderId="110" xfId="0" applyFont="1" applyFill="1" applyBorder="1" applyAlignment="1" applyProtection="1">
      <alignment horizontal="right"/>
      <protection locked="0"/>
    </xf>
    <xf numFmtId="0" fontId="50" fillId="31" borderId="113" xfId="0" applyFont="1" applyFill="1" applyBorder="1" applyAlignment="1" applyProtection="1">
      <alignment horizontal="right"/>
      <protection locked="0"/>
    </xf>
    <xf numFmtId="0" fontId="83" fillId="23" borderId="121" xfId="0" applyFont="1" applyFill="1" applyBorder="1" applyAlignment="1">
      <alignment horizontal="center" vertical="center" wrapText="1"/>
    </xf>
    <xf numFmtId="0" fontId="83" fillId="23" borderId="122" xfId="0" applyFont="1" applyFill="1" applyBorder="1" applyAlignment="1">
      <alignment horizontal="center" vertical="center" wrapText="1"/>
    </xf>
    <xf numFmtId="0" fontId="83" fillId="23" borderId="123" xfId="0" applyFont="1" applyFill="1" applyBorder="1" applyAlignment="1">
      <alignment horizontal="center" vertical="center" wrapText="1"/>
    </xf>
    <xf numFmtId="0" fontId="83" fillId="22" borderId="167" xfId="0" applyFont="1" applyFill="1" applyBorder="1" applyAlignment="1">
      <alignment horizontal="center" vertical="center" wrapText="1"/>
    </xf>
    <xf numFmtId="0" fontId="83" fillId="22" borderId="122" xfId="0" applyFont="1" applyFill="1" applyBorder="1" applyAlignment="1">
      <alignment horizontal="center" vertical="center" wrapText="1"/>
    </xf>
    <xf numFmtId="0" fontId="83" fillId="22" borderId="123" xfId="0" applyFont="1" applyFill="1" applyBorder="1" applyAlignment="1">
      <alignment horizontal="center" vertical="center" wrapText="1"/>
    </xf>
    <xf numFmtId="0" fontId="83" fillId="25" borderId="38" xfId="0" applyFont="1" applyFill="1" applyBorder="1" applyAlignment="1">
      <alignment horizontal="center" vertical="center" wrapText="1"/>
    </xf>
    <xf numFmtId="49" fontId="49" fillId="31" borderId="69" xfId="0" applyNumberFormat="1" applyFont="1" applyFill="1" applyBorder="1" applyAlignment="1" applyProtection="1">
      <alignment horizontal="left" vertical="top" wrapText="1"/>
      <protection locked="0"/>
    </xf>
    <xf numFmtId="0" fontId="49" fillId="31" borderId="30" xfId="0" applyFont="1" applyFill="1" applyBorder="1" applyAlignment="1" applyProtection="1">
      <alignment horizontal="left" vertical="top" wrapText="1"/>
      <protection locked="0"/>
    </xf>
    <xf numFmtId="176" fontId="49" fillId="31" borderId="154" xfId="0" applyNumberFormat="1" applyFont="1" applyFill="1" applyBorder="1" applyAlignment="1" applyProtection="1">
      <alignment horizontal="right" vertical="center" wrapText="1"/>
      <protection locked="0"/>
    </xf>
    <xf numFmtId="176" fontId="49" fillId="31" borderId="156" xfId="0" applyNumberFormat="1" applyFont="1" applyFill="1" applyBorder="1" applyAlignment="1" applyProtection="1">
      <alignment horizontal="right" vertical="center" wrapText="1"/>
      <protection locked="0"/>
    </xf>
    <xf numFmtId="0" fontId="49" fillId="31" borderId="34" xfId="0" applyFont="1" applyFill="1" applyBorder="1" applyAlignment="1" applyProtection="1">
      <alignment horizontal="left" vertical="top" wrapText="1"/>
      <protection locked="0"/>
    </xf>
    <xf numFmtId="176" fontId="49" fillId="31" borderId="33" xfId="0" applyNumberFormat="1" applyFont="1" applyFill="1" applyBorder="1" applyAlignment="1" applyProtection="1">
      <alignment horizontal="right" vertical="center" wrapText="1"/>
      <protection locked="0"/>
    </xf>
    <xf numFmtId="176" fontId="49" fillId="31" borderId="35" xfId="0" applyNumberFormat="1" applyFont="1" applyFill="1" applyBorder="1" applyAlignment="1" applyProtection="1">
      <alignment horizontal="right" vertical="center" wrapText="1"/>
      <protection locked="0"/>
    </xf>
    <xf numFmtId="176" fontId="49" fillId="31" borderId="171" xfId="0" applyNumberFormat="1" applyFont="1" applyFill="1" applyBorder="1" applyAlignment="1" applyProtection="1">
      <alignment horizontal="right" vertical="center" wrapText="1"/>
      <protection locked="0"/>
    </xf>
    <xf numFmtId="176" fontId="49" fillId="31" borderId="172" xfId="0" applyNumberFormat="1" applyFont="1" applyFill="1" applyBorder="1" applyAlignment="1" applyProtection="1">
      <alignment horizontal="right" vertical="center" wrapText="1"/>
      <protection locked="0"/>
    </xf>
    <xf numFmtId="176" fontId="49" fillId="31" borderId="55" xfId="0" applyNumberFormat="1" applyFont="1" applyFill="1" applyBorder="1" applyAlignment="1" applyProtection="1">
      <alignment horizontal="right" vertical="center" wrapText="1"/>
      <protection locked="0"/>
    </xf>
    <xf numFmtId="176" fontId="49" fillId="31" borderId="53" xfId="0" applyNumberFormat="1" applyFont="1" applyFill="1" applyBorder="1" applyAlignment="1" applyProtection="1">
      <alignment horizontal="right" vertical="center" wrapText="1"/>
      <protection locked="0"/>
    </xf>
    <xf numFmtId="176" fontId="49" fillId="31" borderId="54" xfId="0" applyNumberFormat="1" applyFont="1" applyFill="1" applyBorder="1" applyAlignment="1" applyProtection="1">
      <alignment horizontal="right" vertical="center" wrapText="1"/>
      <protection locked="0"/>
    </xf>
    <xf numFmtId="176" fontId="49" fillId="31" borderId="85" xfId="0" applyNumberFormat="1" applyFont="1" applyFill="1" applyBorder="1" applyAlignment="1" applyProtection="1">
      <alignment horizontal="right" vertical="center" wrapText="1"/>
      <protection locked="0"/>
    </xf>
    <xf numFmtId="176" fontId="67" fillId="25" borderId="107" xfId="0" applyNumberFormat="1" applyFont="1" applyFill="1" applyBorder="1" applyAlignment="1" applyProtection="1">
      <alignment horizontal="right" vertical="center" wrapText="1"/>
      <protection locked="0"/>
    </xf>
    <xf numFmtId="49" fontId="49" fillId="30" borderId="70" xfId="0" applyNumberFormat="1" applyFont="1" applyFill="1" applyBorder="1" applyAlignment="1" applyProtection="1">
      <alignment horizontal="left" vertical="top" wrapText="1"/>
      <protection locked="0"/>
    </xf>
    <xf numFmtId="49" fontId="49" fillId="30" borderId="34" xfId="0" applyNumberFormat="1" applyFont="1" applyFill="1" applyBorder="1" applyAlignment="1" applyProtection="1">
      <alignment horizontal="left" vertical="top" wrapText="1"/>
      <protection locked="0"/>
    </xf>
    <xf numFmtId="176" fontId="49" fillId="30" borderId="33" xfId="0" applyNumberFormat="1" applyFont="1" applyFill="1" applyBorder="1" applyAlignment="1" applyProtection="1">
      <alignment horizontal="right" vertical="center" wrapText="1"/>
      <protection locked="0"/>
    </xf>
    <xf numFmtId="176" fontId="49" fillId="30" borderId="35" xfId="0" applyNumberFormat="1" applyFont="1" applyFill="1" applyBorder="1" applyAlignment="1" applyProtection="1">
      <alignment horizontal="right" vertical="center" wrapText="1"/>
      <protection locked="0"/>
    </xf>
    <xf numFmtId="176" fontId="49" fillId="30" borderId="171" xfId="0" applyNumberFormat="1" applyFont="1" applyFill="1" applyBorder="1" applyAlignment="1" applyProtection="1">
      <alignment horizontal="right" vertical="center" wrapText="1"/>
      <protection locked="0"/>
    </xf>
    <xf numFmtId="176" fontId="49" fillId="30" borderId="172" xfId="0" applyNumberFormat="1" applyFont="1" applyFill="1" applyBorder="1" applyAlignment="1" applyProtection="1">
      <alignment horizontal="right" vertical="center" wrapText="1"/>
      <protection locked="0"/>
    </xf>
    <xf numFmtId="176" fontId="49" fillId="30" borderId="55" xfId="0" applyNumberFormat="1" applyFont="1" applyFill="1" applyBorder="1" applyAlignment="1" applyProtection="1">
      <alignment horizontal="right" vertical="center" wrapText="1"/>
      <protection locked="0"/>
    </xf>
    <xf numFmtId="176" fontId="49" fillId="30" borderId="53" xfId="0" applyNumberFormat="1" applyFont="1" applyFill="1" applyBorder="1" applyAlignment="1" applyProtection="1">
      <alignment horizontal="right" vertical="center" wrapText="1"/>
      <protection locked="0"/>
    </xf>
    <xf numFmtId="176" fontId="49" fillId="30" borderId="54" xfId="0" applyNumberFormat="1" applyFont="1" applyFill="1" applyBorder="1" applyAlignment="1" applyProtection="1">
      <alignment horizontal="right" vertical="center" wrapText="1"/>
      <protection locked="0"/>
    </xf>
    <xf numFmtId="176" fontId="49" fillId="30" borderId="85" xfId="0" applyNumberFormat="1" applyFont="1" applyFill="1" applyBorder="1" applyAlignment="1" applyProtection="1">
      <alignment horizontal="right" vertical="center" wrapText="1"/>
      <protection locked="0"/>
    </xf>
    <xf numFmtId="49" fontId="49" fillId="30" borderId="100" xfId="0" applyNumberFormat="1" applyFont="1" applyFill="1" applyBorder="1" applyAlignment="1" applyProtection="1">
      <alignment horizontal="left" vertical="top" wrapText="1"/>
      <protection locked="0"/>
    </xf>
    <xf numFmtId="49" fontId="49" fillId="30" borderId="101" xfId="0" applyNumberFormat="1" applyFont="1" applyFill="1" applyBorder="1" applyAlignment="1" applyProtection="1">
      <alignment horizontal="left" vertical="top" wrapText="1"/>
      <protection locked="0"/>
    </xf>
    <xf numFmtId="176" fontId="49" fillId="30" borderId="102" xfId="0" applyNumberFormat="1" applyFont="1" applyFill="1" applyBorder="1" applyAlignment="1" applyProtection="1">
      <alignment horizontal="right" vertical="center" wrapText="1"/>
      <protection locked="0"/>
    </xf>
    <xf numFmtId="176" fontId="49" fillId="30" borderId="75" xfId="0" applyNumberFormat="1" applyFont="1" applyFill="1" applyBorder="1" applyAlignment="1" applyProtection="1">
      <alignment horizontal="right" vertical="center" wrapText="1"/>
      <protection locked="0"/>
    </xf>
    <xf numFmtId="176" fontId="49" fillId="30" borderId="173" xfId="0" applyNumberFormat="1" applyFont="1" applyFill="1" applyBorder="1" applyAlignment="1" applyProtection="1">
      <alignment horizontal="right" vertical="center" wrapText="1"/>
      <protection locked="0"/>
    </xf>
    <xf numFmtId="176" fontId="49" fillId="30" borderId="174" xfId="0" applyNumberFormat="1" applyFont="1" applyFill="1" applyBorder="1" applyAlignment="1" applyProtection="1">
      <alignment horizontal="right" vertical="center" wrapText="1"/>
      <protection locked="0"/>
    </xf>
    <xf numFmtId="176" fontId="49" fillId="30" borderId="64" xfId="0" applyNumberFormat="1" applyFont="1" applyFill="1" applyBorder="1" applyAlignment="1" applyProtection="1">
      <alignment horizontal="right" vertical="center" wrapText="1"/>
      <protection locked="0"/>
    </xf>
    <xf numFmtId="176" fontId="49" fillId="30" borderId="62" xfId="0" applyNumberFormat="1" applyFont="1" applyFill="1" applyBorder="1" applyAlignment="1" applyProtection="1">
      <alignment horizontal="right" vertical="center" wrapText="1"/>
      <protection locked="0"/>
    </xf>
    <xf numFmtId="176" fontId="49" fillId="30" borderId="63" xfId="0" applyNumberFormat="1" applyFont="1" applyFill="1" applyBorder="1" applyAlignment="1" applyProtection="1">
      <alignment horizontal="right" vertical="center" wrapText="1"/>
      <protection locked="0"/>
    </xf>
    <xf numFmtId="176" fontId="49" fillId="30" borderId="86" xfId="0" applyNumberFormat="1" applyFont="1" applyFill="1" applyBorder="1" applyAlignment="1" applyProtection="1">
      <alignment horizontal="right" vertical="center" wrapText="1"/>
      <protection locked="0"/>
    </xf>
    <xf numFmtId="176" fontId="67" fillId="25" borderId="175" xfId="0" applyNumberFormat="1" applyFont="1" applyFill="1" applyBorder="1" applyAlignment="1" applyProtection="1">
      <alignment horizontal="right" vertical="center" wrapText="1"/>
      <protection locked="0"/>
    </xf>
    <xf numFmtId="0" fontId="9" fillId="0" borderId="0" xfId="126" applyFont="1" applyAlignment="1" applyProtection="1">
      <alignment horizontal="center" vertical="center" wrapText="1"/>
      <protection locked="0"/>
    </xf>
    <xf numFmtId="0" fontId="48" fillId="35" borderId="98" xfId="126" applyFont="1" applyFill="1" applyBorder="1" applyAlignment="1" applyProtection="1">
      <alignment horizontal="center" vertical="center" wrapText="1"/>
      <protection locked="0"/>
    </xf>
    <xf numFmtId="0" fontId="64" fillId="22" borderId="1" xfId="122" applyBorder="1">
      <alignment horizontal="center" vertical="center" wrapText="1"/>
    </xf>
    <xf numFmtId="0" fontId="48" fillId="16" borderId="1" xfId="126" applyFont="1" applyFill="1" applyBorder="1" applyAlignment="1" applyProtection="1">
      <alignment horizontal="center" vertical="center" wrapText="1"/>
      <protection locked="0"/>
    </xf>
    <xf numFmtId="0" fontId="48" fillId="16" borderId="182" xfId="126" applyFont="1" applyFill="1" applyBorder="1" applyAlignment="1" applyProtection="1">
      <alignment horizontal="center" vertical="center" wrapText="1"/>
      <protection locked="0"/>
    </xf>
    <xf numFmtId="0" fontId="48" fillId="0" borderId="21" xfId="126" applyFont="1" applyBorder="1" applyAlignment="1" applyProtection="1">
      <alignment horizontal="center" vertical="center" wrapText="1"/>
      <protection locked="0"/>
    </xf>
    <xf numFmtId="0" fontId="48" fillId="41" borderId="185" xfId="126" applyFont="1" applyFill="1" applyBorder="1" applyAlignment="1" applyProtection="1">
      <alignment horizontal="center" vertical="center" wrapText="1"/>
      <protection locked="0"/>
    </xf>
    <xf numFmtId="0" fontId="48" fillId="41" borderId="186" xfId="126" applyFont="1" applyFill="1" applyBorder="1" applyAlignment="1" applyProtection="1">
      <alignment horizontal="center" vertical="center" wrapText="1"/>
      <protection locked="0"/>
    </xf>
    <xf numFmtId="0" fontId="48" fillId="35" borderId="187" xfId="126" applyFont="1" applyFill="1" applyBorder="1" applyAlignment="1" applyProtection="1">
      <alignment horizontal="center" vertical="center" wrapText="1"/>
      <protection locked="0"/>
    </xf>
    <xf numFmtId="0" fontId="48" fillId="35" borderId="185" xfId="126" applyFont="1" applyFill="1" applyBorder="1" applyAlignment="1" applyProtection="1">
      <alignment horizontal="center" vertical="center" wrapText="1"/>
      <protection locked="0"/>
    </xf>
    <xf numFmtId="0" fontId="64" fillId="22" borderId="188" xfId="122" applyBorder="1">
      <alignment horizontal="center" vertical="center" wrapText="1"/>
    </xf>
    <xf numFmtId="0" fontId="48" fillId="35" borderId="189" xfId="126" applyFont="1" applyFill="1" applyBorder="1" applyAlignment="1" applyProtection="1">
      <alignment horizontal="center" vertical="center" wrapText="1"/>
      <protection locked="0"/>
    </xf>
    <xf numFmtId="0" fontId="48" fillId="0" borderId="15" xfId="126" applyFont="1" applyBorder="1" applyAlignment="1" applyProtection="1">
      <alignment vertical="center" wrapText="1"/>
      <protection locked="0"/>
    </xf>
    <xf numFmtId="1" fontId="50" fillId="31" borderId="193" xfId="126" applyNumberFormat="1" applyFont="1" applyFill="1" applyBorder="1" applyProtection="1">
      <protection locked="0"/>
    </xf>
    <xf numFmtId="186" fontId="50" fillId="31" borderId="194" xfId="0" applyNumberFormat="1" applyFont="1" applyFill="1" applyBorder="1" applyProtection="1">
      <protection locked="0"/>
    </xf>
    <xf numFmtId="0" fontId="2" fillId="31" borderId="194" xfId="126" applyFill="1" applyBorder="1" applyAlignment="1" applyProtection="1">
      <alignment vertical="top" wrapText="1"/>
      <protection locked="0"/>
    </xf>
    <xf numFmtId="0" fontId="2" fillId="31" borderId="193" xfId="126" applyFill="1" applyBorder="1" applyAlignment="1" applyProtection="1">
      <alignment vertical="top" wrapText="1"/>
      <protection locked="0"/>
    </xf>
    <xf numFmtId="0" fontId="2" fillId="31" borderId="197" xfId="126" applyFill="1" applyBorder="1" applyAlignment="1" applyProtection="1">
      <alignment vertical="top" wrapText="1"/>
      <protection locked="0"/>
    </xf>
    <xf numFmtId="187" fontId="50" fillId="31" borderId="194" xfId="126" applyNumberFormat="1" applyFont="1" applyFill="1" applyBorder="1" applyProtection="1">
      <protection locked="0"/>
    </xf>
    <xf numFmtId="0" fontId="2" fillId="31" borderId="198" xfId="126" applyFill="1" applyBorder="1" applyAlignment="1" applyProtection="1">
      <alignment vertical="top" wrapText="1"/>
      <protection locked="0"/>
    </xf>
    <xf numFmtId="0" fontId="2" fillId="31" borderId="199" xfId="126" applyFill="1" applyBorder="1" applyAlignment="1" applyProtection="1">
      <alignment vertical="top" wrapText="1"/>
      <protection locked="0"/>
    </xf>
    <xf numFmtId="0" fontId="2" fillId="31" borderId="202" xfId="126" applyFill="1" applyBorder="1" applyAlignment="1" applyProtection="1">
      <alignment vertical="top" wrapText="1"/>
      <protection locked="0"/>
    </xf>
    <xf numFmtId="0" fontId="0" fillId="31" borderId="199" xfId="126" applyFont="1" applyFill="1" applyBorder="1" applyAlignment="1" applyProtection="1">
      <alignment vertical="top" wrapText="1"/>
      <protection locked="0"/>
    </xf>
    <xf numFmtId="49" fontId="44" fillId="42" borderId="203" xfId="126" applyNumberFormat="1" applyFont="1" applyFill="1" applyBorder="1" applyAlignment="1" applyProtection="1">
      <alignment horizontal="right" vertical="center" wrapText="1"/>
      <protection locked="0"/>
    </xf>
    <xf numFmtId="0" fontId="2" fillId="34" borderId="186" xfId="126" applyFill="1" applyBorder="1" applyAlignment="1" applyProtection="1">
      <alignment vertical="top" wrapText="1"/>
      <protection locked="0"/>
    </xf>
    <xf numFmtId="0" fontId="0" fillId="34" borderId="204" xfId="0" applyFill="1" applyBorder="1" applyAlignment="1" applyProtection="1">
      <alignment vertical="top" wrapText="1"/>
      <protection locked="0"/>
    </xf>
    <xf numFmtId="0" fontId="2" fillId="34" borderId="204" xfId="126" applyFill="1" applyBorder="1" applyAlignment="1" applyProtection="1">
      <alignment vertical="top" wrapText="1"/>
      <protection locked="0"/>
    </xf>
    <xf numFmtId="0" fontId="2" fillId="34" borderId="205" xfId="126" applyFill="1" applyBorder="1" applyAlignment="1" applyProtection="1">
      <alignment vertical="top" wrapText="1"/>
      <protection locked="0"/>
    </xf>
    <xf numFmtId="188" fontId="5" fillId="42" borderId="185" xfId="61" applyNumberFormat="1" applyFill="1" applyBorder="1" applyAlignment="1" applyProtection="1">
      <alignment vertical="top" wrapText="1"/>
      <protection locked="0"/>
    </xf>
    <xf numFmtId="0" fontId="2" fillId="25" borderId="206" xfId="126" applyFill="1" applyBorder="1" applyAlignment="1" applyProtection="1">
      <alignment vertical="top" wrapText="1"/>
      <protection locked="0"/>
    </xf>
    <xf numFmtId="185" fontId="2" fillId="42" borderId="185" xfId="126" applyNumberFormat="1" applyFill="1" applyBorder="1" applyAlignment="1" applyProtection="1">
      <alignment vertical="top" wrapText="1"/>
      <protection locked="0"/>
    </xf>
    <xf numFmtId="185" fontId="2" fillId="25" borderId="206" xfId="126" applyNumberFormat="1" applyFill="1" applyBorder="1" applyAlignment="1" applyProtection="1">
      <alignment horizontal="center" vertical="top" wrapText="1"/>
      <protection locked="0"/>
    </xf>
    <xf numFmtId="0" fontId="2" fillId="31" borderId="211" xfId="126" applyFill="1" applyBorder="1" applyAlignment="1" applyProtection="1">
      <alignment vertical="top" wrapText="1"/>
      <protection locked="0"/>
    </xf>
    <xf numFmtId="187" fontId="50" fillId="31" borderId="211" xfId="126" applyNumberFormat="1" applyFont="1" applyFill="1" applyBorder="1" applyProtection="1">
      <protection locked="0"/>
    </xf>
    <xf numFmtId="0" fontId="2" fillId="25" borderId="16" xfId="126" applyFill="1" applyBorder="1" applyAlignment="1" applyProtection="1">
      <alignment vertical="top" wrapText="1"/>
      <protection locked="0"/>
    </xf>
    <xf numFmtId="0" fontId="2" fillId="25" borderId="2" xfId="126" applyFill="1" applyBorder="1" applyAlignment="1" applyProtection="1">
      <alignment vertical="top" wrapText="1"/>
      <protection locked="0"/>
    </xf>
    <xf numFmtId="0" fontId="2" fillId="25" borderId="216" xfId="126" applyFill="1" applyBorder="1" applyAlignment="1" applyProtection="1">
      <alignment vertical="top" wrapText="1"/>
      <protection locked="0"/>
    </xf>
    <xf numFmtId="0" fontId="2" fillId="25" borderId="217" xfId="126" applyFill="1" applyBorder="1" applyAlignment="1" applyProtection="1">
      <alignment vertical="top" wrapText="1"/>
      <protection locked="0"/>
    </xf>
    <xf numFmtId="190" fontId="0" fillId="31" borderId="219" xfId="126" applyNumberFormat="1" applyFont="1" applyFill="1" applyBorder="1" applyAlignment="1" applyProtection="1">
      <alignment vertical="top" wrapText="1"/>
      <protection locked="0"/>
    </xf>
    <xf numFmtId="0" fontId="47" fillId="21" borderId="0" xfId="121" applyFont="1" applyFill="1" applyAlignment="1" applyProtection="1">
      <alignment vertical="center"/>
      <protection locked="0"/>
    </xf>
    <xf numFmtId="0" fontId="85" fillId="0" borderId="0" xfId="128" applyFont="1" applyAlignment="1" applyProtection="1">
      <alignment vertical="center"/>
      <protection locked="0"/>
    </xf>
    <xf numFmtId="0" fontId="86" fillId="27" borderId="0" xfId="89" applyFont="1" applyFill="1" applyProtection="1">
      <protection locked="0"/>
    </xf>
    <xf numFmtId="0" fontId="49" fillId="0" borderId="0" xfId="89" applyAlignment="1" applyProtection="1">
      <alignment vertical="center"/>
      <protection locked="0"/>
    </xf>
    <xf numFmtId="0" fontId="87" fillId="0" borderId="0" xfId="0" applyFont="1" applyAlignment="1" applyProtection="1">
      <alignment vertical="center"/>
      <protection locked="0"/>
    </xf>
    <xf numFmtId="0" fontId="88" fillId="0" borderId="0" xfId="0" applyFont="1" applyAlignment="1" applyProtection="1">
      <alignment vertical="center"/>
      <protection locked="0"/>
    </xf>
    <xf numFmtId="0" fontId="80" fillId="27" borderId="0" xfId="0" applyFont="1" applyFill="1" applyProtection="1">
      <protection locked="0"/>
    </xf>
    <xf numFmtId="0" fontId="9" fillId="0" borderId="0" xfId="126" applyFont="1" applyAlignment="1" applyProtection="1">
      <alignment vertical="center" wrapText="1"/>
      <protection locked="0"/>
    </xf>
    <xf numFmtId="0" fontId="48" fillId="0" borderId="89" xfId="126" applyFont="1" applyBorder="1" applyAlignment="1" applyProtection="1">
      <alignment horizontal="center" vertical="center" wrapText="1"/>
      <protection locked="0"/>
    </xf>
    <xf numFmtId="0" fontId="48" fillId="22" borderId="186" xfId="126" applyFont="1" applyFill="1" applyBorder="1" applyAlignment="1" applyProtection="1">
      <alignment horizontal="center" vertical="center" wrapText="1"/>
      <protection locked="0"/>
    </xf>
    <xf numFmtId="0" fontId="48" fillId="35" borderId="190" xfId="126" applyFont="1" applyFill="1" applyBorder="1" applyAlignment="1" applyProtection="1">
      <alignment horizontal="center" vertical="center" wrapText="1"/>
      <protection locked="0"/>
    </xf>
    <xf numFmtId="0" fontId="48" fillId="22" borderId="190" xfId="126" applyFont="1" applyFill="1" applyBorder="1" applyAlignment="1" applyProtection="1">
      <alignment horizontal="center" vertical="center" wrapText="1"/>
      <protection locked="0"/>
    </xf>
    <xf numFmtId="191" fontId="2" fillId="31" borderId="210" xfId="126" applyNumberFormat="1" applyFill="1" applyBorder="1" applyAlignment="1" applyProtection="1">
      <alignment vertical="top" wrapText="1"/>
      <protection locked="0"/>
    </xf>
    <xf numFmtId="1" fontId="2" fillId="31" borderId="211" xfId="126" applyNumberFormat="1" applyFill="1" applyBorder="1" applyAlignment="1" applyProtection="1">
      <alignment vertical="top" wrapText="1"/>
      <protection locked="0"/>
    </xf>
    <xf numFmtId="172" fontId="50" fillId="31" borderId="211" xfId="0" applyNumberFormat="1" applyFont="1" applyFill="1" applyBorder="1" applyAlignment="1" applyProtection="1">
      <alignment horizontal="center"/>
      <protection locked="0"/>
    </xf>
    <xf numFmtId="191" fontId="2" fillId="31" borderId="198" xfId="126" applyNumberFormat="1" applyFill="1" applyBorder="1" applyAlignment="1" applyProtection="1">
      <alignment vertical="top" wrapText="1"/>
      <protection locked="0"/>
    </xf>
    <xf numFmtId="1" fontId="2" fillId="31" borderId="199" xfId="126" applyNumberFormat="1" applyFill="1" applyBorder="1" applyAlignment="1" applyProtection="1">
      <alignment vertical="top" wrapText="1"/>
      <protection locked="0"/>
    </xf>
    <xf numFmtId="172" fontId="50" fillId="31" borderId="199" xfId="0" applyNumberFormat="1" applyFont="1" applyFill="1" applyBorder="1" applyAlignment="1" applyProtection="1">
      <alignment horizontal="center"/>
      <protection locked="0"/>
    </xf>
    <xf numFmtId="191" fontId="2" fillId="31" borderId="227" xfId="126" applyNumberFormat="1" applyFill="1" applyBorder="1" applyAlignment="1" applyProtection="1">
      <alignment vertical="top" wrapText="1"/>
      <protection locked="0"/>
    </xf>
    <xf numFmtId="1" fontId="2" fillId="31" borderId="228" xfId="126" applyNumberFormat="1" applyFill="1" applyBorder="1" applyAlignment="1" applyProtection="1">
      <alignment vertical="top" wrapText="1"/>
      <protection locked="0"/>
    </xf>
    <xf numFmtId="0" fontId="2" fillId="31" borderId="228" xfId="126" applyFill="1" applyBorder="1" applyAlignment="1" applyProtection="1">
      <alignment vertical="top" wrapText="1"/>
      <protection locked="0"/>
    </xf>
    <xf numFmtId="172" fontId="50" fillId="31" borderId="228" xfId="0" applyNumberFormat="1" applyFont="1" applyFill="1" applyBorder="1" applyAlignment="1" applyProtection="1">
      <alignment horizontal="center"/>
      <protection locked="0"/>
    </xf>
    <xf numFmtId="0" fontId="2" fillId="34" borderId="189" xfId="126" applyFill="1" applyBorder="1" applyAlignment="1" applyProtection="1">
      <alignment vertical="top" wrapText="1"/>
      <protection locked="0"/>
    </xf>
    <xf numFmtId="0" fontId="2" fillId="34" borderId="92" xfId="126" applyFill="1" applyBorder="1" applyAlignment="1" applyProtection="1">
      <alignment vertical="top" wrapText="1"/>
      <protection locked="0"/>
    </xf>
    <xf numFmtId="0" fontId="2" fillId="34" borderId="96" xfId="126" applyFill="1" applyBorder="1" applyAlignment="1" applyProtection="1">
      <alignment vertical="top" wrapText="1"/>
      <protection locked="0"/>
    </xf>
    <xf numFmtId="191" fontId="2" fillId="25" borderId="230" xfId="126" applyNumberFormat="1" applyFill="1" applyBorder="1" applyAlignment="1" applyProtection="1">
      <alignment vertical="top" wrapText="1"/>
      <protection locked="0"/>
    </xf>
    <xf numFmtId="187" fontId="2" fillId="42" borderId="231" xfId="126" applyNumberFormat="1" applyFill="1" applyBorder="1" applyAlignment="1" applyProtection="1">
      <alignment vertical="top" wrapText="1"/>
      <protection locked="0"/>
    </xf>
    <xf numFmtId="0" fontId="2" fillId="25" borderId="232" xfId="126" applyFill="1" applyBorder="1" applyAlignment="1" applyProtection="1">
      <alignment vertical="top" wrapText="1"/>
      <protection locked="0"/>
    </xf>
    <xf numFmtId="0" fontId="2" fillId="25" borderId="231" xfId="126" applyFill="1" applyBorder="1" applyAlignment="1" applyProtection="1">
      <alignment vertical="top" wrapText="1"/>
      <protection locked="0"/>
    </xf>
    <xf numFmtId="185" fontId="2" fillId="25" borderId="203" xfId="126" applyNumberFormat="1" applyFill="1" applyBorder="1" applyAlignment="1" applyProtection="1">
      <alignment horizontal="center" vertical="top" wrapText="1"/>
      <protection locked="0"/>
    </xf>
    <xf numFmtId="0" fontId="9" fillId="25" borderId="116" xfId="126" applyFont="1" applyFill="1" applyBorder="1" applyAlignment="1" applyProtection="1">
      <alignment horizontal="center" vertical="top" wrapText="1"/>
      <protection locked="0"/>
    </xf>
    <xf numFmtId="0" fontId="2" fillId="25" borderId="111" xfId="126" applyFill="1" applyBorder="1" applyAlignment="1" applyProtection="1">
      <alignment vertical="top" wrapText="1"/>
      <protection locked="0"/>
    </xf>
    <xf numFmtId="1" fontId="2" fillId="25" borderId="215" xfId="126" applyNumberFormat="1" applyFill="1" applyBorder="1" applyAlignment="1" applyProtection="1">
      <alignment vertical="top" wrapText="1"/>
      <protection locked="0"/>
    </xf>
    <xf numFmtId="0" fontId="2" fillId="25" borderId="215" xfId="126" applyFill="1" applyBorder="1" applyAlignment="1" applyProtection="1">
      <alignment vertical="top" wrapText="1"/>
      <protection locked="0"/>
    </xf>
    <xf numFmtId="0" fontId="47" fillId="21" borderId="19" xfId="0" applyFont="1" applyFill="1" applyBorder="1" applyAlignment="1">
      <alignment vertical="center"/>
    </xf>
    <xf numFmtId="0" fontId="47" fillId="21" borderId="20" xfId="0" applyFont="1" applyFill="1" applyBorder="1" applyAlignment="1">
      <alignment vertical="center"/>
    </xf>
    <xf numFmtId="0" fontId="47" fillId="21" borderId="21" xfId="0" applyFont="1" applyFill="1" applyBorder="1" applyAlignment="1">
      <alignment vertical="center"/>
    </xf>
    <xf numFmtId="172" fontId="50" fillId="0" borderId="0" xfId="0" applyNumberFormat="1" applyFont="1" applyAlignment="1">
      <alignment horizontal="left"/>
    </xf>
    <xf numFmtId="0" fontId="89" fillId="18" borderId="156" xfId="0" applyFont="1" applyFill="1" applyBorder="1" applyProtection="1">
      <protection locked="0"/>
    </xf>
    <xf numFmtId="0" fontId="89" fillId="18" borderId="157" xfId="0" applyFont="1" applyFill="1" applyBorder="1" applyProtection="1">
      <protection locked="0"/>
    </xf>
    <xf numFmtId="0" fontId="89" fillId="18" borderId="35" xfId="0" applyFont="1" applyFill="1" applyBorder="1" applyProtection="1">
      <protection locked="0"/>
    </xf>
    <xf numFmtId="0" fontId="89" fillId="18" borderId="74" xfId="0" applyFont="1" applyFill="1" applyBorder="1" applyProtection="1">
      <protection locked="0"/>
    </xf>
    <xf numFmtId="0" fontId="89" fillId="18" borderId="150" xfId="0" applyFont="1" applyFill="1" applyBorder="1" applyProtection="1">
      <protection locked="0"/>
    </xf>
    <xf numFmtId="0" fontId="89" fillId="18" borderId="158" xfId="0" applyFont="1" applyFill="1" applyBorder="1" applyProtection="1">
      <protection locked="0"/>
    </xf>
    <xf numFmtId="176" fontId="51" fillId="3" borderId="122" xfId="86" applyBorder="1" applyProtection="1">
      <alignment horizontal="right" vertical="center"/>
      <protection locked="0"/>
    </xf>
    <xf numFmtId="176" fontId="51" fillId="3" borderId="235" xfId="86" applyBorder="1" applyProtection="1">
      <alignment horizontal="right" vertical="center"/>
      <protection locked="0"/>
    </xf>
    <xf numFmtId="0" fontId="46" fillId="21" borderId="19" xfId="0" applyFont="1" applyFill="1" applyBorder="1" applyAlignment="1">
      <alignment horizontal="left" vertical="center"/>
    </xf>
    <xf numFmtId="0" fontId="90" fillId="21" borderId="21" xfId="0" applyFont="1" applyFill="1" applyBorder="1" applyAlignment="1">
      <alignment vertical="center"/>
    </xf>
    <xf numFmtId="0" fontId="85" fillId="25" borderId="19" xfId="0" applyFont="1" applyFill="1" applyBorder="1"/>
    <xf numFmtId="0" fontId="57" fillId="25" borderId="38" xfId="0" applyFont="1" applyFill="1" applyBorder="1" applyAlignment="1">
      <alignment horizontal="center" vertical="center"/>
    </xf>
    <xf numFmtId="49" fontId="49" fillId="31" borderId="66" xfId="0" applyNumberFormat="1" applyFont="1" applyFill="1" applyBorder="1" applyAlignment="1" applyProtection="1">
      <alignment horizontal="left" vertical="center" indent="1"/>
      <protection locked="0"/>
    </xf>
    <xf numFmtId="176" fontId="49" fillId="18" borderId="41" xfId="0" applyNumberFormat="1" applyFont="1" applyFill="1" applyBorder="1" applyAlignment="1" applyProtection="1">
      <alignment horizontal="right" vertical="center" indent="1"/>
      <protection locked="0"/>
    </xf>
    <xf numFmtId="176" fontId="49" fillId="18" borderId="67" xfId="0" applyNumberFormat="1" applyFont="1" applyFill="1" applyBorder="1" applyAlignment="1" applyProtection="1">
      <alignment horizontal="right" vertical="center" indent="1"/>
      <protection locked="0"/>
    </xf>
    <xf numFmtId="49" fontId="49" fillId="31" borderId="51" xfId="0" applyNumberFormat="1" applyFont="1" applyFill="1" applyBorder="1" applyAlignment="1" applyProtection="1">
      <alignment vertical="center"/>
      <protection locked="0"/>
    </xf>
    <xf numFmtId="176" fontId="49" fillId="18" borderId="52" xfId="0" applyNumberFormat="1" applyFont="1" applyFill="1" applyBorder="1" applyAlignment="1" applyProtection="1">
      <alignment horizontal="right" vertical="center" indent="1"/>
      <protection locked="0"/>
    </xf>
    <xf numFmtId="176" fontId="49" fillId="18" borderId="55" xfId="0" applyNumberFormat="1" applyFont="1" applyFill="1" applyBorder="1" applyAlignment="1" applyProtection="1">
      <alignment horizontal="right" vertical="center" indent="1"/>
      <protection locked="0"/>
    </xf>
    <xf numFmtId="49" fontId="49" fillId="31" borderId="42" xfId="0" applyNumberFormat="1" applyFont="1" applyFill="1" applyBorder="1" applyAlignment="1" applyProtection="1">
      <alignment horizontal="left" vertical="center" indent="1"/>
      <protection locked="0"/>
    </xf>
    <xf numFmtId="176" fontId="49" fillId="18" borderId="42" xfId="0" applyNumberFormat="1" applyFont="1" applyFill="1" applyBorder="1" applyAlignment="1" applyProtection="1">
      <alignment horizontal="right" vertical="center" indent="1"/>
      <protection locked="0"/>
    </xf>
    <xf numFmtId="176" fontId="49" fillId="18" borderId="64" xfId="0" applyNumberFormat="1" applyFont="1" applyFill="1" applyBorder="1" applyAlignment="1" applyProtection="1">
      <alignment horizontal="right" vertical="center" indent="1"/>
      <protection locked="0"/>
    </xf>
    <xf numFmtId="49" fontId="49" fillId="0" borderId="27" xfId="0" applyNumberFormat="1" applyFont="1" applyBorder="1" applyAlignment="1">
      <alignment horizontal="left" vertical="center"/>
    </xf>
    <xf numFmtId="0" fontId="49" fillId="0" borderId="32" xfId="0" applyFont="1" applyBorder="1" applyAlignment="1">
      <alignment horizontal="left" vertical="center"/>
    </xf>
    <xf numFmtId="0" fontId="89" fillId="18" borderId="76" xfId="0" applyFont="1" applyFill="1" applyBorder="1" applyProtection="1">
      <protection locked="0"/>
    </xf>
    <xf numFmtId="0" fontId="46" fillId="21" borderId="43" xfId="0" applyFont="1" applyFill="1" applyBorder="1" applyAlignment="1">
      <alignment vertical="center"/>
    </xf>
    <xf numFmtId="0" fontId="9" fillId="22" borderId="187" xfId="0" applyFont="1" applyFill="1" applyBorder="1" applyAlignment="1">
      <alignment horizontal="center" vertical="center"/>
    </xf>
    <xf numFmtId="0" fontId="9" fillId="22" borderId="185" xfId="0" applyFont="1" applyFill="1" applyBorder="1" applyAlignment="1">
      <alignment horizontal="center" vertical="center"/>
    </xf>
    <xf numFmtId="0" fontId="9" fillId="44" borderId="185" xfId="0" applyFont="1" applyFill="1" applyBorder="1" applyAlignment="1">
      <alignment horizontal="center" vertical="center"/>
    </xf>
    <xf numFmtId="0" fontId="9" fillId="44" borderId="190" xfId="0" applyFont="1" applyFill="1" applyBorder="1" applyAlignment="1">
      <alignment horizontal="center" vertical="center"/>
    </xf>
    <xf numFmtId="0" fontId="49" fillId="0" borderId="210" xfId="0" applyFont="1" applyBorder="1" applyAlignment="1" applyProtection="1">
      <alignment horizontal="right" wrapText="1" indent="1"/>
      <protection locked="0"/>
    </xf>
    <xf numFmtId="0" fontId="49" fillId="30" borderId="29" xfId="0" applyFont="1" applyFill="1" applyBorder="1" applyAlignment="1" applyProtection="1">
      <alignment horizontal="left" vertical="top"/>
      <protection locked="0"/>
    </xf>
    <xf numFmtId="0" fontId="49" fillId="30" borderId="31" xfId="0" applyFont="1" applyFill="1" applyBorder="1" applyAlignment="1" applyProtection="1">
      <alignment horizontal="left" vertical="top"/>
      <protection locked="0"/>
    </xf>
    <xf numFmtId="176" fontId="49" fillId="30" borderId="238" xfId="0" applyNumberFormat="1" applyFont="1" applyFill="1" applyBorder="1" applyAlignment="1" applyProtection="1">
      <alignment horizontal="right" vertical="center"/>
      <protection locked="0"/>
    </xf>
    <xf numFmtId="0" fontId="49" fillId="0" borderId="198" xfId="0" applyFont="1" applyBorder="1" applyAlignment="1" applyProtection="1">
      <alignment horizontal="right" wrapText="1" indent="1"/>
      <protection locked="0"/>
    </xf>
    <xf numFmtId="0" fontId="49" fillId="30" borderId="33" xfId="0" applyFont="1" applyFill="1" applyBorder="1" applyAlignment="1" applyProtection="1">
      <alignment horizontal="left" vertical="top"/>
      <protection locked="0"/>
    </xf>
    <xf numFmtId="0" fontId="49" fillId="30" borderId="35" xfId="0" applyFont="1" applyFill="1" applyBorder="1" applyAlignment="1" applyProtection="1">
      <alignment horizontal="left" vertical="top"/>
      <protection locked="0"/>
    </xf>
    <xf numFmtId="176" fontId="49" fillId="30" borderId="171" xfId="0" applyNumberFormat="1" applyFont="1" applyFill="1" applyBorder="1" applyAlignment="1" applyProtection="1">
      <alignment horizontal="right" vertical="center"/>
      <protection locked="0"/>
    </xf>
    <xf numFmtId="172" fontId="49" fillId="30" borderId="239" xfId="0" applyNumberFormat="1" applyFont="1" applyFill="1" applyBorder="1" applyAlignment="1" applyProtection="1">
      <alignment horizontal="right" vertical="center" wrapText="1" indent="1"/>
      <protection locked="0"/>
    </xf>
    <xf numFmtId="0" fontId="49" fillId="30" borderId="240" xfId="0" applyFont="1" applyFill="1" applyBorder="1" applyAlignment="1" applyProtection="1">
      <alignment horizontal="left" vertical="top"/>
      <protection locked="0"/>
    </xf>
    <xf numFmtId="0" fontId="49" fillId="30" borderId="241" xfId="0" applyFont="1" applyFill="1" applyBorder="1" applyAlignment="1" applyProtection="1">
      <alignment horizontal="left" vertical="top"/>
      <protection locked="0"/>
    </xf>
    <xf numFmtId="176" fontId="49" fillId="30" borderId="242" xfId="0" applyNumberFormat="1" applyFont="1" applyFill="1" applyBorder="1" applyAlignment="1" applyProtection="1">
      <alignment horizontal="right" vertical="center"/>
      <protection locked="0"/>
    </xf>
    <xf numFmtId="172" fontId="49" fillId="30" borderId="72" xfId="0" applyNumberFormat="1" applyFont="1" applyFill="1" applyBorder="1" applyAlignment="1" applyProtection="1">
      <alignment horizontal="right" vertical="center" wrapText="1" indent="1"/>
      <protection locked="0"/>
    </xf>
    <xf numFmtId="0" fontId="49" fillId="30" borderId="245" xfId="0" applyFont="1" applyFill="1" applyBorder="1" applyAlignment="1" applyProtection="1">
      <alignment horizontal="left" vertical="top"/>
      <protection locked="0"/>
    </xf>
    <xf numFmtId="0" fontId="49" fillId="30" borderId="246" xfId="0" applyFont="1" applyFill="1" applyBorder="1" applyAlignment="1" applyProtection="1">
      <alignment horizontal="left" vertical="top"/>
      <protection locked="0"/>
    </xf>
    <xf numFmtId="176" fontId="49" fillId="30" borderId="247" xfId="0" applyNumberFormat="1" applyFont="1" applyFill="1" applyBorder="1" applyAlignment="1" applyProtection="1">
      <alignment horizontal="right" vertical="center"/>
      <protection locked="0"/>
    </xf>
    <xf numFmtId="0" fontId="46" fillId="21" borderId="0" xfId="93" applyFont="1" applyProtection="1">
      <alignment vertical="center"/>
    </xf>
    <xf numFmtId="0" fontId="58" fillId="21" borderId="0" xfId="0" applyFont="1" applyFill="1"/>
    <xf numFmtId="0" fontId="58" fillId="21" borderId="0" xfId="0" applyFont="1" applyFill="1" applyAlignment="1">
      <alignment horizontal="left"/>
    </xf>
    <xf numFmtId="0" fontId="44" fillId="27" borderId="92" xfId="0" applyFont="1" applyFill="1" applyBorder="1" applyAlignment="1">
      <alignment horizontal="center"/>
    </xf>
    <xf numFmtId="0" fontId="44" fillId="27" borderId="96" xfId="0" applyFont="1" applyFill="1" applyBorder="1" applyAlignment="1">
      <alignment horizontal="center" wrapText="1"/>
    </xf>
    <xf numFmtId="0" fontId="91" fillId="42" borderId="43" xfId="0" applyFont="1" applyFill="1" applyBorder="1"/>
    <xf numFmtId="0" fontId="69" fillId="42" borderId="36" xfId="0" applyFont="1" applyFill="1" applyBorder="1"/>
    <xf numFmtId="0" fontId="69" fillId="42" borderId="38" xfId="0" applyFont="1" applyFill="1" applyBorder="1"/>
    <xf numFmtId="0" fontId="65" fillId="27" borderId="118" xfId="0" applyFont="1" applyFill="1" applyBorder="1"/>
    <xf numFmtId="0" fontId="53" fillId="27" borderId="118" xfId="0" applyFont="1" applyFill="1" applyBorder="1" applyAlignment="1">
      <alignment wrapText="1"/>
    </xf>
    <xf numFmtId="0" fontId="65" fillId="27" borderId="250" xfId="0" applyFont="1" applyFill="1" applyBorder="1" applyAlignment="1">
      <alignment horizontal="left"/>
    </xf>
    <xf numFmtId="3" fontId="53" fillId="31" borderId="69" xfId="0" applyNumberFormat="1" applyFont="1" applyFill="1" applyBorder="1" applyAlignment="1" applyProtection="1">
      <alignment horizontal="right" vertical="center" indent="1"/>
      <protection locked="0"/>
    </xf>
    <xf numFmtId="3" fontId="53" fillId="31" borderId="30" xfId="0" applyNumberFormat="1" applyFont="1" applyFill="1" applyBorder="1" applyAlignment="1" applyProtection="1">
      <alignment horizontal="right" vertical="center" indent="1"/>
      <protection locked="0"/>
    </xf>
    <xf numFmtId="3" fontId="53" fillId="18" borderId="29" xfId="0" applyNumberFormat="1" applyFont="1" applyFill="1" applyBorder="1" applyAlignment="1" applyProtection="1">
      <alignment horizontal="right" vertical="center" indent="1"/>
      <protection locked="0"/>
    </xf>
    <xf numFmtId="3" fontId="53" fillId="18" borderId="31" xfId="0" applyNumberFormat="1" applyFont="1" applyFill="1" applyBorder="1" applyAlignment="1" applyProtection="1">
      <alignment horizontal="right" vertical="center" indent="1"/>
      <protection locked="0"/>
    </xf>
    <xf numFmtId="3" fontId="53" fillId="18" borderId="73" xfId="0" applyNumberFormat="1" applyFont="1" applyFill="1" applyBorder="1" applyAlignment="1" applyProtection="1">
      <alignment horizontal="right" vertical="center" indent="1"/>
      <protection locked="0"/>
    </xf>
    <xf numFmtId="0" fontId="65" fillId="27" borderId="89" xfId="0" applyFont="1" applyFill="1" applyBorder="1"/>
    <xf numFmtId="0" fontId="53" fillId="27" borderId="45" xfId="0" applyFont="1" applyFill="1" applyBorder="1"/>
    <xf numFmtId="0" fontId="65" fillId="27" borderId="251" xfId="0" applyFont="1" applyFill="1" applyBorder="1" applyAlignment="1">
      <alignment horizontal="left"/>
    </xf>
    <xf numFmtId="3" fontId="53" fillId="31" borderId="71" xfId="0" applyNumberFormat="1" applyFont="1" applyFill="1" applyBorder="1" applyAlignment="1" applyProtection="1">
      <alignment horizontal="right" vertical="center" indent="1"/>
      <protection locked="0"/>
    </xf>
    <xf numFmtId="3" fontId="53" fillId="31" borderId="155" xfId="0" applyNumberFormat="1" applyFont="1" applyFill="1" applyBorder="1" applyAlignment="1" applyProtection="1">
      <alignment horizontal="right" vertical="center" indent="1"/>
      <protection locked="0"/>
    </xf>
    <xf numFmtId="3" fontId="53" fillId="18" borderId="154" xfId="0" applyNumberFormat="1" applyFont="1" applyFill="1" applyBorder="1" applyAlignment="1" applyProtection="1">
      <alignment horizontal="right" vertical="center" indent="1"/>
      <protection locked="0"/>
    </xf>
    <xf numFmtId="3" fontId="53" fillId="18" borderId="156" xfId="0" applyNumberFormat="1" applyFont="1" applyFill="1" applyBorder="1" applyAlignment="1" applyProtection="1">
      <alignment horizontal="right" vertical="center" indent="1"/>
      <protection locked="0"/>
    </xf>
    <xf numFmtId="3" fontId="53" fillId="18" borderId="157" xfId="0" applyNumberFormat="1" applyFont="1" applyFill="1" applyBorder="1" applyAlignment="1" applyProtection="1">
      <alignment horizontal="right" vertical="center" indent="1"/>
      <protection locked="0"/>
    </xf>
    <xf numFmtId="0" fontId="53" fillId="27" borderId="51" xfId="0" applyFont="1" applyFill="1" applyBorder="1"/>
    <xf numFmtId="0" fontId="65" fillId="27" borderId="252" xfId="0" applyFont="1" applyFill="1" applyBorder="1" applyAlignment="1">
      <alignment horizontal="left"/>
    </xf>
    <xf numFmtId="3" fontId="53" fillId="31" borderId="70" xfId="0" applyNumberFormat="1" applyFont="1" applyFill="1" applyBorder="1" applyAlignment="1" applyProtection="1">
      <alignment horizontal="right" vertical="center" indent="1"/>
      <protection locked="0"/>
    </xf>
    <xf numFmtId="3" fontId="53" fillId="31" borderId="34" xfId="0" applyNumberFormat="1" applyFont="1" applyFill="1" applyBorder="1" applyAlignment="1" applyProtection="1">
      <alignment horizontal="right" vertical="center" indent="1"/>
      <protection locked="0"/>
    </xf>
    <xf numFmtId="3" fontId="53" fillId="18" borderId="33" xfId="0" applyNumberFormat="1" applyFont="1" applyFill="1" applyBorder="1" applyAlignment="1" applyProtection="1">
      <alignment horizontal="right" vertical="center" indent="1"/>
      <protection locked="0"/>
    </xf>
    <xf numFmtId="3" fontId="53" fillId="18" borderId="35" xfId="0" applyNumberFormat="1" applyFont="1" applyFill="1" applyBorder="1" applyAlignment="1" applyProtection="1">
      <alignment horizontal="right" vertical="center" indent="1"/>
      <protection locked="0"/>
    </xf>
    <xf numFmtId="3" fontId="53" fillId="18" borderId="74" xfId="0" applyNumberFormat="1" applyFont="1" applyFill="1" applyBorder="1" applyAlignment="1" applyProtection="1">
      <alignment horizontal="right" vertical="center" indent="1"/>
      <protection locked="0"/>
    </xf>
    <xf numFmtId="0" fontId="65" fillId="27" borderId="180" xfId="0" applyFont="1" applyFill="1" applyBorder="1"/>
    <xf numFmtId="0" fontId="53" fillId="27" borderId="253" xfId="0" applyFont="1" applyFill="1" applyBorder="1"/>
    <xf numFmtId="0" fontId="65" fillId="27" borderId="134" xfId="0" applyFont="1" applyFill="1" applyBorder="1" applyAlignment="1">
      <alignment horizontal="left"/>
    </xf>
    <xf numFmtId="3" fontId="53" fillId="31" borderId="254" xfId="0" applyNumberFormat="1" applyFont="1" applyFill="1" applyBorder="1" applyAlignment="1" applyProtection="1">
      <alignment horizontal="right" vertical="center" indent="1"/>
      <protection locked="0"/>
    </xf>
    <xf numFmtId="3" fontId="53" fillId="31" borderId="255" xfId="0" applyNumberFormat="1" applyFont="1" applyFill="1" applyBorder="1" applyAlignment="1" applyProtection="1">
      <alignment horizontal="right" vertical="center" indent="1"/>
      <protection locked="0"/>
    </xf>
    <xf numFmtId="3" fontId="53" fillId="18" borderId="256" xfId="0" applyNumberFormat="1" applyFont="1" applyFill="1" applyBorder="1" applyAlignment="1" applyProtection="1">
      <alignment horizontal="right" vertical="center" indent="1"/>
      <protection locked="0"/>
    </xf>
    <xf numFmtId="3" fontId="53" fillId="18" borderId="257" xfId="0" applyNumberFormat="1" applyFont="1" applyFill="1" applyBorder="1" applyAlignment="1" applyProtection="1">
      <alignment horizontal="right" vertical="center" indent="1"/>
      <protection locked="0"/>
    </xf>
    <xf numFmtId="3" fontId="53" fillId="18" borderId="258" xfId="0" applyNumberFormat="1" applyFont="1" applyFill="1" applyBorder="1" applyAlignment="1" applyProtection="1">
      <alignment horizontal="right" vertical="center" indent="1"/>
      <protection locked="0"/>
    </xf>
    <xf numFmtId="0" fontId="53" fillId="27" borderId="180" xfId="0" applyFont="1" applyFill="1" applyBorder="1"/>
    <xf numFmtId="0" fontId="65" fillId="27" borderId="2" xfId="0" applyFont="1" applyFill="1" applyBorder="1" applyAlignment="1">
      <alignment horizontal="left"/>
    </xf>
    <xf numFmtId="3" fontId="53" fillId="31" borderId="259" xfId="0" applyNumberFormat="1" applyFont="1" applyFill="1" applyBorder="1" applyAlignment="1" applyProtection="1">
      <alignment horizontal="right" vertical="center" indent="1"/>
      <protection locked="0"/>
    </xf>
    <xf numFmtId="3" fontId="53" fillId="31" borderId="260" xfId="0" applyNumberFormat="1" applyFont="1" applyFill="1" applyBorder="1" applyAlignment="1" applyProtection="1">
      <alignment horizontal="right" vertical="center" indent="1"/>
      <protection locked="0"/>
    </xf>
    <xf numFmtId="3" fontId="53" fillId="18" borderId="261" xfId="0" applyNumberFormat="1" applyFont="1" applyFill="1" applyBorder="1" applyAlignment="1" applyProtection="1">
      <alignment horizontal="right" vertical="center" indent="1"/>
      <protection locked="0"/>
    </xf>
    <xf numFmtId="3" fontId="53" fillId="18" borderId="262" xfId="0" applyNumberFormat="1" applyFont="1" applyFill="1" applyBorder="1" applyAlignment="1" applyProtection="1">
      <alignment horizontal="right" vertical="center" indent="1"/>
      <protection locked="0"/>
    </xf>
    <xf numFmtId="3" fontId="53" fillId="18" borderId="263" xfId="0" applyNumberFormat="1" applyFont="1" applyFill="1" applyBorder="1" applyAlignment="1" applyProtection="1">
      <alignment horizontal="right" vertical="center" indent="1"/>
      <protection locked="0"/>
    </xf>
    <xf numFmtId="49" fontId="53" fillId="31" borderId="45" xfId="0" applyNumberFormat="1" applyFont="1" applyFill="1" applyBorder="1" applyProtection="1">
      <protection locked="0"/>
    </xf>
    <xf numFmtId="0" fontId="65" fillId="31" borderId="264" xfId="0" applyFont="1" applyFill="1" applyBorder="1" applyAlignment="1">
      <alignment horizontal="left"/>
    </xf>
    <xf numFmtId="49" fontId="53" fillId="31" borderId="51" xfId="0" applyNumberFormat="1" applyFont="1" applyFill="1" applyBorder="1" applyAlignment="1" applyProtection="1">
      <alignment horizontal="left"/>
      <protection locked="0"/>
    </xf>
    <xf numFmtId="0" fontId="65" fillId="31" borderId="214" xfId="0" applyFont="1" applyFill="1" applyBorder="1" applyAlignment="1">
      <alignment horizontal="left"/>
    </xf>
    <xf numFmtId="49" fontId="53" fillId="31" borderId="51" xfId="0" applyNumberFormat="1" applyFont="1" applyFill="1" applyBorder="1" applyProtection="1">
      <protection locked="0"/>
    </xf>
    <xf numFmtId="49" fontId="53" fillId="31" borderId="61" xfId="0" applyNumberFormat="1" applyFont="1" applyFill="1" applyBorder="1" applyProtection="1">
      <protection locked="0"/>
    </xf>
    <xf numFmtId="0" fontId="65" fillId="31" borderId="215" xfId="0" applyFont="1" applyFill="1" applyBorder="1" applyAlignment="1">
      <alignment horizontal="left"/>
    </xf>
    <xf numFmtId="3" fontId="53" fillId="31" borderId="100" xfId="0" applyNumberFormat="1" applyFont="1" applyFill="1" applyBorder="1" applyAlignment="1" applyProtection="1">
      <alignment horizontal="right" vertical="center" indent="1"/>
      <protection locked="0"/>
    </xf>
    <xf numFmtId="3" fontId="53" fillId="31" borderId="101" xfId="0" applyNumberFormat="1" applyFont="1" applyFill="1" applyBorder="1" applyAlignment="1" applyProtection="1">
      <alignment horizontal="right" vertical="center" indent="1"/>
      <protection locked="0"/>
    </xf>
    <xf numFmtId="3" fontId="53" fillId="18" borderId="102" xfId="0" applyNumberFormat="1" applyFont="1" applyFill="1" applyBorder="1" applyAlignment="1" applyProtection="1">
      <alignment horizontal="right" vertical="center" indent="1"/>
      <protection locked="0"/>
    </xf>
    <xf numFmtId="3" fontId="53" fillId="18" borderId="75" xfId="0" applyNumberFormat="1" applyFont="1" applyFill="1" applyBorder="1" applyAlignment="1" applyProtection="1">
      <alignment horizontal="right" vertical="center" indent="1"/>
      <protection locked="0"/>
    </xf>
    <xf numFmtId="3" fontId="53" fillId="18" borderId="76" xfId="0" applyNumberFormat="1" applyFont="1" applyFill="1" applyBorder="1" applyAlignment="1" applyProtection="1">
      <alignment horizontal="right" vertical="center" indent="1"/>
      <protection locked="0"/>
    </xf>
    <xf numFmtId="0" fontId="46" fillId="21" borderId="19" xfId="93" applyFont="1" applyBorder="1" applyProtection="1">
      <alignment vertical="center"/>
    </xf>
    <xf numFmtId="0" fontId="61" fillId="21" borderId="20" xfId="93" applyBorder="1" applyProtection="1">
      <alignment vertical="center"/>
    </xf>
    <xf numFmtId="0" fontId="61" fillId="21" borderId="20" xfId="93" applyBorder="1" applyAlignment="1" applyProtection="1">
      <alignment vertical="center" wrapText="1"/>
    </xf>
    <xf numFmtId="0" fontId="48" fillId="23" borderId="25" xfId="0" applyFont="1" applyFill="1" applyBorder="1" applyAlignment="1">
      <alignment horizontal="center" vertical="center" wrapText="1"/>
    </xf>
    <xf numFmtId="0" fontId="48" fillId="45" borderId="43" xfId="129" applyBorder="1">
      <alignment vertical="center"/>
    </xf>
    <xf numFmtId="0" fontId="48" fillId="45" borderId="36" xfId="129" applyBorder="1">
      <alignment vertical="center"/>
    </xf>
    <xf numFmtId="0" fontId="48" fillId="45" borderId="38" xfId="129" applyBorder="1">
      <alignment vertical="center"/>
    </xf>
    <xf numFmtId="175" fontId="50" fillId="24" borderId="41" xfId="85" applyBorder="1">
      <alignment horizontal="right"/>
      <protection locked="0"/>
    </xf>
    <xf numFmtId="175" fontId="50" fillId="24" borderId="67" xfId="85" applyBorder="1">
      <alignment horizontal="right"/>
      <protection locked="0"/>
    </xf>
    <xf numFmtId="175" fontId="50" fillId="24" borderId="84" xfId="85" applyBorder="1">
      <alignment horizontal="right"/>
      <protection locked="0"/>
    </xf>
    <xf numFmtId="175" fontId="50" fillId="24" borderId="52" xfId="85" applyBorder="1">
      <alignment horizontal="right"/>
      <protection locked="0"/>
    </xf>
    <xf numFmtId="175" fontId="50" fillId="24" borderId="55" xfId="85" applyBorder="1">
      <alignment horizontal="right"/>
      <protection locked="0"/>
    </xf>
    <xf numFmtId="175" fontId="50" fillId="24" borderId="85" xfId="85" applyBorder="1">
      <alignment horizontal="right"/>
      <protection locked="0"/>
    </xf>
    <xf numFmtId="175" fontId="50" fillId="24" borderId="42" xfId="85" applyBorder="1">
      <alignment horizontal="right"/>
      <protection locked="0"/>
    </xf>
    <xf numFmtId="175" fontId="50" fillId="24" borderId="64" xfId="85" applyBorder="1">
      <alignment horizontal="right"/>
      <protection locked="0"/>
    </xf>
    <xf numFmtId="175" fontId="50" fillId="24" borderId="86" xfId="85" applyBorder="1">
      <alignment horizontal="right"/>
      <protection locked="0"/>
    </xf>
    <xf numFmtId="0" fontId="48" fillId="45" borderId="92" xfId="129" applyBorder="1">
      <alignment vertical="center"/>
    </xf>
    <xf numFmtId="0" fontId="48" fillId="45" borderId="96" xfId="129" applyBorder="1">
      <alignment vertical="center"/>
    </xf>
    <xf numFmtId="49" fontId="47" fillId="21" borderId="0" xfId="0" applyNumberFormat="1" applyFont="1" applyFill="1" applyAlignment="1">
      <alignment vertical="center"/>
    </xf>
    <xf numFmtId="0" fontId="48" fillId="25" borderId="89" xfId="0" applyFont="1" applyFill="1" applyBorder="1" applyAlignment="1">
      <alignment horizontal="left" vertical="center" wrapText="1"/>
    </xf>
    <xf numFmtId="0" fontId="48" fillId="25" borderId="12" xfId="0" applyFont="1" applyFill="1" applyBorder="1" applyAlignment="1">
      <alignment horizontal="left" vertical="center" wrapText="1"/>
    </xf>
    <xf numFmtId="0" fontId="57" fillId="22" borderId="268" xfId="0" applyFont="1" applyFill="1" applyBorder="1" applyAlignment="1">
      <alignment horizontal="center" vertical="center" wrapText="1"/>
    </xf>
    <xf numFmtId="0" fontId="57" fillId="22" borderId="269" xfId="0" applyFont="1" applyFill="1" applyBorder="1" applyAlignment="1">
      <alignment horizontal="center" vertical="center" wrapText="1"/>
    </xf>
    <xf numFmtId="0" fontId="57" fillId="43" borderId="270" xfId="0" applyFont="1" applyFill="1" applyBorder="1" applyAlignment="1">
      <alignment horizontal="center" vertical="center" wrapText="1"/>
    </xf>
    <xf numFmtId="0" fontId="57" fillId="43" borderId="271" xfId="0" applyFont="1" applyFill="1" applyBorder="1" applyAlignment="1">
      <alignment horizontal="center" vertical="center" wrapText="1"/>
    </xf>
    <xf numFmtId="4" fontId="49" fillId="30" borderId="69" xfId="0" applyNumberFormat="1" applyFont="1" applyFill="1" applyBorder="1" applyAlignment="1" applyProtection="1">
      <alignment vertical="top" wrapText="1"/>
      <protection locked="0"/>
    </xf>
    <xf numFmtId="4" fontId="49" fillId="30" borderId="30" xfId="0" applyNumberFormat="1" applyFont="1" applyFill="1" applyBorder="1" applyAlignment="1" applyProtection="1">
      <alignment vertical="top" wrapText="1"/>
      <protection locked="0"/>
    </xf>
    <xf numFmtId="176" fontId="49" fillId="31" borderId="31" xfId="0" applyNumberFormat="1" applyFont="1" applyFill="1" applyBorder="1" applyAlignment="1" applyProtection="1">
      <alignment horizontal="right" vertical="center"/>
      <protection locked="0"/>
    </xf>
    <xf numFmtId="176" fontId="49" fillId="31" borderId="30" xfId="0" applyNumberFormat="1" applyFont="1" applyFill="1" applyBorder="1" applyAlignment="1" applyProtection="1">
      <alignment horizontal="right" vertical="center"/>
      <protection locked="0"/>
    </xf>
    <xf numFmtId="176" fontId="49" fillId="31" borderId="154" xfId="0" applyNumberFormat="1" applyFont="1" applyFill="1" applyBorder="1" applyAlignment="1" applyProtection="1">
      <alignment horizontal="right" vertical="center"/>
      <protection locked="0"/>
    </xf>
    <xf numFmtId="176" fontId="49" fillId="31" borderId="156" xfId="0" applyNumberFormat="1" applyFont="1" applyFill="1" applyBorder="1" applyAlignment="1" applyProtection="1">
      <alignment horizontal="right" vertical="center"/>
      <protection locked="0"/>
    </xf>
    <xf numFmtId="176" fontId="49" fillId="31" borderId="155" xfId="0" applyNumberFormat="1" applyFont="1" applyFill="1" applyBorder="1" applyAlignment="1" applyProtection="1">
      <alignment horizontal="right" vertical="center"/>
      <protection locked="0"/>
    </xf>
    <xf numFmtId="4" fontId="49" fillId="30" borderId="70" xfId="0" applyNumberFormat="1" applyFont="1" applyFill="1" applyBorder="1" applyAlignment="1" applyProtection="1">
      <alignment vertical="top" wrapText="1"/>
      <protection locked="0"/>
    </xf>
    <xf numFmtId="4" fontId="49" fillId="30" borderId="34" xfId="0" applyNumberFormat="1" applyFont="1" applyFill="1" applyBorder="1" applyAlignment="1" applyProtection="1">
      <alignment vertical="top" wrapText="1"/>
      <protection locked="0"/>
    </xf>
    <xf numFmtId="176" fontId="49" fillId="31" borderId="35" xfId="0" applyNumberFormat="1" applyFont="1" applyFill="1" applyBorder="1" applyAlignment="1" applyProtection="1">
      <alignment horizontal="right" vertical="center"/>
      <protection locked="0"/>
    </xf>
    <xf numFmtId="176" fontId="49" fillId="31" borderId="34" xfId="0" applyNumberFormat="1" applyFont="1" applyFill="1" applyBorder="1" applyAlignment="1" applyProtection="1">
      <alignment horizontal="right" vertical="center"/>
      <protection locked="0"/>
    </xf>
    <xf numFmtId="176" fontId="49" fillId="31" borderId="33" xfId="0" applyNumberFormat="1" applyFont="1" applyFill="1" applyBorder="1" applyAlignment="1" applyProtection="1">
      <alignment horizontal="right" vertical="center"/>
      <protection locked="0"/>
    </xf>
    <xf numFmtId="4" fontId="49" fillId="30" borderId="159" xfId="0" applyNumberFormat="1" applyFont="1" applyFill="1" applyBorder="1" applyAlignment="1" applyProtection="1">
      <alignment vertical="top" wrapText="1"/>
      <protection locked="0"/>
    </xf>
    <xf numFmtId="4" fontId="49" fillId="30" borderId="149" xfId="0" applyNumberFormat="1" applyFont="1" applyFill="1" applyBorder="1" applyAlignment="1" applyProtection="1">
      <alignment vertical="top" wrapText="1"/>
      <protection locked="0"/>
    </xf>
    <xf numFmtId="176" fontId="49" fillId="31" borderId="150" xfId="0" applyNumberFormat="1" applyFont="1" applyFill="1" applyBorder="1" applyAlignment="1" applyProtection="1">
      <alignment horizontal="right" vertical="center"/>
      <protection locked="0"/>
    </xf>
    <xf numFmtId="176" fontId="49" fillId="31" borderId="149" xfId="0" applyNumberFormat="1" applyFont="1" applyFill="1" applyBorder="1" applyAlignment="1" applyProtection="1">
      <alignment horizontal="right" vertical="center"/>
      <protection locked="0"/>
    </xf>
    <xf numFmtId="176" fontId="49" fillId="31" borderId="148" xfId="0" applyNumberFormat="1" applyFont="1" applyFill="1" applyBorder="1" applyAlignment="1" applyProtection="1">
      <alignment horizontal="right" vertical="center"/>
      <protection locked="0"/>
    </xf>
    <xf numFmtId="0" fontId="62" fillId="21" borderId="43" xfId="132">
      <alignment vertical="center"/>
    </xf>
    <xf numFmtId="192" fontId="48" fillId="0" borderId="20" xfId="0" applyNumberFormat="1" applyFont="1" applyBorder="1" applyAlignment="1">
      <alignment vertical="center" wrapText="1"/>
    </xf>
    <xf numFmtId="0" fontId="64" fillId="22" borderId="272" xfId="122" applyBorder="1" applyAlignment="1">
      <alignment horizontal="right" vertical="center" wrapText="1"/>
    </xf>
    <xf numFmtId="0" fontId="9" fillId="0" borderId="96" xfId="0" applyFont="1" applyBorder="1" applyAlignment="1">
      <alignment horizontal="center"/>
    </xf>
    <xf numFmtId="0" fontId="64" fillId="23" borderId="80" xfId="123" applyBorder="1">
      <alignment horizontal="right" vertical="center" wrapText="1" indent="1"/>
    </xf>
    <xf numFmtId="49" fontId="49" fillId="31" borderId="41" xfId="130" applyBorder="1" applyAlignment="1">
      <alignment horizontal="left" vertical="center" wrapText="1" indent="1"/>
      <protection locked="0"/>
    </xf>
    <xf numFmtId="49" fontId="49" fillId="31" borderId="52" xfId="130" applyBorder="1" applyAlignment="1">
      <alignment horizontal="left" vertical="center" wrapText="1" indent="1"/>
      <protection locked="0"/>
    </xf>
    <xf numFmtId="176" fontId="51" fillId="3" borderId="22" xfId="86" applyBorder="1" applyProtection="1">
      <alignment horizontal="right" vertical="center"/>
      <protection locked="0"/>
    </xf>
    <xf numFmtId="173" fontId="10" fillId="0" borderId="0" xfId="44" applyFill="1" applyAlignment="1">
      <alignment horizontal="right" vertical="center"/>
    </xf>
    <xf numFmtId="0" fontId="48" fillId="35" borderId="185" xfId="126" applyFont="1" applyFill="1" applyBorder="1" applyAlignment="1" applyProtection="1">
      <alignment horizontal="center" vertical="center" wrapText="1"/>
      <protection locked="0"/>
    </xf>
    <xf numFmtId="0" fontId="48" fillId="35" borderId="190" xfId="126" applyFont="1" applyFill="1" applyBorder="1" applyAlignment="1" applyProtection="1">
      <alignment horizontal="center" vertical="center" wrapText="1"/>
      <protection locked="0"/>
    </xf>
    <xf numFmtId="0" fontId="22" fillId="0" borderId="0" xfId="32" applyFill="1">
      <alignment horizontal="left" vertical="center"/>
    </xf>
    <xf numFmtId="0" fontId="32" fillId="0" borderId="0" xfId="37" applyFill="1" applyAlignment="1">
      <alignment horizontal="left" vertical="center"/>
    </xf>
    <xf numFmtId="0" fontId="41" fillId="0" borderId="0" xfId="57" applyAlignment="1">
      <alignment horizontal="left"/>
    </xf>
    <xf numFmtId="165" fontId="32" fillId="0" borderId="0" xfId="13" applyFill="1">
      <alignment horizontal="right" vertical="center"/>
    </xf>
    <xf numFmtId="169" fontId="32" fillId="0" borderId="274" xfId="13" applyNumberFormat="1" applyFill="1" applyBorder="1">
      <alignment horizontal="right" vertical="center"/>
    </xf>
    <xf numFmtId="169" fontId="79" fillId="0" borderId="1" xfId="13" applyNumberFormat="1" applyFont="1" applyFill="1" applyBorder="1">
      <alignment horizontal="right" vertical="center"/>
    </xf>
    <xf numFmtId="0" fontId="59" fillId="27" borderId="92" xfId="0" applyFont="1" applyFill="1" applyBorder="1" applyAlignment="1">
      <alignment horizontal="left"/>
    </xf>
    <xf numFmtId="0" fontId="59" fillId="27" borderId="96" xfId="0" applyFont="1" applyFill="1" applyBorder="1" applyAlignment="1">
      <alignment horizontal="left"/>
    </xf>
    <xf numFmtId="173" fontId="10" fillId="0" borderId="0" xfId="44" applyFill="1" applyAlignment="1">
      <alignment horizontal="center" vertical="center"/>
    </xf>
    <xf numFmtId="0" fontId="57" fillId="25" borderId="165" xfId="0" applyFont="1" applyFill="1" applyBorder="1" applyAlignment="1">
      <alignment horizontal="center" vertical="center" wrapText="1"/>
    </xf>
    <xf numFmtId="49" fontId="49" fillId="30" borderId="198" xfId="0" applyNumberFormat="1" applyFont="1" applyFill="1" applyBorder="1" applyAlignment="1" applyProtection="1">
      <alignment horizontal="left" vertical="top" wrapText="1"/>
      <protection locked="0"/>
    </xf>
    <xf numFmtId="49" fontId="49" fillId="30" borderId="216" xfId="0" applyNumberFormat="1" applyFont="1" applyFill="1" applyBorder="1" applyAlignment="1" applyProtection="1">
      <alignment horizontal="left" vertical="top" wrapText="1"/>
      <protection locked="0"/>
    </xf>
    <xf numFmtId="0" fontId="49" fillId="31" borderId="212" xfId="0" applyFont="1" applyFill="1" applyBorder="1" applyAlignment="1" applyProtection="1">
      <alignment horizontal="left" vertical="top" wrapText="1"/>
      <protection locked="0"/>
    </xf>
    <xf numFmtId="0" fontId="49" fillId="31" borderId="213" xfId="0" applyFont="1" applyFill="1" applyBorder="1" applyAlignment="1" applyProtection="1">
      <alignment horizontal="left" vertical="top" wrapText="1"/>
      <protection locked="0"/>
    </xf>
    <xf numFmtId="0" fontId="49" fillId="31" borderId="106" xfId="0" applyFont="1" applyFill="1" applyBorder="1" applyAlignment="1" applyProtection="1">
      <alignment horizontal="left" vertical="top" wrapText="1"/>
      <protection locked="0"/>
    </xf>
    <xf numFmtId="0" fontId="49" fillId="31" borderId="200" xfId="133" applyNumberFormat="1" applyFont="1" applyFill="1" applyBorder="1" applyAlignment="1" applyProtection="1">
      <alignment horizontal="left" vertical="top" wrapText="1"/>
      <protection locked="0"/>
    </xf>
    <xf numFmtId="0" fontId="49" fillId="31" borderId="214" xfId="133" applyNumberFormat="1" applyFont="1" applyFill="1" applyBorder="1" applyAlignment="1" applyProtection="1">
      <alignment horizontal="left" vertical="top" wrapText="1"/>
      <protection locked="0"/>
    </xf>
    <xf numFmtId="0" fontId="49" fillId="31" borderId="107" xfId="133" applyNumberFormat="1" applyFont="1" applyFill="1" applyBorder="1" applyAlignment="1" applyProtection="1">
      <alignment horizontal="left" vertical="top" wrapText="1"/>
      <protection locked="0"/>
    </xf>
    <xf numFmtId="0" fontId="49" fillId="31" borderId="200" xfId="0" applyFont="1" applyFill="1" applyBorder="1" applyAlignment="1" applyProtection="1">
      <alignment horizontal="left" vertical="top" wrapText="1"/>
      <protection locked="0"/>
    </xf>
    <xf numFmtId="0" fontId="49" fillId="31" borderId="214" xfId="0" applyFont="1" applyFill="1" applyBorder="1" applyAlignment="1" applyProtection="1">
      <alignment horizontal="left" vertical="top" wrapText="1"/>
      <protection locked="0"/>
    </xf>
    <xf numFmtId="0" fontId="49" fillId="31" borderId="107" xfId="0" applyFont="1" applyFill="1" applyBorder="1" applyAlignment="1" applyProtection="1">
      <alignment horizontal="left" vertical="top" wrapText="1"/>
      <protection locked="0"/>
    </xf>
    <xf numFmtId="0" fontId="49" fillId="30" borderId="200" xfId="0" applyFont="1" applyFill="1" applyBorder="1" applyAlignment="1" applyProtection="1">
      <alignment horizontal="left" vertical="top" wrapText="1"/>
      <protection locked="0"/>
    </xf>
    <xf numFmtId="0" fontId="49" fillId="30" borderId="214" xfId="0" applyFont="1" applyFill="1" applyBorder="1" applyAlignment="1" applyProtection="1">
      <alignment horizontal="left" vertical="top" wrapText="1"/>
      <protection locked="0"/>
    </xf>
    <xf numFmtId="0" fontId="49" fillId="30" borderId="107" xfId="0" applyFont="1" applyFill="1" applyBorder="1" applyAlignment="1" applyProtection="1">
      <alignment horizontal="left" vertical="top" wrapText="1"/>
      <protection locked="0"/>
    </xf>
    <xf numFmtId="0" fontId="49" fillId="30" borderId="218" xfId="0" applyFont="1" applyFill="1" applyBorder="1" applyAlignment="1" applyProtection="1">
      <alignment horizontal="left" vertical="top" wrapText="1"/>
      <protection locked="0"/>
    </xf>
    <xf numFmtId="0" fontId="49" fillId="30" borderId="215" xfId="0" applyFont="1" applyFill="1" applyBorder="1" applyAlignment="1" applyProtection="1">
      <alignment horizontal="left" vertical="top" wrapText="1"/>
      <protection locked="0"/>
    </xf>
    <xf numFmtId="0" fontId="49" fillId="30" borderId="175" xfId="0" applyFont="1" applyFill="1" applyBorder="1" applyAlignment="1" applyProtection="1">
      <alignment horizontal="left" vertical="top" wrapText="1"/>
      <protection locked="0"/>
    </xf>
    <xf numFmtId="49" fontId="49" fillId="30" borderId="69" xfId="0" applyNumberFormat="1" applyFont="1" applyFill="1" applyBorder="1" applyAlignment="1" applyProtection="1">
      <alignment horizontal="left" vertical="center"/>
      <protection locked="0"/>
    </xf>
    <xf numFmtId="49" fontId="49" fillId="30" borderId="70" xfId="0" applyNumberFormat="1" applyFont="1" applyFill="1" applyBorder="1" applyAlignment="1" applyProtection="1">
      <alignment vertical="top" wrapText="1"/>
      <protection locked="0"/>
    </xf>
    <xf numFmtId="49" fontId="49" fillId="30" borderId="70" xfId="0" applyNumberFormat="1" applyFont="1" applyFill="1" applyBorder="1" applyAlignment="1" applyProtection="1">
      <alignment horizontal="left" vertical="center"/>
      <protection locked="0"/>
    </xf>
    <xf numFmtId="49" fontId="49" fillId="30" borderId="71" xfId="0" applyNumberFormat="1" applyFont="1" applyFill="1" applyBorder="1" applyAlignment="1" applyProtection="1">
      <alignment horizontal="left" vertical="center"/>
      <protection locked="0"/>
    </xf>
    <xf numFmtId="0" fontId="32" fillId="0" borderId="0" xfId="37" applyAlignment="1">
      <alignment horizontal="right" vertical="center"/>
    </xf>
    <xf numFmtId="169" fontId="33" fillId="13" borderId="275" xfId="14" applyNumberFormat="1" applyBorder="1">
      <alignment horizontal="right" vertical="center"/>
      <protection locked="0"/>
    </xf>
    <xf numFmtId="169" fontId="33" fillId="13" borderId="276" xfId="14" applyNumberFormat="1" applyBorder="1">
      <alignment horizontal="right" vertical="center"/>
      <protection locked="0"/>
    </xf>
    <xf numFmtId="0" fontId="48" fillId="23" borderId="22" xfId="0" applyFont="1" applyFill="1" applyBorder="1" applyAlignment="1">
      <alignment horizontal="right" vertical="center" wrapText="1"/>
    </xf>
    <xf numFmtId="0" fontId="48" fillId="23" borderId="23" xfId="0" applyFont="1" applyFill="1" applyBorder="1" applyAlignment="1">
      <alignment horizontal="right" vertical="center" wrapText="1"/>
    </xf>
    <xf numFmtId="0" fontId="48" fillId="22" borderId="99" xfId="0" applyFont="1" applyFill="1" applyBorder="1" applyAlignment="1">
      <alignment horizontal="right" vertical="center" wrapText="1"/>
    </xf>
    <xf numFmtId="0" fontId="39" fillId="0" borderId="2" xfId="35" applyBorder="1" applyAlignment="1">
      <alignment horizontal="right" vertical="center" wrapText="1"/>
    </xf>
    <xf numFmtId="0" fontId="39" fillId="0" borderId="78" xfId="35" applyBorder="1" applyAlignment="1">
      <alignment horizontal="right" vertical="center" wrapText="1"/>
    </xf>
    <xf numFmtId="0" fontId="39" fillId="0" borderId="77" xfId="35" applyBorder="1" applyAlignment="1">
      <alignment horizontal="right" vertical="center" wrapText="1"/>
    </xf>
    <xf numFmtId="169" fontId="32" fillId="0" borderId="0" xfId="13" applyNumberFormat="1" applyFill="1" applyAlignment="1">
      <alignment horizontal="right" vertical="center"/>
    </xf>
    <xf numFmtId="169" fontId="32" fillId="0" borderId="145" xfId="13" applyNumberFormat="1" applyFill="1" applyBorder="1" applyAlignment="1">
      <alignment horizontal="right" vertical="center"/>
    </xf>
    <xf numFmtId="169" fontId="32" fillId="0" borderId="146" xfId="13" applyNumberFormat="1" applyBorder="1" applyAlignment="1">
      <alignment horizontal="right" vertical="center"/>
    </xf>
    <xf numFmtId="169" fontId="32" fillId="0" borderId="0" xfId="13" applyNumberFormat="1" applyAlignment="1">
      <alignment horizontal="right" vertical="center"/>
    </xf>
    <xf numFmtId="175" fontId="50" fillId="24" borderId="57" xfId="85" applyBorder="1">
      <alignment horizontal="right"/>
      <protection locked="0"/>
    </xf>
    <xf numFmtId="175" fontId="50" fillId="24" borderId="60" xfId="85" applyBorder="1">
      <alignment horizontal="right"/>
      <protection locked="0"/>
    </xf>
    <xf numFmtId="175" fontId="50" fillId="24" borderId="135" xfId="85" applyBorder="1">
      <alignment horizontal="right"/>
      <protection locked="0"/>
    </xf>
    <xf numFmtId="43" fontId="41" fillId="0" borderId="0" xfId="57" applyNumberFormat="1"/>
    <xf numFmtId="173" fontId="10" fillId="0" borderId="277" xfId="44" applyBorder="1" applyAlignment="1">
      <alignment horizontal="right" vertical="center"/>
    </xf>
    <xf numFmtId="173" fontId="10" fillId="0" borderId="278" xfId="44" applyBorder="1" applyAlignment="1">
      <alignment horizontal="right" vertical="center"/>
    </xf>
    <xf numFmtId="49" fontId="49" fillId="31" borderId="66" xfId="0" applyNumberFormat="1" applyFont="1" applyFill="1" applyBorder="1" applyAlignment="1" applyProtection="1">
      <alignment horizontal="left" vertical="center"/>
      <protection locked="0"/>
    </xf>
    <xf numFmtId="0" fontId="32" fillId="0" borderId="0" xfId="37" applyAlignment="1">
      <alignment horizontal="left" vertical="center" indent="1"/>
    </xf>
    <xf numFmtId="176" fontId="50" fillId="18" borderId="29" xfId="0" applyNumberFormat="1" applyFont="1" applyFill="1" applyBorder="1" applyAlignment="1" applyProtection="1">
      <alignment horizontal="right"/>
      <protection locked="0"/>
    </xf>
    <xf numFmtId="176" fontId="50" fillId="18" borderId="31" xfId="0" applyNumberFormat="1" applyFont="1" applyFill="1" applyBorder="1" applyAlignment="1" applyProtection="1">
      <alignment horizontal="right"/>
      <protection locked="0"/>
    </xf>
    <xf numFmtId="176" fontId="50" fillId="18" borderId="30" xfId="0" applyNumberFormat="1" applyFont="1" applyFill="1" applyBorder="1" applyAlignment="1" applyProtection="1">
      <alignment horizontal="right"/>
      <protection locked="0"/>
    </xf>
    <xf numFmtId="176" fontId="50" fillId="18" borderId="33" xfId="0" applyNumberFormat="1" applyFont="1" applyFill="1" applyBorder="1" applyAlignment="1" applyProtection="1">
      <alignment horizontal="right"/>
      <protection locked="0"/>
    </xf>
    <xf numFmtId="176" fontId="50" fillId="18" borderId="35" xfId="0" applyNumberFormat="1" applyFont="1" applyFill="1" applyBorder="1" applyAlignment="1" applyProtection="1">
      <alignment horizontal="right"/>
      <protection locked="0"/>
    </xf>
    <xf numFmtId="176" fontId="50" fillId="18" borderId="34" xfId="0" applyNumberFormat="1" applyFont="1" applyFill="1" applyBorder="1" applyAlignment="1" applyProtection="1">
      <alignment horizontal="right"/>
      <protection locked="0"/>
    </xf>
    <xf numFmtId="176" fontId="50" fillId="18" borderId="148" xfId="0" applyNumberFormat="1" applyFont="1" applyFill="1" applyBorder="1" applyAlignment="1" applyProtection="1">
      <alignment horizontal="right"/>
      <protection locked="0"/>
    </xf>
    <xf numFmtId="176" fontId="50" fillId="18" borderId="150" xfId="0" applyNumberFormat="1" applyFont="1" applyFill="1" applyBorder="1" applyAlignment="1" applyProtection="1">
      <alignment horizontal="right"/>
      <protection locked="0"/>
    </xf>
    <xf numFmtId="176" fontId="50" fillId="18" borderId="149" xfId="0" applyNumberFormat="1" applyFont="1" applyFill="1" applyBorder="1" applyAlignment="1" applyProtection="1">
      <alignment horizontal="right"/>
      <protection locked="0"/>
    </xf>
    <xf numFmtId="176" fontId="49" fillId="30" borderId="69" xfId="0" applyNumberFormat="1" applyFont="1" applyFill="1" applyBorder="1" applyAlignment="1" applyProtection="1">
      <alignment horizontal="right" vertical="center"/>
      <protection locked="0"/>
    </xf>
    <xf numFmtId="176" fontId="49" fillId="30" borderId="31" xfId="0" quotePrefix="1" applyNumberFormat="1" applyFont="1" applyFill="1" applyBorder="1" applyAlignment="1" applyProtection="1">
      <alignment horizontal="right" vertical="center"/>
      <protection locked="0"/>
    </xf>
    <xf numFmtId="176" fontId="49" fillId="30" borderId="31" xfId="0" applyNumberFormat="1" applyFont="1" applyFill="1" applyBorder="1" applyAlignment="1" applyProtection="1">
      <alignment horizontal="right" vertical="center"/>
      <protection locked="0"/>
    </xf>
    <xf numFmtId="176" fontId="49" fillId="30" borderId="70" xfId="0" applyNumberFormat="1" applyFont="1" applyFill="1" applyBorder="1" applyAlignment="1" applyProtection="1">
      <alignment horizontal="right" vertical="center"/>
      <protection locked="0"/>
    </xf>
    <xf numFmtId="176" fontId="49" fillId="30" borderId="30" xfId="0" applyNumberFormat="1" applyFont="1" applyFill="1" applyBorder="1" applyAlignment="1" applyProtection="1">
      <alignment horizontal="right" vertical="center"/>
      <protection locked="0"/>
    </xf>
    <xf numFmtId="176" fontId="49" fillId="30" borderId="35" xfId="0" applyNumberFormat="1" applyFont="1" applyFill="1" applyBorder="1" applyAlignment="1" applyProtection="1">
      <alignment horizontal="right" vertical="center"/>
      <protection locked="0"/>
    </xf>
    <xf numFmtId="176" fontId="49" fillId="30" borderId="34" xfId="0" applyNumberFormat="1" applyFont="1" applyFill="1" applyBorder="1" applyAlignment="1" applyProtection="1">
      <alignment horizontal="right" vertical="center"/>
      <protection locked="0"/>
    </xf>
    <xf numFmtId="176" fontId="49" fillId="30" borderId="243" xfId="0" applyNumberFormat="1" applyFont="1" applyFill="1" applyBorder="1" applyAlignment="1" applyProtection="1">
      <alignment horizontal="right" vertical="center"/>
      <protection locked="0"/>
    </xf>
    <xf numFmtId="176" fontId="49" fillId="30" borderId="241" xfId="0" applyNumberFormat="1" applyFont="1" applyFill="1" applyBorder="1" applyAlignment="1" applyProtection="1">
      <alignment horizontal="right" vertical="center"/>
      <protection locked="0"/>
    </xf>
    <xf numFmtId="176" fontId="49" fillId="30" borderId="244" xfId="0" applyNumberFormat="1" applyFont="1" applyFill="1" applyBorder="1" applyAlignment="1" applyProtection="1">
      <alignment horizontal="right" vertical="center"/>
      <protection locked="0"/>
    </xf>
    <xf numFmtId="176" fontId="49" fillId="30" borderId="248" xfId="0" applyNumberFormat="1" applyFont="1" applyFill="1" applyBorder="1" applyAlignment="1" applyProtection="1">
      <alignment horizontal="right" vertical="center"/>
      <protection locked="0"/>
    </xf>
    <xf numFmtId="176" fontId="49" fillId="30" borderId="246" xfId="0" applyNumberFormat="1" applyFont="1" applyFill="1" applyBorder="1" applyAlignment="1" applyProtection="1">
      <alignment horizontal="right" vertical="center"/>
      <protection locked="0"/>
    </xf>
    <xf numFmtId="176" fontId="49" fillId="30" borderId="249" xfId="0" applyNumberFormat="1" applyFont="1" applyFill="1" applyBorder="1" applyAlignment="1" applyProtection="1">
      <alignment horizontal="right" vertical="center"/>
      <protection locked="0"/>
    </xf>
    <xf numFmtId="0" fontId="48" fillId="22" borderId="22" xfId="0" applyFont="1" applyFill="1" applyBorder="1" applyAlignment="1">
      <alignment horizontal="centerContinuous" vertical="center"/>
    </xf>
    <xf numFmtId="0" fontId="48" fillId="22" borderId="26" xfId="0" applyFont="1" applyFill="1" applyBorder="1" applyAlignment="1">
      <alignment horizontal="centerContinuous" vertical="center"/>
    </xf>
    <xf numFmtId="0" fontId="46" fillId="21" borderId="0" xfId="93" applyFont="1">
      <alignment vertical="center"/>
      <protection locked="0"/>
    </xf>
    <xf numFmtId="0" fontId="9" fillId="0" borderId="191" xfId="0" applyFont="1" applyBorder="1" applyAlignment="1">
      <alignment horizontal="center" vertical="center" wrapText="1"/>
    </xf>
    <xf numFmtId="0" fontId="9" fillId="0" borderId="166" xfId="0" applyFont="1" applyBorder="1" applyAlignment="1">
      <alignment horizontal="center" vertical="center" wrapText="1"/>
    </xf>
    <xf numFmtId="0" fontId="9" fillId="0" borderId="192" xfId="0" applyFont="1" applyBorder="1" applyAlignment="1">
      <alignment horizontal="center" vertical="center" wrapText="1"/>
    </xf>
    <xf numFmtId="0" fontId="49" fillId="30" borderId="69" xfId="0" applyFont="1" applyFill="1" applyBorder="1" applyAlignment="1" applyProtection="1">
      <alignment horizontal="left" vertical="top" wrapText="1" indent="2"/>
      <protection locked="0"/>
    </xf>
    <xf numFmtId="0" fontId="49" fillId="30" borderId="31" xfId="0" applyFont="1" applyFill="1" applyBorder="1" applyAlignment="1" applyProtection="1">
      <alignment horizontal="left" vertical="top" wrapText="1" indent="2"/>
      <protection locked="0"/>
    </xf>
    <xf numFmtId="2" fontId="49" fillId="30" borderId="31" xfId="0" applyNumberFormat="1" applyFont="1" applyFill="1" applyBorder="1" applyAlignment="1" applyProtection="1">
      <alignment horizontal="right" vertical="center" wrapText="1" indent="2"/>
      <protection locked="0"/>
    </xf>
    <xf numFmtId="2" fontId="19" fillId="34" borderId="30" xfId="0" applyNumberFormat="1" applyFont="1" applyFill="1" applyBorder="1"/>
    <xf numFmtId="0" fontId="49" fillId="30" borderId="70" xfId="0" applyFont="1" applyFill="1" applyBorder="1" applyAlignment="1" applyProtection="1">
      <alignment horizontal="left" vertical="top" wrapText="1" indent="2"/>
      <protection locked="0"/>
    </xf>
    <xf numFmtId="0" fontId="49" fillId="30" borderId="35" xfId="0" applyFont="1" applyFill="1" applyBorder="1" applyAlignment="1" applyProtection="1">
      <alignment horizontal="left" vertical="top" wrapText="1" indent="2"/>
      <protection locked="0"/>
    </xf>
    <xf numFmtId="2" fontId="19" fillId="34" borderId="35" xfId="0" applyNumberFormat="1" applyFont="1" applyFill="1" applyBorder="1"/>
    <xf numFmtId="2" fontId="19" fillId="34" borderId="34" xfId="0" applyNumberFormat="1" applyFont="1" applyFill="1" applyBorder="1"/>
    <xf numFmtId="0" fontId="49" fillId="30" borderId="100" xfId="0" applyFont="1" applyFill="1" applyBorder="1" applyAlignment="1" applyProtection="1">
      <alignment horizontal="left" vertical="top" wrapText="1" indent="2"/>
      <protection locked="0"/>
    </xf>
    <xf numFmtId="0" fontId="49" fillId="30" borderId="75" xfId="0" applyFont="1" applyFill="1" applyBorder="1" applyAlignment="1" applyProtection="1">
      <alignment horizontal="left" vertical="top" wrapText="1" indent="2"/>
      <protection locked="0"/>
    </xf>
    <xf numFmtId="2" fontId="19" fillId="34" borderId="75" xfId="0" applyNumberFormat="1" applyFont="1" applyFill="1" applyBorder="1"/>
    <xf numFmtId="2" fontId="19" fillId="34" borderId="101" xfId="0" applyNumberFormat="1" applyFont="1" applyFill="1" applyBorder="1"/>
    <xf numFmtId="0" fontId="49" fillId="30" borderId="156" xfId="0" applyFont="1" applyFill="1" applyBorder="1" applyAlignment="1" applyProtection="1">
      <alignment horizontal="left" vertical="top" wrapText="1" indent="2"/>
      <protection locked="0"/>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3" fontId="49" fillId="30" borderId="156" xfId="0" applyNumberFormat="1" applyFont="1" applyFill="1" applyBorder="1" applyAlignment="1" applyProtection="1">
      <alignment horizontal="right" vertical="top" wrapText="1"/>
      <protection locked="0"/>
    </xf>
    <xf numFmtId="3" fontId="49" fillId="0" borderId="156" xfId="0" applyNumberFormat="1" applyFont="1" applyFill="1" applyBorder="1" applyAlignment="1" applyProtection="1">
      <alignment horizontal="right" vertical="top" wrapText="1"/>
      <protection locked="0"/>
    </xf>
    <xf numFmtId="3" fontId="49" fillId="30" borderId="35" xfId="0" applyNumberFormat="1" applyFont="1" applyFill="1" applyBorder="1" applyAlignment="1" applyProtection="1">
      <alignment horizontal="right" vertical="top" wrapText="1"/>
      <protection locked="0"/>
    </xf>
    <xf numFmtId="3" fontId="49" fillId="0" borderId="35" xfId="0" applyNumberFormat="1" applyFont="1" applyFill="1" applyBorder="1" applyAlignment="1" applyProtection="1">
      <alignment horizontal="right" vertical="top" wrapText="1"/>
      <protection locked="0"/>
    </xf>
    <xf numFmtId="3" fontId="49" fillId="30" borderId="75" xfId="0" applyNumberFormat="1" applyFont="1" applyFill="1" applyBorder="1" applyAlignment="1" applyProtection="1">
      <alignment horizontal="right" vertical="top" wrapText="1"/>
      <protection locked="0"/>
    </xf>
    <xf numFmtId="3" fontId="49" fillId="0" borderId="75" xfId="0" applyNumberFormat="1" applyFont="1" applyFill="1" applyBorder="1" applyAlignment="1" applyProtection="1">
      <alignment horizontal="right" vertical="top" wrapText="1"/>
      <protection locked="0"/>
    </xf>
    <xf numFmtId="3" fontId="49" fillId="30" borderId="31" xfId="0" applyNumberFormat="1" applyFont="1" applyFill="1" applyBorder="1" applyAlignment="1" applyProtection="1">
      <alignment horizontal="center" vertical="top" wrapText="1"/>
      <protection locked="0"/>
    </xf>
    <xf numFmtId="3" fontId="49" fillId="30" borderId="35" xfId="0" applyNumberFormat="1" applyFont="1" applyFill="1" applyBorder="1" applyAlignment="1" applyProtection="1">
      <alignment horizontal="center" vertical="top" wrapText="1"/>
      <protection locked="0"/>
    </xf>
    <xf numFmtId="3" fontId="49" fillId="30" borderId="75" xfId="0" applyNumberFormat="1" applyFont="1" applyFill="1" applyBorder="1" applyAlignment="1" applyProtection="1">
      <alignment horizontal="center" vertical="top" wrapText="1"/>
      <protection locked="0"/>
    </xf>
    <xf numFmtId="3" fontId="49" fillId="30" borderId="31" xfId="0" applyNumberFormat="1" applyFont="1" applyFill="1" applyBorder="1" applyAlignment="1" applyProtection="1">
      <alignment horizontal="right" vertical="center" wrapText="1"/>
      <protection locked="0"/>
    </xf>
    <xf numFmtId="3" fontId="19" fillId="34" borderId="30" xfId="0" applyNumberFormat="1" applyFont="1" applyFill="1" applyBorder="1"/>
    <xf numFmtId="3" fontId="19" fillId="34" borderId="35" xfId="0" applyNumberFormat="1" applyFont="1" applyFill="1" applyBorder="1"/>
    <xf numFmtId="3" fontId="19" fillId="34" borderId="34" xfId="0" applyNumberFormat="1" applyFont="1" applyFill="1" applyBorder="1"/>
    <xf numFmtId="3" fontId="19" fillId="34" borderId="75" xfId="0" applyNumberFormat="1" applyFont="1" applyFill="1" applyBorder="1"/>
    <xf numFmtId="3" fontId="19" fillId="34" borderId="101" xfId="0" applyNumberFormat="1" applyFont="1" applyFill="1" applyBorder="1"/>
    <xf numFmtId="3" fontId="0" fillId="31" borderId="86" xfId="126" applyNumberFormat="1" applyFont="1" applyFill="1" applyBorder="1" applyAlignment="1" applyProtection="1">
      <alignment vertical="top" wrapText="1"/>
      <protection locked="0"/>
    </xf>
    <xf numFmtId="3" fontId="2" fillId="31" borderId="199" xfId="126" applyNumberFormat="1" applyFill="1" applyBorder="1" applyAlignment="1" applyProtection="1">
      <alignment vertical="top" wrapText="1"/>
      <protection locked="0"/>
    </xf>
    <xf numFmtId="0" fontId="10" fillId="0" borderId="81" xfId="0" applyFont="1" applyBorder="1" applyAlignment="1">
      <alignment horizontal="left" vertical="center" wrapText="1" indent="1"/>
    </xf>
    <xf numFmtId="0" fontId="10" fillId="0" borderId="82" xfId="0" applyFont="1" applyBorder="1" applyAlignment="1">
      <alignment horizontal="left" vertical="center" wrapText="1" indent="1"/>
    </xf>
    <xf numFmtId="176" fontId="51" fillId="3" borderId="98" xfId="86" applyBorder="1" applyAlignment="1" applyProtection="1">
      <alignment horizontal="left" vertical="center" indent="1"/>
      <protection locked="0"/>
    </xf>
    <xf numFmtId="172" fontId="50" fillId="0" borderId="92" xfId="0" applyNumberFormat="1" applyFont="1" applyBorder="1" applyAlignment="1">
      <alignment horizontal="left"/>
    </xf>
    <xf numFmtId="169" fontId="41" fillId="0" borderId="0" xfId="57" applyNumberFormat="1"/>
    <xf numFmtId="169" fontId="32" fillId="0" borderId="275" xfId="13" applyNumberFormat="1" applyFill="1" applyBorder="1">
      <alignment horizontal="right" vertical="center"/>
    </xf>
    <xf numFmtId="169" fontId="32" fillId="0" borderId="276" xfId="13" applyNumberFormat="1" applyFill="1" applyBorder="1">
      <alignment horizontal="right" vertical="center"/>
    </xf>
    <xf numFmtId="169" fontId="33" fillId="13" borderId="4" xfId="14" applyNumberFormat="1" applyFont="1">
      <alignment horizontal="right" vertical="center"/>
      <protection locked="0"/>
    </xf>
    <xf numFmtId="169" fontId="33" fillId="13" borderId="39" xfId="14" applyNumberFormat="1" applyFont="1" applyBorder="1">
      <alignment horizontal="right" vertical="center"/>
      <protection locked="0"/>
    </xf>
    <xf numFmtId="165" fontId="33" fillId="13" borderId="4" xfId="14" applyNumberFormat="1">
      <alignment horizontal="right" vertical="center"/>
      <protection locked="0"/>
    </xf>
    <xf numFmtId="169" fontId="32" fillId="0" borderId="279" xfId="13" applyNumberFormat="1" applyFill="1" applyBorder="1">
      <alignment horizontal="right" vertical="center"/>
    </xf>
    <xf numFmtId="169" fontId="32" fillId="0" borderId="280" xfId="13" applyNumberFormat="1" applyFill="1" applyBorder="1">
      <alignment horizontal="right" vertical="center"/>
    </xf>
    <xf numFmtId="169" fontId="32" fillId="0" borderId="281" xfId="13" applyNumberFormat="1" applyFill="1" applyBorder="1">
      <alignment horizontal="right" vertical="center"/>
    </xf>
    <xf numFmtId="0" fontId="48" fillId="23" borderId="26" xfId="0" applyFont="1" applyFill="1" applyBorder="1" applyAlignment="1">
      <alignment horizontal="center" vertical="center" wrapText="1"/>
    </xf>
    <xf numFmtId="0" fontId="49" fillId="30" borderId="100" xfId="0" applyFont="1" applyFill="1" applyBorder="1" applyAlignment="1" applyProtection="1">
      <alignment horizontal="left" vertical="center"/>
      <protection locked="0"/>
    </xf>
    <xf numFmtId="175" fontId="50" fillId="18" borderId="75" xfId="85" applyFill="1" applyBorder="1">
      <alignment horizontal="right"/>
      <protection locked="0"/>
    </xf>
    <xf numFmtId="0" fontId="49" fillId="30" borderId="70" xfId="0" applyNumberFormat="1" applyFont="1" applyFill="1" applyBorder="1" applyAlignment="1" applyProtection="1">
      <alignment vertical="top" wrapText="1"/>
      <protection locked="0"/>
    </xf>
    <xf numFmtId="0" fontId="49" fillId="30" borderId="70" xfId="0" applyNumberFormat="1" applyFont="1" applyFill="1" applyBorder="1" applyAlignment="1" applyProtection="1">
      <alignment horizontal="left" vertical="center"/>
      <protection locked="0"/>
    </xf>
    <xf numFmtId="0" fontId="49" fillId="30" borderId="100" xfId="0" applyNumberFormat="1" applyFont="1" applyFill="1" applyBorder="1" applyAlignment="1" applyProtection="1">
      <alignment horizontal="left" vertical="center"/>
      <protection locked="0"/>
    </xf>
    <xf numFmtId="0" fontId="92" fillId="0" borderId="0" xfId="37" applyFont="1">
      <alignment vertical="center"/>
    </xf>
    <xf numFmtId="176" fontId="49" fillId="18" borderId="69" xfId="0" applyNumberFormat="1" applyFont="1" applyFill="1" applyBorder="1" applyAlignment="1" applyProtection="1">
      <alignment horizontal="right" vertical="center"/>
      <protection locked="0"/>
    </xf>
    <xf numFmtId="176" fontId="49" fillId="18" borderId="31" xfId="0" quotePrefix="1" applyNumberFormat="1" applyFont="1" applyFill="1" applyBorder="1" applyAlignment="1" applyProtection="1">
      <alignment horizontal="right" vertical="center"/>
      <protection locked="0"/>
    </xf>
    <xf numFmtId="176" fontId="49" fillId="18" borderId="31" xfId="0" applyNumberFormat="1" applyFont="1" applyFill="1" applyBorder="1" applyAlignment="1" applyProtection="1">
      <alignment horizontal="right" vertical="center"/>
      <protection locked="0"/>
    </xf>
    <xf numFmtId="176" fontId="49" fillId="18" borderId="238" xfId="0" applyNumberFormat="1" applyFont="1" applyFill="1" applyBorder="1" applyAlignment="1" applyProtection="1">
      <alignment horizontal="right" vertical="center"/>
      <protection locked="0"/>
    </xf>
    <xf numFmtId="176" fontId="49" fillId="18" borderId="70" xfId="0" applyNumberFormat="1" applyFont="1" applyFill="1" applyBorder="1" applyAlignment="1" applyProtection="1">
      <alignment horizontal="right" vertical="center"/>
      <protection locked="0"/>
    </xf>
    <xf numFmtId="176" fontId="49" fillId="18" borderId="35" xfId="0" applyNumberFormat="1" applyFont="1" applyFill="1" applyBorder="1" applyAlignment="1" applyProtection="1">
      <alignment horizontal="right" vertical="center"/>
      <protection locked="0"/>
    </xf>
    <xf numFmtId="176" fontId="49" fillId="18" borderId="171" xfId="0" applyNumberFormat="1" applyFont="1" applyFill="1" applyBorder="1" applyAlignment="1" applyProtection="1">
      <alignment horizontal="right" vertical="center"/>
      <protection locked="0"/>
    </xf>
    <xf numFmtId="176" fontId="49" fillId="18" borderId="243" xfId="0" applyNumberFormat="1" applyFont="1" applyFill="1" applyBorder="1" applyAlignment="1" applyProtection="1">
      <alignment horizontal="right" vertical="center"/>
      <protection locked="0"/>
    </xf>
    <xf numFmtId="176" fontId="49" fillId="18" borderId="241" xfId="0" applyNumberFormat="1" applyFont="1" applyFill="1" applyBorder="1" applyAlignment="1" applyProtection="1">
      <alignment horizontal="right" vertical="center"/>
      <protection locked="0"/>
    </xf>
    <xf numFmtId="176" fontId="49" fillId="18" borderId="242" xfId="0" applyNumberFormat="1" applyFont="1" applyFill="1" applyBorder="1" applyAlignment="1" applyProtection="1">
      <alignment horizontal="right" vertical="center"/>
      <protection locked="0"/>
    </xf>
    <xf numFmtId="176" fontId="49" fillId="18" borderId="248" xfId="0" applyNumberFormat="1" applyFont="1" applyFill="1" applyBorder="1" applyAlignment="1" applyProtection="1">
      <alignment horizontal="right" vertical="center"/>
      <protection locked="0"/>
    </xf>
    <xf numFmtId="176" fontId="49" fillId="18" borderId="246" xfId="0" applyNumberFormat="1" applyFont="1" applyFill="1" applyBorder="1" applyAlignment="1" applyProtection="1">
      <alignment horizontal="right" vertical="center"/>
      <protection locked="0"/>
    </xf>
    <xf numFmtId="176" fontId="49" fillId="18" borderId="247" xfId="0" applyNumberFormat="1" applyFont="1" applyFill="1" applyBorder="1" applyAlignment="1" applyProtection="1">
      <alignment horizontal="right" vertical="center"/>
      <protection locked="0"/>
    </xf>
    <xf numFmtId="176" fontId="49" fillId="18" borderId="30" xfId="0" applyNumberFormat="1" applyFont="1" applyFill="1" applyBorder="1" applyAlignment="1" applyProtection="1">
      <alignment horizontal="right" vertical="center"/>
      <protection locked="0"/>
    </xf>
    <xf numFmtId="176" fontId="49" fillId="18" borderId="34" xfId="0" applyNumberFormat="1" applyFont="1" applyFill="1" applyBorder="1" applyAlignment="1" applyProtection="1">
      <alignment horizontal="right" vertical="center"/>
      <protection locked="0"/>
    </xf>
    <xf numFmtId="176" fontId="49" fillId="18" borderId="244" xfId="0" applyNumberFormat="1" applyFont="1" applyFill="1" applyBorder="1" applyAlignment="1" applyProtection="1">
      <alignment horizontal="right" vertical="center"/>
      <protection locked="0"/>
    </xf>
    <xf numFmtId="176" fontId="49" fillId="18" borderId="249" xfId="0" applyNumberFormat="1" applyFont="1" applyFill="1" applyBorder="1" applyAlignment="1" applyProtection="1">
      <alignment horizontal="right" vertical="center"/>
      <protection locked="0"/>
    </xf>
    <xf numFmtId="0" fontId="32" fillId="0" borderId="81" xfId="37" applyBorder="1">
      <alignment vertical="center"/>
    </xf>
    <xf numFmtId="0" fontId="32" fillId="0" borderId="82" xfId="37" applyBorder="1">
      <alignment vertical="center"/>
    </xf>
    <xf numFmtId="0" fontId="32" fillId="0" borderId="83" xfId="37" applyBorder="1">
      <alignment vertical="center"/>
    </xf>
    <xf numFmtId="0" fontId="48" fillId="23" borderId="80" xfId="0" applyFont="1" applyFill="1" applyBorder="1" applyAlignment="1">
      <alignment horizontal="left" vertical="center" wrapText="1"/>
    </xf>
    <xf numFmtId="0" fontId="49" fillId="30" borderId="29" xfId="0" applyFont="1" applyFill="1" applyBorder="1" applyAlignment="1" applyProtection="1">
      <alignment horizontal="left" vertical="center"/>
      <protection locked="0"/>
    </xf>
    <xf numFmtId="0" fontId="49" fillId="30" borderId="33" xfId="0" applyFont="1" applyFill="1" applyBorder="1" applyAlignment="1" applyProtection="1">
      <alignment vertical="top" wrapText="1"/>
      <protection locked="0"/>
    </xf>
    <xf numFmtId="0" fontId="49" fillId="30" borderId="33" xfId="0" applyFont="1" applyFill="1" applyBorder="1" applyAlignment="1" applyProtection="1">
      <alignment horizontal="left" vertical="center"/>
      <protection locked="0"/>
    </xf>
    <xf numFmtId="0" fontId="49" fillId="30" borderId="154" xfId="0" applyFont="1" applyFill="1" applyBorder="1" applyAlignment="1" applyProtection="1">
      <alignment horizontal="left" vertical="center"/>
      <protection locked="0"/>
    </xf>
    <xf numFmtId="0" fontId="48" fillId="25" borderId="43" xfId="0" applyFont="1" applyFill="1" applyBorder="1" applyAlignment="1">
      <alignment horizontal="left" vertical="center" wrapText="1"/>
    </xf>
    <xf numFmtId="0" fontId="48" fillId="25" borderId="282" xfId="0" applyFont="1" applyFill="1" applyBorder="1" applyAlignment="1">
      <alignment horizontal="left" vertical="center" wrapText="1"/>
    </xf>
    <xf numFmtId="0" fontId="41" fillId="0" borderId="0" xfId="57" quotePrefix="1"/>
    <xf numFmtId="0" fontId="79" fillId="0" borderId="0" xfId="37" applyFont="1">
      <alignment vertical="center"/>
    </xf>
    <xf numFmtId="0" fontId="48" fillId="0" borderId="1" xfId="126" applyFont="1" applyBorder="1" applyAlignment="1" applyProtection="1">
      <alignment horizontal="center" vertical="center" wrapText="1"/>
      <protection locked="0"/>
    </xf>
    <xf numFmtId="0" fontId="48" fillId="0" borderId="161" xfId="126" applyFont="1" applyBorder="1" applyAlignment="1" applyProtection="1">
      <alignment horizontal="center" vertical="center" wrapText="1"/>
      <protection locked="0"/>
    </xf>
    <xf numFmtId="169" fontId="33" fillId="13" borderId="79" xfId="14" applyNumberFormat="1" applyBorder="1" applyAlignment="1">
      <alignment horizontal="center" vertical="center"/>
      <protection locked="0"/>
    </xf>
    <xf numFmtId="169" fontId="33" fillId="13" borderId="4" xfId="14" applyNumberFormat="1" applyAlignment="1">
      <alignment horizontal="center" vertical="center"/>
      <protection locked="0"/>
    </xf>
    <xf numFmtId="194" fontId="32" fillId="0" borderId="0" xfId="13" applyNumberFormat="1" applyFill="1" applyAlignment="1">
      <alignment horizontal="center" vertical="center"/>
    </xf>
    <xf numFmtId="182" fontId="2" fillId="42" borderId="231" xfId="126" applyNumberFormat="1" applyFill="1" applyBorder="1" applyAlignment="1" applyProtection="1">
      <alignment vertical="top" wrapText="1"/>
      <protection locked="0"/>
    </xf>
    <xf numFmtId="182" fontId="2" fillId="25" borderId="232" xfId="126" applyNumberFormat="1" applyFill="1" applyBorder="1" applyAlignment="1" applyProtection="1">
      <alignment vertical="top" wrapText="1"/>
      <protection locked="0"/>
    </xf>
    <xf numFmtId="182" fontId="2" fillId="25" borderId="231" xfId="126" applyNumberFormat="1" applyFill="1" applyBorder="1" applyAlignment="1" applyProtection="1">
      <alignment vertical="top" wrapText="1"/>
      <protection locked="0"/>
    </xf>
    <xf numFmtId="182" fontId="2" fillId="42" borderId="185" xfId="126" applyNumberFormat="1" applyFill="1" applyBorder="1" applyAlignment="1" applyProtection="1">
      <alignment vertical="top" wrapText="1"/>
      <protection locked="0"/>
    </xf>
    <xf numFmtId="182" fontId="2" fillId="25" borderId="203" xfId="126" applyNumberFormat="1" applyFill="1" applyBorder="1" applyAlignment="1" applyProtection="1">
      <alignment horizontal="center" vertical="top" wrapText="1"/>
      <protection locked="0"/>
    </xf>
    <xf numFmtId="196" fontId="5" fillId="42" borderId="185" xfId="61" applyNumberFormat="1" applyFill="1" applyBorder="1" applyAlignment="1" applyProtection="1">
      <alignment vertical="top" wrapText="1"/>
      <protection locked="0"/>
    </xf>
    <xf numFmtId="196" fontId="2" fillId="34" borderId="205" xfId="126" applyNumberFormat="1" applyFill="1" applyBorder="1" applyAlignment="1" applyProtection="1">
      <alignment vertical="top" wrapText="1"/>
      <protection locked="0"/>
    </xf>
    <xf numFmtId="196" fontId="2" fillId="25" borderId="206" xfId="126" applyNumberFormat="1" applyFill="1" applyBorder="1" applyAlignment="1" applyProtection="1">
      <alignment vertical="top" wrapText="1"/>
      <protection locked="0"/>
    </xf>
    <xf numFmtId="196" fontId="2" fillId="42" borderId="185" xfId="126" applyNumberFormat="1" applyFill="1" applyBorder="1" applyAlignment="1" applyProtection="1">
      <alignment vertical="top" wrapText="1"/>
      <protection locked="0"/>
    </xf>
    <xf numFmtId="196" fontId="2" fillId="25" borderId="206" xfId="126" applyNumberFormat="1" applyFill="1" applyBorder="1" applyAlignment="1" applyProtection="1">
      <alignment horizontal="center" vertical="top" wrapText="1"/>
      <protection locked="0"/>
    </xf>
    <xf numFmtId="49" fontId="49" fillId="30" borderId="114" xfId="0" applyNumberFormat="1" applyFont="1" applyFill="1" applyBorder="1" applyAlignment="1" applyProtection="1">
      <alignment horizontal="left" vertical="center" indent="1"/>
      <protection locked="0"/>
    </xf>
    <xf numFmtId="177" fontId="49" fillId="0" borderId="135" xfId="84" applyNumberFormat="1" applyFont="1" applyBorder="1"/>
    <xf numFmtId="197" fontId="49" fillId="0" borderId="64" xfId="57" applyNumberFormat="1" applyFont="1" applyBorder="1"/>
    <xf numFmtId="197" fontId="67" fillId="0" borderId="46" xfId="57" applyNumberFormat="1" applyFont="1" applyBorder="1"/>
    <xf numFmtId="197" fontId="67" fillId="0" borderId="49" xfId="57" applyNumberFormat="1" applyFont="1" applyBorder="1"/>
    <xf numFmtId="197" fontId="67" fillId="0" borderId="41" xfId="57" applyNumberFormat="1" applyFont="1" applyBorder="1"/>
    <xf numFmtId="198" fontId="65" fillId="0" borderId="55" xfId="92" applyNumberFormat="1" applyFont="1" applyFill="1" applyBorder="1" applyAlignment="1" applyProtection="1">
      <alignment horizontal="center" vertical="top"/>
    </xf>
    <xf numFmtId="0" fontId="10" fillId="0" borderId="0" xfId="57" applyFont="1"/>
    <xf numFmtId="0" fontId="48" fillId="27" borderId="0" xfId="57" applyFont="1" applyFill="1" applyAlignment="1">
      <alignment horizontal="center" vertical="center" wrapText="1"/>
    </xf>
    <xf numFmtId="0" fontId="48" fillId="25" borderId="80" xfId="0" applyFont="1" applyFill="1" applyBorder="1" applyAlignment="1">
      <alignment vertical="center"/>
    </xf>
    <xf numFmtId="0" fontId="48" fillId="0" borderId="0" xfId="0" applyFont="1" applyAlignment="1">
      <alignment horizontal="right" vertical="center" indent="1"/>
    </xf>
    <xf numFmtId="0" fontId="48" fillId="23" borderId="80" xfId="40" applyNumberFormat="1" applyFont="1" applyFill="1" applyBorder="1" applyAlignment="1">
      <alignment horizontal="center" vertical="center" wrapText="1"/>
    </xf>
    <xf numFmtId="0" fontId="68" fillId="31" borderId="80" xfId="0" applyFont="1" applyFill="1" applyBorder="1" applyAlignment="1">
      <alignment horizontal="left" vertical="top" wrapText="1"/>
    </xf>
    <xf numFmtId="0" fontId="60" fillId="25" borderId="80" xfId="0" applyFont="1" applyFill="1" applyBorder="1" applyAlignment="1">
      <alignment vertical="center" wrapText="1"/>
    </xf>
    <xf numFmtId="167" fontId="79" fillId="25" borderId="80" xfId="15" applyFont="1" applyFill="1" applyBorder="1">
      <alignment horizontal="right" vertical="center"/>
    </xf>
    <xf numFmtId="175" fontId="50" fillId="18" borderId="74" xfId="85" applyFill="1" applyBorder="1">
      <alignment horizontal="right"/>
      <protection locked="0"/>
    </xf>
    <xf numFmtId="0" fontId="64" fillId="22" borderId="188" xfId="122" applyBorder="1">
      <alignment horizontal="center" vertical="center" wrapText="1"/>
    </xf>
    <xf numFmtId="0" fontId="10" fillId="0" borderId="0" xfId="57" applyFont="1" applyAlignment="1">
      <alignment horizontal="left" vertical="center"/>
    </xf>
    <xf numFmtId="0" fontId="41" fillId="18" borderId="286" xfId="57" applyFill="1" applyBorder="1"/>
    <xf numFmtId="169" fontId="33" fillId="13" borderId="287" xfId="14" applyNumberFormat="1" applyBorder="1">
      <alignment horizontal="right" vertical="center"/>
      <protection locked="0"/>
    </xf>
    <xf numFmtId="0" fontId="66" fillId="0" borderId="51" xfId="0" applyFont="1" applyBorder="1" applyAlignment="1">
      <alignment horizontal="right" vertical="center" indent="1"/>
    </xf>
    <xf numFmtId="167" fontId="32" fillId="18" borderId="97" xfId="15" applyFill="1" applyBorder="1">
      <alignment horizontal="right" vertical="center"/>
    </xf>
    <xf numFmtId="189" fontId="2" fillId="4" borderId="217" xfId="126" applyNumberFormat="1" applyFill="1" applyBorder="1" applyAlignment="1" applyProtection="1">
      <alignment vertical="top" wrapText="1"/>
      <protection locked="0"/>
    </xf>
    <xf numFmtId="0" fontId="41" fillId="4" borderId="0" xfId="57" applyFill="1"/>
    <xf numFmtId="169" fontId="32" fillId="4" borderId="4" xfId="13" applyNumberFormat="1" applyFill="1" applyBorder="1">
      <alignment horizontal="right" vertical="center"/>
    </xf>
    <xf numFmtId="169" fontId="33" fillId="4" borderId="4" xfId="14" applyNumberFormat="1" applyFill="1">
      <alignment horizontal="right" vertical="center"/>
      <protection locked="0"/>
    </xf>
    <xf numFmtId="190" fontId="2" fillId="4" borderId="217" xfId="126" applyNumberFormat="1" applyFill="1" applyBorder="1" applyAlignment="1" applyProtection="1">
      <alignment vertical="top" wrapText="1"/>
      <protection locked="0"/>
    </xf>
    <xf numFmtId="185" fontId="2" fillId="4" borderId="217" xfId="126" applyNumberFormat="1" applyFill="1" applyBorder="1" applyAlignment="1" applyProtection="1">
      <alignment vertical="top" wrapText="1"/>
      <protection locked="0"/>
    </xf>
    <xf numFmtId="185" fontId="2" fillId="4" borderId="218" xfId="126" applyNumberFormat="1" applyFill="1" applyBorder="1" applyAlignment="1" applyProtection="1">
      <alignment vertical="top" wrapText="1"/>
      <protection locked="0"/>
    </xf>
    <xf numFmtId="195" fontId="2" fillId="4" borderId="42" xfId="126" applyNumberFormat="1" applyFill="1" applyBorder="1" applyAlignment="1" applyProtection="1">
      <alignment vertical="top" wrapText="1"/>
      <protection locked="0"/>
    </xf>
    <xf numFmtId="185" fontId="2" fillId="4" borderId="206" xfId="126" applyNumberFormat="1" applyFill="1" applyBorder="1" applyAlignment="1" applyProtection="1">
      <alignment vertical="top" wrapText="1"/>
      <protection locked="0"/>
    </xf>
    <xf numFmtId="0" fontId="2" fillId="4" borderId="215" xfId="126" applyFill="1" applyBorder="1" applyAlignment="1" applyProtection="1">
      <alignment vertical="top" wrapText="1"/>
      <protection locked="0"/>
    </xf>
    <xf numFmtId="169" fontId="32" fillId="4" borderId="274" xfId="13" applyNumberFormat="1" applyFill="1" applyBorder="1">
      <alignment horizontal="right" vertical="center"/>
    </xf>
    <xf numFmtId="185" fontId="2" fillId="4" borderId="215" xfId="126" applyNumberFormat="1" applyFill="1" applyBorder="1" applyAlignment="1" applyProtection="1">
      <alignment vertical="top" wrapText="1"/>
      <protection locked="0"/>
    </xf>
    <xf numFmtId="175" fontId="50" fillId="46" borderId="69" xfId="85" applyFill="1" applyBorder="1">
      <alignment horizontal="right"/>
      <protection locked="0"/>
    </xf>
    <xf numFmtId="175" fontId="50" fillId="46" borderId="30" xfId="85" applyFill="1" applyBorder="1">
      <alignment horizontal="right"/>
      <protection locked="0"/>
    </xf>
    <xf numFmtId="175" fontId="50" fillId="46" borderId="29" xfId="85" applyFill="1" applyBorder="1">
      <alignment horizontal="right"/>
      <protection locked="0"/>
    </xf>
    <xf numFmtId="175" fontId="50" fillId="46" borderId="31" xfId="85" applyFill="1" applyBorder="1">
      <alignment horizontal="right"/>
      <protection locked="0"/>
    </xf>
    <xf numFmtId="175" fontId="50" fillId="46" borderId="73" xfId="85" applyFill="1" applyBorder="1">
      <alignment horizontal="right"/>
      <protection locked="0"/>
    </xf>
    <xf numFmtId="167" fontId="32" fillId="4" borderId="97" xfId="15" applyFill="1" applyBorder="1">
      <alignment horizontal="right" vertical="center"/>
    </xf>
    <xf numFmtId="175" fontId="50" fillId="46" borderId="70" xfId="85" applyFill="1" applyBorder="1">
      <alignment horizontal="right"/>
      <protection locked="0"/>
    </xf>
    <xf numFmtId="175" fontId="50" fillId="46" borderId="34" xfId="85" applyFill="1" applyBorder="1">
      <alignment horizontal="right"/>
      <protection locked="0"/>
    </xf>
    <xf numFmtId="175" fontId="50" fillId="46" borderId="33" xfId="85" applyFill="1" applyBorder="1">
      <alignment horizontal="right"/>
      <protection locked="0"/>
    </xf>
    <xf numFmtId="175" fontId="50" fillId="46" borderId="35" xfId="85" applyFill="1" applyBorder="1">
      <alignment horizontal="right"/>
      <protection locked="0"/>
    </xf>
    <xf numFmtId="175" fontId="50" fillId="46" borderId="74" xfId="85" applyFill="1" applyBorder="1">
      <alignment horizontal="right"/>
      <protection locked="0"/>
    </xf>
    <xf numFmtId="176" fontId="51" fillId="4" borderId="43" xfId="86" applyFill="1" applyBorder="1">
      <alignment horizontal="right" vertical="center"/>
    </xf>
    <xf numFmtId="176" fontId="51" fillId="4" borderId="36" xfId="86" applyFill="1" applyBorder="1">
      <alignment horizontal="right" vertical="center"/>
    </xf>
    <xf numFmtId="176" fontId="51" fillId="4" borderId="38" xfId="86" applyFill="1" applyBorder="1">
      <alignment horizontal="right" vertical="center"/>
    </xf>
    <xf numFmtId="176" fontId="49" fillId="4" borderId="41" xfId="0" applyNumberFormat="1" applyFont="1" applyFill="1" applyBorder="1" applyAlignment="1" applyProtection="1">
      <alignment horizontal="right" vertical="center" indent="1"/>
      <protection locked="0"/>
    </xf>
    <xf numFmtId="176" fontId="49" fillId="4" borderId="236" xfId="0" applyNumberFormat="1" applyFont="1" applyFill="1" applyBorder="1" applyAlignment="1" applyProtection="1">
      <alignment horizontal="right" vertical="center" indent="1"/>
      <protection locked="0"/>
    </xf>
    <xf numFmtId="176" fontId="49" fillId="4" borderId="52" xfId="0" applyNumberFormat="1" applyFont="1" applyFill="1" applyBorder="1" applyAlignment="1" applyProtection="1">
      <alignment horizontal="right" vertical="center" indent="1"/>
      <protection locked="0"/>
    </xf>
    <xf numFmtId="176" fontId="49" fillId="4" borderId="126" xfId="0" applyNumberFormat="1" applyFont="1" applyFill="1" applyBorder="1" applyAlignment="1" applyProtection="1">
      <alignment horizontal="right" vertical="center" indent="1"/>
      <protection locked="0"/>
    </xf>
    <xf numFmtId="176" fontId="49" fillId="4" borderId="68" xfId="0" applyNumberFormat="1" applyFont="1" applyFill="1" applyBorder="1" applyAlignment="1" applyProtection="1">
      <alignment horizontal="right" vertical="center" indent="1"/>
      <protection locked="0"/>
    </xf>
    <xf numFmtId="176" fontId="49" fillId="4" borderId="54" xfId="0" applyNumberFormat="1" applyFont="1" applyFill="1" applyBorder="1" applyAlignment="1" applyProtection="1">
      <alignment horizontal="right" vertical="center" indent="1"/>
      <protection locked="0"/>
    </xf>
    <xf numFmtId="169" fontId="33" fillId="4" borderId="104" xfId="14" applyNumberFormat="1" applyFill="1" applyBorder="1">
      <alignment horizontal="right" vertical="center"/>
      <protection locked="0"/>
    </xf>
    <xf numFmtId="169" fontId="33" fillId="4" borderId="4" xfId="14" applyNumberFormat="1" applyFill="1" applyBorder="1">
      <alignment horizontal="right" vertical="center"/>
      <protection locked="0"/>
    </xf>
    <xf numFmtId="169" fontId="33" fillId="4" borderId="90" xfId="14" applyNumberFormat="1" applyFill="1" applyBorder="1">
      <alignment horizontal="right" vertical="center"/>
      <protection locked="0"/>
    </xf>
    <xf numFmtId="169" fontId="32" fillId="4" borderId="107" xfId="13" applyNumberFormat="1" applyFill="1" applyBorder="1">
      <alignment horizontal="right" vertical="center"/>
    </xf>
    <xf numFmtId="176" fontId="49" fillId="4" borderId="156" xfId="0" applyNumberFormat="1" applyFont="1" applyFill="1" applyBorder="1" applyAlignment="1" applyProtection="1">
      <alignment horizontal="right" vertical="center" wrapText="1"/>
      <protection locked="0"/>
    </xf>
    <xf numFmtId="176" fontId="49" fillId="4" borderId="168" xfId="0" applyNumberFormat="1" applyFont="1" applyFill="1" applyBorder="1" applyAlignment="1" applyProtection="1">
      <alignment horizontal="right" vertical="center" wrapText="1"/>
      <protection locked="0"/>
    </xf>
    <xf numFmtId="176" fontId="49" fillId="4" borderId="169" xfId="0" applyNumberFormat="1" applyFont="1" applyFill="1" applyBorder="1" applyAlignment="1" applyProtection="1">
      <alignment horizontal="right" vertical="center" wrapText="1"/>
      <protection locked="0"/>
    </xf>
    <xf numFmtId="176" fontId="49" fillId="4" borderId="49" xfId="0" applyNumberFormat="1" applyFont="1" applyFill="1" applyBorder="1" applyAlignment="1" applyProtection="1">
      <alignment horizontal="right" vertical="center" wrapText="1"/>
      <protection locked="0"/>
    </xf>
    <xf numFmtId="176" fontId="49" fillId="4" borderId="50" xfId="0" applyNumberFormat="1" applyFont="1" applyFill="1" applyBorder="1" applyAlignment="1" applyProtection="1">
      <alignment horizontal="right" vertical="center" wrapText="1"/>
      <protection locked="0"/>
    </xf>
    <xf numFmtId="176" fontId="49" fillId="4" borderId="48" xfId="0" applyNumberFormat="1" applyFont="1" applyFill="1" applyBorder="1" applyAlignment="1" applyProtection="1">
      <alignment horizontal="right" vertical="center" wrapText="1"/>
      <protection locked="0"/>
    </xf>
    <xf numFmtId="176" fontId="49" fillId="4" borderId="132" xfId="0" applyNumberFormat="1" applyFont="1" applyFill="1" applyBorder="1" applyAlignment="1" applyProtection="1">
      <alignment horizontal="right" vertical="center" wrapText="1"/>
      <protection locked="0"/>
    </xf>
    <xf numFmtId="176" fontId="49" fillId="4" borderId="35" xfId="0" applyNumberFormat="1" applyFont="1" applyFill="1" applyBorder="1" applyAlignment="1" applyProtection="1">
      <alignment horizontal="right" vertical="center" wrapText="1"/>
      <protection locked="0"/>
    </xf>
    <xf numFmtId="176" fontId="49" fillId="4" borderId="171" xfId="0" applyNumberFormat="1" applyFont="1" applyFill="1" applyBorder="1" applyAlignment="1" applyProtection="1">
      <alignment horizontal="right" vertical="center" wrapText="1"/>
      <protection locked="0"/>
    </xf>
    <xf numFmtId="176" fontId="49" fillId="4" borderId="172" xfId="0" applyNumberFormat="1" applyFont="1" applyFill="1" applyBorder="1" applyAlignment="1" applyProtection="1">
      <alignment horizontal="right" vertical="center" wrapText="1"/>
      <protection locked="0"/>
    </xf>
    <xf numFmtId="176" fontId="49" fillId="4" borderId="55" xfId="0" applyNumberFormat="1" applyFont="1" applyFill="1" applyBorder="1" applyAlignment="1" applyProtection="1">
      <alignment horizontal="right" vertical="center" wrapText="1"/>
      <protection locked="0"/>
    </xf>
    <xf numFmtId="176" fontId="49" fillId="4" borderId="53" xfId="0" applyNumberFormat="1" applyFont="1" applyFill="1" applyBorder="1" applyAlignment="1" applyProtection="1">
      <alignment horizontal="right" vertical="center" wrapText="1"/>
      <protection locked="0"/>
    </xf>
    <xf numFmtId="176" fontId="49" fillId="4" borderId="54" xfId="0" applyNumberFormat="1" applyFont="1" applyFill="1" applyBorder="1" applyAlignment="1" applyProtection="1">
      <alignment horizontal="right" vertical="center" wrapText="1"/>
      <protection locked="0"/>
    </xf>
    <xf numFmtId="176" fontId="49" fillId="4" borderId="85" xfId="0" applyNumberFormat="1" applyFont="1" applyFill="1" applyBorder="1" applyAlignment="1" applyProtection="1">
      <alignment horizontal="right" vertical="center" wrapText="1"/>
      <protection locked="0"/>
    </xf>
    <xf numFmtId="175" fontId="50" fillId="46" borderId="75" xfId="85" applyFill="1" applyBorder="1">
      <alignment horizontal="right"/>
      <protection locked="0"/>
    </xf>
    <xf numFmtId="175" fontId="50" fillId="46" borderId="76" xfId="85" applyFill="1" applyBorder="1">
      <alignment horizontal="right"/>
      <protection locked="0"/>
    </xf>
    <xf numFmtId="165" fontId="32" fillId="4" borderId="4" xfId="13" applyFill="1" applyBorder="1">
      <alignment horizontal="right" vertical="center"/>
    </xf>
    <xf numFmtId="49" fontId="49" fillId="4" borderId="82" xfId="130" applyFill="1" applyBorder="1" applyAlignment="1">
      <alignment horizontal="left" vertical="center" indent="1"/>
      <protection locked="0"/>
    </xf>
    <xf numFmtId="49" fontId="49" fillId="4" borderId="83" xfId="130" applyFill="1" applyBorder="1" applyAlignment="1">
      <alignment horizontal="left" vertical="center" indent="1"/>
      <protection locked="0"/>
    </xf>
    <xf numFmtId="0" fontId="48" fillId="22" borderId="80" xfId="0" applyFont="1" applyFill="1" applyBorder="1" applyAlignment="1">
      <alignment horizontal="right" vertical="center" wrapText="1"/>
    </xf>
    <xf numFmtId="169" fontId="32" fillId="0" borderId="0" xfId="13" applyNumberFormat="1" applyFill="1">
      <alignment horizontal="right" vertical="center"/>
    </xf>
    <xf numFmtId="169" fontId="32" fillId="0" borderId="145" xfId="13" applyNumberFormat="1" applyFill="1" applyBorder="1">
      <alignment horizontal="right" vertical="center"/>
    </xf>
    <xf numFmtId="169" fontId="32" fillId="0" borderId="146" xfId="13" applyNumberFormat="1" applyBorder="1">
      <alignment horizontal="right" vertical="center"/>
    </xf>
    <xf numFmtId="175" fontId="50" fillId="46" borderId="102" xfId="85" applyFill="1" applyBorder="1">
      <alignment horizontal="right"/>
      <protection locked="0"/>
    </xf>
    <xf numFmtId="182" fontId="50" fillId="4" borderId="195" xfId="126" applyNumberFormat="1" applyFont="1" applyFill="1" applyBorder="1" applyAlignment="1" applyProtection="1">
      <alignment horizontal="right"/>
      <protection locked="0"/>
    </xf>
    <xf numFmtId="182" fontId="5" fillId="4" borderId="200" xfId="61" applyNumberFormat="1" applyFill="1" applyBorder="1" applyAlignment="1" applyProtection="1">
      <alignment horizontal="right" vertical="top" wrapText="1"/>
      <protection locked="0"/>
    </xf>
    <xf numFmtId="196" fontId="5" fillId="4" borderId="185" xfId="61" applyNumberFormat="1" applyFill="1" applyBorder="1" applyAlignment="1" applyProtection="1">
      <alignment horizontal="right" vertical="top" wrapText="1"/>
      <protection locked="0"/>
    </xf>
    <xf numFmtId="196" fontId="2" fillId="4" borderId="185" xfId="126" applyNumberFormat="1" applyFill="1" applyBorder="1" applyAlignment="1" applyProtection="1">
      <alignment horizontal="right" vertical="top" wrapText="1"/>
      <protection locked="0"/>
    </xf>
    <xf numFmtId="196" fontId="2" fillId="4" borderId="186" xfId="126" applyNumberFormat="1" applyFill="1" applyBorder="1" applyAlignment="1" applyProtection="1">
      <alignment horizontal="right" vertical="top" wrapText="1"/>
      <protection locked="0"/>
    </xf>
    <xf numFmtId="196" fontId="2" fillId="4" borderId="187" xfId="126" applyNumberFormat="1" applyFill="1" applyBorder="1" applyAlignment="1" applyProtection="1">
      <alignment horizontal="right" vertical="top" wrapText="1"/>
      <protection locked="0"/>
    </xf>
    <xf numFmtId="185" fontId="2" fillId="4" borderId="217" xfId="126" applyNumberFormat="1" applyFill="1" applyBorder="1" applyAlignment="1" applyProtection="1">
      <alignment horizontal="right" vertical="top" wrapText="1"/>
      <protection locked="0"/>
    </xf>
    <xf numFmtId="185" fontId="2" fillId="4" borderId="186" xfId="126" applyNumberFormat="1" applyFill="1" applyBorder="1" applyAlignment="1" applyProtection="1">
      <alignment horizontal="right" vertical="top" wrapText="1"/>
      <protection locked="0"/>
    </xf>
    <xf numFmtId="185" fontId="2" fillId="4" borderId="186" xfId="126" applyNumberFormat="1" applyFill="1" applyBorder="1" applyAlignment="1" applyProtection="1">
      <alignment horizontal="right" vertical="center" wrapText="1"/>
      <protection locked="0"/>
    </xf>
    <xf numFmtId="185" fontId="2" fillId="4" borderId="217" xfId="126" applyNumberFormat="1" applyFill="1" applyBorder="1" applyAlignment="1" applyProtection="1">
      <alignment horizontal="right" vertical="center" wrapText="1"/>
      <protection locked="0"/>
    </xf>
    <xf numFmtId="3" fontId="50" fillId="4" borderId="196" xfId="126" applyNumberFormat="1" applyFont="1" applyFill="1" applyBorder="1" applyAlignment="1" applyProtection="1">
      <alignment horizontal="right"/>
      <protection locked="0"/>
    </xf>
    <xf numFmtId="185" fontId="2" fillId="4" borderId="201" xfId="126" applyNumberFormat="1" applyFill="1" applyBorder="1" applyAlignment="1" applyProtection="1">
      <alignment horizontal="right" vertical="top" wrapText="1"/>
      <protection locked="0"/>
    </xf>
    <xf numFmtId="185" fontId="2" fillId="4" borderId="185" xfId="126" applyNumberFormat="1" applyFill="1" applyBorder="1" applyAlignment="1" applyProtection="1">
      <alignment horizontal="right" vertical="top" wrapText="1"/>
      <protection locked="0"/>
    </xf>
    <xf numFmtId="185" fontId="2" fillId="4" borderId="187" xfId="126" applyNumberFormat="1" applyFill="1" applyBorder="1" applyAlignment="1" applyProtection="1">
      <alignment horizontal="right" vertical="top" wrapText="1"/>
      <protection locked="0"/>
    </xf>
    <xf numFmtId="195" fontId="2" fillId="4" borderId="42" xfId="126" applyNumberFormat="1" applyFill="1" applyBorder="1" applyAlignment="1" applyProtection="1">
      <alignment horizontal="right" vertical="top" wrapText="1"/>
      <protection locked="0"/>
    </xf>
    <xf numFmtId="3" fontId="50" fillId="4" borderId="197" xfId="126" applyNumberFormat="1" applyFont="1" applyFill="1" applyBorder="1" applyAlignment="1" applyProtection="1">
      <alignment horizontal="right"/>
      <protection locked="0"/>
    </xf>
    <xf numFmtId="185" fontId="2" fillId="4" borderId="202" xfId="126" applyNumberFormat="1" applyFill="1" applyBorder="1" applyAlignment="1" applyProtection="1">
      <alignment horizontal="right" vertical="top" wrapText="1"/>
      <protection locked="0"/>
    </xf>
    <xf numFmtId="185" fontId="2" fillId="4" borderId="196" xfId="126" applyNumberFormat="1" applyFill="1" applyBorder="1" applyAlignment="1" applyProtection="1">
      <alignment horizontal="right" vertical="top" wrapText="1"/>
      <protection locked="0"/>
    </xf>
    <xf numFmtId="3" fontId="50" fillId="4" borderId="195" xfId="126" applyNumberFormat="1" applyFont="1" applyFill="1" applyBorder="1" applyAlignment="1" applyProtection="1">
      <alignment horizontal="right"/>
      <protection locked="0"/>
    </xf>
    <xf numFmtId="188" fontId="5" fillId="4" borderId="200" xfId="61" applyNumberFormat="1" applyFill="1" applyBorder="1" applyAlignment="1" applyProtection="1">
      <alignment horizontal="right" vertical="top" wrapText="1"/>
      <protection locked="0"/>
    </xf>
    <xf numFmtId="188" fontId="5" fillId="4" borderId="185" xfId="61" applyNumberFormat="1" applyFill="1" applyBorder="1" applyAlignment="1" applyProtection="1">
      <alignment horizontal="right" vertical="top" wrapText="1"/>
      <protection locked="0"/>
    </xf>
    <xf numFmtId="187" fontId="2" fillId="4" borderId="211" xfId="126" applyNumberFormat="1" applyFill="1" applyBorder="1" applyAlignment="1" applyProtection="1">
      <alignment horizontal="right" vertical="top" wrapText="1"/>
      <protection locked="0"/>
    </xf>
    <xf numFmtId="187" fontId="2" fillId="4" borderId="199" xfId="126" applyNumberFormat="1" applyFill="1" applyBorder="1" applyAlignment="1" applyProtection="1">
      <alignment horizontal="right" vertical="top" wrapText="1"/>
      <protection locked="0"/>
    </xf>
    <xf numFmtId="187" fontId="2" fillId="4" borderId="228" xfId="126" applyNumberFormat="1" applyFill="1" applyBorder="1" applyAlignment="1" applyProtection="1">
      <alignment horizontal="right" vertical="top" wrapText="1"/>
      <protection locked="0"/>
    </xf>
    <xf numFmtId="187" fontId="2" fillId="4" borderId="231" xfId="126" applyNumberFormat="1" applyFill="1" applyBorder="1" applyAlignment="1" applyProtection="1">
      <alignment horizontal="right" vertical="top" wrapText="1"/>
      <protection locked="0"/>
    </xf>
    <xf numFmtId="0" fontId="2" fillId="4" borderId="211" xfId="126" applyFill="1" applyBorder="1" applyAlignment="1" applyProtection="1">
      <alignment horizontal="right" vertical="top" wrapText="1"/>
      <protection locked="0"/>
    </xf>
    <xf numFmtId="185" fontId="2" fillId="4" borderId="199" xfId="126" applyNumberFormat="1" applyFill="1" applyBorder="1" applyAlignment="1" applyProtection="1">
      <alignment horizontal="right" vertical="top" wrapText="1"/>
      <protection locked="0"/>
    </xf>
    <xf numFmtId="185" fontId="2" fillId="4" borderId="228" xfId="126" applyNumberFormat="1" applyFill="1" applyBorder="1" applyAlignment="1" applyProtection="1">
      <alignment horizontal="right" vertical="top" wrapText="1"/>
      <protection locked="0"/>
    </xf>
    <xf numFmtId="185" fontId="2" fillId="4" borderId="229" xfId="126" applyNumberFormat="1" applyFill="1" applyBorder="1" applyAlignment="1" applyProtection="1">
      <alignment horizontal="right" vertical="top" wrapText="1"/>
      <protection locked="0"/>
    </xf>
    <xf numFmtId="185" fontId="2" fillId="4" borderId="216" xfId="126" applyNumberFormat="1" applyFill="1" applyBorder="1" applyAlignment="1" applyProtection="1">
      <alignment horizontal="right" vertical="top" wrapText="1"/>
      <protection locked="0"/>
    </xf>
    <xf numFmtId="187" fontId="2" fillId="4" borderId="231" xfId="126" applyNumberFormat="1" applyFill="1" applyBorder="1" applyAlignment="1" applyProtection="1">
      <alignment wrapText="1"/>
      <protection locked="0"/>
    </xf>
    <xf numFmtId="185" fontId="2" fillId="4" borderId="217" xfId="126" applyNumberFormat="1" applyFill="1" applyBorder="1" applyAlignment="1" applyProtection="1">
      <alignment wrapText="1"/>
      <protection locked="0"/>
    </xf>
    <xf numFmtId="185" fontId="2" fillId="4" borderId="219" xfId="126" applyNumberFormat="1" applyFill="1" applyBorder="1" applyAlignment="1" applyProtection="1">
      <alignment wrapText="1"/>
      <protection locked="0"/>
    </xf>
    <xf numFmtId="182" fontId="2" fillId="4" borderId="231" xfId="126" applyNumberFormat="1" applyFill="1" applyBorder="1" applyAlignment="1" applyProtection="1">
      <alignment horizontal="right" vertical="top" wrapText="1"/>
      <protection locked="0"/>
    </xf>
    <xf numFmtId="185" fontId="2" fillId="4" borderId="219" xfId="126" applyNumberFormat="1" applyFill="1" applyBorder="1" applyAlignment="1" applyProtection="1">
      <alignment horizontal="right" vertical="top" wrapText="1"/>
      <protection locked="0"/>
    </xf>
    <xf numFmtId="182" fontId="2" fillId="4" borderId="211" xfId="126" applyNumberFormat="1" applyFill="1" applyBorder="1" applyAlignment="1" applyProtection="1">
      <alignment horizontal="right" vertical="top" wrapText="1"/>
      <protection locked="0"/>
    </xf>
    <xf numFmtId="182" fontId="2" fillId="4" borderId="199" xfId="126" applyNumberFormat="1" applyFill="1" applyBorder="1" applyAlignment="1" applyProtection="1">
      <alignment horizontal="right" vertical="top" wrapText="1"/>
      <protection locked="0"/>
    </xf>
    <xf numFmtId="182" fontId="2" fillId="4" borderId="228" xfId="126" applyNumberFormat="1" applyFill="1" applyBorder="1" applyAlignment="1" applyProtection="1">
      <alignment horizontal="right" vertical="top" wrapText="1"/>
      <protection locked="0"/>
    </xf>
    <xf numFmtId="182" fontId="2" fillId="4" borderId="185" xfId="126" applyNumberFormat="1" applyFill="1" applyBorder="1" applyAlignment="1" applyProtection="1">
      <alignment horizontal="right" vertical="top" wrapText="1"/>
      <protection locked="0"/>
    </xf>
    <xf numFmtId="3" fontId="10" fillId="31" borderId="86" xfId="126" applyNumberFormat="1" applyFont="1" applyFill="1" applyBorder="1" applyAlignment="1" applyProtection="1">
      <alignment vertical="top" wrapText="1"/>
      <protection locked="0"/>
    </xf>
    <xf numFmtId="0" fontId="10" fillId="31" borderId="114" xfId="126" applyFont="1" applyFill="1" applyBorder="1" applyAlignment="1" applyProtection="1">
      <alignment vertical="top" wrapText="1"/>
      <protection locked="0"/>
    </xf>
    <xf numFmtId="0" fontId="94" fillId="31" borderId="115" xfId="126" applyFont="1" applyFill="1" applyBorder="1" applyAlignment="1" applyProtection="1">
      <alignment vertical="top" wrapText="1"/>
      <protection locked="0"/>
    </xf>
    <xf numFmtId="0" fontId="94" fillId="31" borderId="116" xfId="126" applyFont="1" applyFill="1" applyBorder="1" applyAlignment="1" applyProtection="1">
      <alignment vertical="top" wrapText="1"/>
      <protection locked="0"/>
    </xf>
    <xf numFmtId="190" fontId="10" fillId="31" borderId="219" xfId="126" applyNumberFormat="1" applyFont="1" applyFill="1" applyBorder="1" applyAlignment="1" applyProtection="1">
      <alignment vertical="top" wrapText="1"/>
      <protection locked="0"/>
    </xf>
    <xf numFmtId="0" fontId="50" fillId="31" borderId="115" xfId="126" applyFont="1" applyFill="1" applyBorder="1" applyAlignment="1" applyProtection="1">
      <alignment vertical="top" wrapText="1"/>
      <protection locked="0"/>
    </xf>
    <xf numFmtId="0" fontId="50" fillId="31" borderId="116" xfId="126" applyFont="1" applyFill="1" applyBorder="1" applyAlignment="1" applyProtection="1">
      <alignment vertical="top" wrapText="1"/>
      <protection locked="0"/>
    </xf>
    <xf numFmtId="190" fontId="10" fillId="31" borderId="217" xfId="126" applyNumberFormat="1" applyFont="1" applyFill="1" applyBorder="1" applyAlignment="1" applyProtection="1">
      <alignment vertical="top" wrapText="1"/>
      <protection locked="0"/>
    </xf>
    <xf numFmtId="0" fontId="10" fillId="31" borderId="86" xfId="126" applyFont="1" applyFill="1" applyBorder="1" applyAlignment="1" applyProtection="1">
      <alignment vertical="top" wrapText="1"/>
      <protection locked="0"/>
    </xf>
    <xf numFmtId="0" fontId="36" fillId="35" borderId="0" xfId="38" applyFill="1">
      <alignment horizontal="left" vertical="center"/>
    </xf>
    <xf numFmtId="0" fontId="48" fillId="23" borderId="288" xfId="0" applyFont="1" applyFill="1" applyBorder="1" applyAlignment="1">
      <alignment horizontal="center" vertical="center" wrapText="1"/>
    </xf>
    <xf numFmtId="0" fontId="48" fillId="23" borderId="289" xfId="0" applyFont="1" applyFill="1" applyBorder="1" applyAlignment="1">
      <alignment horizontal="center" vertical="center" wrapText="1"/>
    </xf>
    <xf numFmtId="0" fontId="48" fillId="22" borderId="290" xfId="0" applyFont="1" applyFill="1" applyBorder="1" applyAlignment="1">
      <alignment horizontal="center" vertical="center" wrapText="1"/>
    </xf>
    <xf numFmtId="0" fontId="48" fillId="22" borderId="291" xfId="0" applyFont="1" applyFill="1" applyBorder="1" applyAlignment="1">
      <alignment horizontal="center" vertical="center" wrapText="1"/>
    </xf>
    <xf numFmtId="0" fontId="48" fillId="22" borderId="292" xfId="0" applyFont="1" applyFill="1" applyBorder="1" applyAlignment="1">
      <alignment horizontal="center" vertical="center" wrapText="1"/>
    </xf>
    <xf numFmtId="175" fontId="50" fillId="24" borderId="293" xfId="85" applyBorder="1">
      <alignment horizontal="right"/>
      <protection locked="0"/>
    </xf>
    <xf numFmtId="175" fontId="50" fillId="24" borderId="294" xfId="85" applyBorder="1">
      <alignment horizontal="right"/>
      <protection locked="0"/>
    </xf>
    <xf numFmtId="175" fontId="50" fillId="24" borderId="295" xfId="85" applyBorder="1">
      <alignment horizontal="right"/>
      <protection locked="0"/>
    </xf>
    <xf numFmtId="175" fontId="50" fillId="24" borderId="296" xfId="85" applyBorder="1">
      <alignment horizontal="right"/>
      <protection locked="0"/>
    </xf>
    <xf numFmtId="175" fontId="50" fillId="24" borderId="297" xfId="85" applyBorder="1">
      <alignment horizontal="right"/>
      <protection locked="0"/>
    </xf>
    <xf numFmtId="175" fontId="50" fillId="24" borderId="298" xfId="85" applyBorder="1">
      <alignment horizontal="right"/>
      <protection locked="0"/>
    </xf>
    <xf numFmtId="175" fontId="50" fillId="24" borderId="255" xfId="85" applyBorder="1">
      <alignment horizontal="right"/>
      <protection locked="0"/>
    </xf>
    <xf numFmtId="175" fontId="50" fillId="24" borderId="256" xfId="85" applyBorder="1">
      <alignment horizontal="right"/>
      <protection locked="0"/>
    </xf>
    <xf numFmtId="175" fontId="50" fillId="24" borderId="257" xfId="85" applyBorder="1">
      <alignment horizontal="right"/>
      <protection locked="0"/>
    </xf>
    <xf numFmtId="175" fontId="50" fillId="24" borderId="106" xfId="85" applyBorder="1">
      <alignment horizontal="right"/>
      <protection locked="0"/>
    </xf>
    <xf numFmtId="175" fontId="50" fillId="24" borderId="107" xfId="85" applyBorder="1">
      <alignment horizontal="right"/>
      <protection locked="0"/>
    </xf>
    <xf numFmtId="175" fontId="50" fillId="24" borderId="175" xfId="85" applyBorder="1">
      <alignment horizontal="right"/>
      <protection locked="0"/>
    </xf>
    <xf numFmtId="175" fontId="50" fillId="46" borderId="156" xfId="85" applyFill="1" applyBorder="1">
      <alignment horizontal="right"/>
      <protection locked="0"/>
    </xf>
    <xf numFmtId="49" fontId="49" fillId="4" borderId="162" xfId="130" applyFill="1" applyBorder="1" applyAlignment="1">
      <alignment horizontal="left" vertical="center" indent="1"/>
      <protection locked="0"/>
    </xf>
    <xf numFmtId="165" fontId="33" fillId="0" borderId="40" xfId="14" applyFill="1" applyBorder="1">
      <alignment horizontal="right" vertical="center"/>
      <protection locked="0"/>
    </xf>
    <xf numFmtId="165" fontId="33" fillId="0" borderId="4" xfId="14" applyFill="1">
      <alignment horizontal="right" vertical="center"/>
      <protection locked="0"/>
    </xf>
    <xf numFmtId="0" fontId="57" fillId="25" borderId="20" xfId="0" applyFont="1" applyFill="1" applyBorder="1" applyAlignment="1">
      <alignment horizontal="center" vertical="center"/>
    </xf>
    <xf numFmtId="49" fontId="49" fillId="31" borderId="51" xfId="0" applyNumberFormat="1" applyFont="1" applyFill="1" applyBorder="1" applyAlignment="1" applyProtection="1">
      <alignment horizontal="left" vertical="center" indent="1"/>
      <protection locked="0"/>
    </xf>
    <xf numFmtId="176" fontId="49" fillId="31" borderId="52" xfId="0" applyNumberFormat="1" applyFont="1" applyFill="1" applyBorder="1" applyAlignment="1" applyProtection="1">
      <alignment horizontal="right" vertical="center" indent="1"/>
      <protection locked="0"/>
    </xf>
    <xf numFmtId="176" fontId="49" fillId="31" borderId="85" xfId="0" applyNumberFormat="1" applyFont="1" applyFill="1" applyBorder="1" applyAlignment="1" applyProtection="1">
      <alignment horizontal="right" vertical="center" indent="1"/>
      <protection locked="0"/>
    </xf>
    <xf numFmtId="176" fontId="49" fillId="31" borderId="172" xfId="0" applyNumberFormat="1" applyFont="1" applyFill="1" applyBorder="1" applyAlignment="1" applyProtection="1">
      <alignment horizontal="right" vertical="center" indent="1"/>
      <protection locked="0"/>
    </xf>
    <xf numFmtId="176" fontId="49" fillId="31" borderId="174" xfId="0" applyNumberFormat="1" applyFont="1" applyFill="1" applyBorder="1" applyAlignment="1" applyProtection="1">
      <alignment horizontal="right" vertical="center" indent="1"/>
      <protection locked="0"/>
    </xf>
    <xf numFmtId="176" fontId="49" fillId="31" borderId="86" xfId="0" applyNumberFormat="1" applyFont="1" applyFill="1" applyBorder="1" applyAlignment="1" applyProtection="1">
      <alignment horizontal="right" vertical="center" indent="1"/>
      <protection locked="0"/>
    </xf>
    <xf numFmtId="176" fontId="67" fillId="4" borderId="170" xfId="0" applyNumberFormat="1" applyFont="1" applyFill="1" applyBorder="1" applyAlignment="1" applyProtection="1">
      <alignment horizontal="right" vertical="center" wrapText="1"/>
      <protection locked="0"/>
    </xf>
    <xf numFmtId="176" fontId="67" fillId="4" borderId="107" xfId="0" applyNumberFormat="1" applyFont="1" applyFill="1" applyBorder="1" applyAlignment="1" applyProtection="1">
      <alignment horizontal="right" vertical="center" wrapText="1"/>
      <protection locked="0"/>
    </xf>
    <xf numFmtId="0" fontId="95" fillId="0" borderId="1" xfId="0" applyFont="1" applyBorder="1" applyAlignment="1">
      <alignment vertical="center" wrapText="1"/>
    </xf>
    <xf numFmtId="0" fontId="96" fillId="0" borderId="1" xfId="0" applyFont="1" applyBorder="1" applyAlignment="1">
      <alignment vertical="center" wrapText="1"/>
    </xf>
    <xf numFmtId="0" fontId="33" fillId="0" borderId="0" xfId="36" applyFill="1" applyAlignment="1">
      <alignment horizontal="left" vertical="center" wrapText="1"/>
    </xf>
    <xf numFmtId="0" fontId="48" fillId="22" borderId="19" xfId="0" applyFont="1" applyFill="1" applyBorder="1" applyAlignment="1">
      <alignment horizontal="center" vertical="center" wrapText="1"/>
    </xf>
    <xf numFmtId="0" fontId="48" fillId="22" borderId="20" xfId="0" applyFont="1" applyFill="1" applyBorder="1" applyAlignment="1">
      <alignment horizontal="center" vertical="center" wrapText="1"/>
    </xf>
    <xf numFmtId="0" fontId="48" fillId="22" borderId="21" xfId="0" applyFont="1" applyFill="1" applyBorder="1" applyAlignment="1">
      <alignment horizontal="center" vertical="center" wrapText="1"/>
    </xf>
    <xf numFmtId="0" fontId="48" fillId="22" borderId="36" xfId="0" applyFont="1" applyFill="1" applyBorder="1" applyAlignment="1">
      <alignment horizontal="center" vertical="center" wrapText="1"/>
    </xf>
    <xf numFmtId="0" fontId="48" fillId="22" borderId="38" xfId="0" applyFont="1" applyFill="1" applyBorder="1" applyAlignment="1">
      <alignment horizontal="center" vertical="center" wrapText="1"/>
    </xf>
    <xf numFmtId="0" fontId="48" fillId="22" borderId="43" xfId="0" applyFont="1" applyFill="1" applyBorder="1" applyAlignment="1">
      <alignment horizontal="center" vertical="center" wrapText="1"/>
    </xf>
    <xf numFmtId="0" fontId="9" fillId="31" borderId="43" xfId="126" applyFont="1" applyFill="1" applyBorder="1" applyAlignment="1" applyProtection="1">
      <alignment horizontal="left"/>
      <protection locked="0"/>
    </xf>
    <xf numFmtId="0" fontId="9" fillId="31" borderId="36" xfId="126" applyFont="1" applyFill="1" applyBorder="1" applyAlignment="1" applyProtection="1">
      <alignment horizontal="left"/>
      <protection locked="0"/>
    </xf>
    <xf numFmtId="0" fontId="9" fillId="31" borderId="38" xfId="126" applyFont="1" applyFill="1" applyBorder="1" applyAlignment="1" applyProtection="1">
      <alignment horizontal="left"/>
      <protection locked="0"/>
    </xf>
    <xf numFmtId="182" fontId="50" fillId="4" borderId="192" xfId="126" applyNumberFormat="1" applyFont="1" applyFill="1" applyBorder="1" applyAlignment="1" applyProtection="1">
      <alignment horizontal="right" vertical="top"/>
      <protection locked="0"/>
    </xf>
    <xf numFmtId="0" fontId="9" fillId="31" borderId="191" xfId="126" applyFont="1" applyFill="1" applyBorder="1" applyAlignment="1" applyProtection="1">
      <alignment horizontal="left" vertical="top" wrapText="1"/>
      <protection locked="0"/>
    </xf>
    <xf numFmtId="0" fontId="2" fillId="31" borderId="166" xfId="126" applyFill="1" applyBorder="1" applyAlignment="1" applyProtection="1">
      <alignment horizontal="left" vertical="top" wrapText="1"/>
      <protection locked="0"/>
    </xf>
    <xf numFmtId="0" fontId="2" fillId="31" borderId="166" xfId="126" applyFill="1" applyBorder="1" applyAlignment="1" applyProtection="1">
      <alignment vertical="top" wrapText="1"/>
      <protection locked="0"/>
    </xf>
    <xf numFmtId="0" fontId="2" fillId="31" borderId="166" xfId="126" applyFill="1" applyBorder="1" applyAlignment="1" applyProtection="1">
      <alignment horizontal="center" vertical="top" wrapText="1"/>
      <protection locked="0"/>
    </xf>
    <xf numFmtId="172" fontId="50" fillId="31" borderId="166" xfId="0" applyNumberFormat="1" applyFont="1" applyFill="1" applyBorder="1" applyAlignment="1" applyProtection="1">
      <alignment horizontal="center"/>
      <protection locked="0"/>
    </xf>
    <xf numFmtId="172" fontId="50" fillId="31" borderId="192" xfId="0" applyNumberFormat="1" applyFont="1" applyFill="1" applyBorder="1" applyAlignment="1" applyProtection="1">
      <alignment horizontal="center"/>
      <protection locked="0"/>
    </xf>
    <xf numFmtId="182" fontId="50" fillId="4" borderId="191" xfId="126" applyNumberFormat="1" applyFont="1" applyFill="1" applyBorder="1" applyAlignment="1" applyProtection="1">
      <alignment horizontal="right" vertical="top"/>
      <protection locked="0"/>
    </xf>
    <xf numFmtId="185" fontId="2" fillId="4" borderId="191" xfId="126" applyNumberFormat="1" applyFill="1" applyBorder="1" applyAlignment="1" applyProtection="1">
      <alignment horizontal="right" vertical="top" wrapText="1"/>
      <protection locked="0"/>
    </xf>
    <xf numFmtId="3" fontId="50" fillId="31" borderId="166" xfId="126" applyNumberFormat="1" applyFont="1" applyFill="1" applyBorder="1" applyAlignment="1" applyProtection="1">
      <alignment horizontal="center"/>
      <protection locked="0"/>
    </xf>
    <xf numFmtId="3" fontId="50" fillId="4" borderId="192" xfId="126" applyNumberFormat="1" applyFont="1" applyFill="1" applyBorder="1" applyAlignment="1" applyProtection="1">
      <alignment horizontal="center"/>
      <protection locked="0"/>
    </xf>
    <xf numFmtId="3" fontId="50" fillId="4" borderId="191" xfId="126" applyNumberFormat="1" applyFont="1" applyFill="1" applyBorder="1" applyAlignment="1" applyProtection="1">
      <alignment horizontal="right"/>
      <protection locked="0"/>
    </xf>
    <xf numFmtId="3" fontId="50" fillId="4" borderId="192" xfId="126" applyNumberFormat="1" applyFont="1" applyFill="1" applyBorder="1" applyAlignment="1" applyProtection="1">
      <alignment horizontal="right"/>
      <protection locked="0"/>
    </xf>
    <xf numFmtId="185" fontId="2" fillId="4" borderId="166" xfId="126" applyNumberFormat="1" applyFill="1" applyBorder="1" applyAlignment="1" applyProtection="1">
      <alignment horizontal="right" vertical="top" wrapText="1"/>
      <protection locked="0"/>
    </xf>
    <xf numFmtId="3" fontId="50" fillId="4" borderId="166" xfId="126" applyNumberFormat="1" applyFont="1" applyFill="1" applyBorder="1" applyAlignment="1" applyProtection="1">
      <alignment horizontal="right"/>
      <protection locked="0"/>
    </xf>
    <xf numFmtId="3" fontId="50" fillId="4" borderId="192" xfId="126" applyNumberFormat="1" applyFont="1" applyFill="1" applyBorder="1" applyAlignment="1" applyProtection="1">
      <alignment horizontal="right" vertical="center"/>
      <protection locked="0"/>
    </xf>
    <xf numFmtId="185" fontId="2" fillId="4" borderId="166" xfId="126" applyNumberFormat="1" applyFill="1" applyBorder="1" applyAlignment="1" applyProtection="1">
      <alignment horizontal="right" vertical="center" wrapText="1"/>
      <protection locked="0"/>
    </xf>
    <xf numFmtId="3" fontId="50" fillId="4" borderId="166" xfId="126" applyNumberFormat="1" applyFont="1" applyFill="1" applyBorder="1" applyAlignment="1" applyProtection="1">
      <alignment horizontal="right" vertical="center"/>
      <protection locked="0"/>
    </xf>
    <xf numFmtId="0" fontId="9" fillId="31" borderId="111" xfId="126" applyFont="1" applyFill="1" applyBorder="1" applyAlignment="1" applyProtection="1">
      <alignment horizontal="left"/>
      <protection locked="0"/>
    </xf>
    <xf numFmtId="0" fontId="9" fillId="31" borderId="215" xfId="126" applyFont="1" applyFill="1" applyBorder="1" applyAlignment="1" applyProtection="1">
      <alignment horizontal="left"/>
      <protection locked="0"/>
    </xf>
    <xf numFmtId="0" fontId="9" fillId="31" borderId="175" xfId="126" applyFont="1" applyFill="1" applyBorder="1" applyAlignment="1" applyProtection="1">
      <alignment horizontal="left"/>
      <protection locked="0"/>
    </xf>
    <xf numFmtId="0" fontId="9" fillId="40" borderId="118" xfId="126" applyFont="1" applyFill="1" applyBorder="1" applyAlignment="1" applyProtection="1">
      <alignment horizontal="center" vertical="center" wrapText="1"/>
      <protection locked="0"/>
    </xf>
    <xf numFmtId="0" fontId="9" fillId="40" borderId="119" xfId="126" applyFont="1" applyFill="1" applyBorder="1" applyAlignment="1" applyProtection="1">
      <alignment horizontal="center" vertical="center" wrapText="1"/>
      <protection locked="0"/>
    </xf>
    <xf numFmtId="0" fontId="9" fillId="40" borderId="176" xfId="126" applyFont="1" applyFill="1" applyBorder="1" applyAlignment="1" applyProtection="1">
      <alignment horizontal="center" vertical="center" wrapText="1"/>
      <protection locked="0"/>
    </xf>
    <xf numFmtId="0" fontId="9" fillId="16" borderId="118" xfId="126" applyFont="1" applyFill="1" applyBorder="1" applyAlignment="1" applyProtection="1">
      <alignment horizontal="center" vertical="center" wrapText="1"/>
      <protection locked="0"/>
    </xf>
    <xf numFmtId="0" fontId="9" fillId="16" borderId="119" xfId="126" applyFont="1" applyFill="1" applyBorder="1" applyAlignment="1" applyProtection="1">
      <alignment horizontal="center" vertical="center" wrapText="1"/>
      <protection locked="0"/>
    </xf>
    <xf numFmtId="0" fontId="9" fillId="16" borderId="250" xfId="126" applyFont="1" applyFill="1" applyBorder="1" applyAlignment="1" applyProtection="1">
      <alignment horizontal="center" vertical="center" wrapText="1"/>
      <protection locked="0"/>
    </xf>
    <xf numFmtId="0" fontId="64" fillId="22" borderId="273" xfId="122" applyBorder="1">
      <alignment horizontal="center" vertical="center" wrapText="1"/>
    </xf>
    <xf numFmtId="0" fontId="64" fillId="22" borderId="176" xfId="122" applyBorder="1">
      <alignment horizontal="center" vertical="center" wrapText="1"/>
    </xf>
    <xf numFmtId="0" fontId="64" fillId="22" borderId="41" xfId="122" applyBorder="1">
      <alignment horizontal="center" vertical="center" wrapText="1"/>
    </xf>
    <xf numFmtId="0" fontId="64" fillId="22" borderId="46" xfId="122">
      <alignment horizontal="center" vertical="center" wrapText="1"/>
    </xf>
    <xf numFmtId="0" fontId="64" fillId="22" borderId="188" xfId="122" applyBorder="1">
      <alignment horizontal="center" vertical="center" wrapText="1"/>
    </xf>
    <xf numFmtId="0" fontId="84" fillId="17" borderId="177" xfId="127" applyBorder="1">
      <alignment horizontal="right" vertical="center" wrapText="1" indent="1"/>
    </xf>
    <xf numFmtId="0" fontId="84" fillId="17" borderId="1" xfId="127" applyBorder="1">
      <alignment horizontal="right" vertical="center" wrapText="1" indent="1"/>
    </xf>
    <xf numFmtId="0" fontId="84" fillId="17" borderId="185" xfId="127" applyBorder="1">
      <alignment horizontal="right" vertical="center" wrapText="1" indent="1"/>
    </xf>
    <xf numFmtId="0" fontId="64" fillId="22" borderId="250" xfId="122" applyBorder="1">
      <alignment horizontal="center" vertical="center" wrapText="1"/>
    </xf>
    <xf numFmtId="0" fontId="48" fillId="16" borderId="180" xfId="126" applyFont="1" applyFill="1" applyBorder="1" applyAlignment="1" applyProtection="1">
      <alignment horizontal="center" vertical="center" wrapText="1"/>
      <protection locked="0"/>
    </xf>
    <xf numFmtId="0" fontId="48" fillId="16" borderId="2" xfId="126" applyFont="1" applyFill="1" applyBorder="1" applyAlignment="1" applyProtection="1">
      <alignment horizontal="center" vertical="center" wrapText="1"/>
      <protection locked="0"/>
    </xf>
    <xf numFmtId="0" fontId="48" fillId="16" borderId="181" xfId="126" applyFont="1" applyFill="1" applyBorder="1" applyAlignment="1" applyProtection="1">
      <alignment horizontal="center" vertical="center" wrapText="1"/>
      <protection locked="0"/>
    </xf>
    <xf numFmtId="0" fontId="64" fillId="22" borderId="185" xfId="122" applyBorder="1">
      <alignment horizontal="center" vertical="center" wrapText="1"/>
    </xf>
    <xf numFmtId="0" fontId="48" fillId="40" borderId="16" xfId="126" applyFont="1" applyFill="1" applyBorder="1" applyAlignment="1" applyProtection="1">
      <alignment horizontal="center" vertical="center" wrapText="1"/>
      <protection locked="0"/>
    </xf>
    <xf numFmtId="0" fontId="48" fillId="40" borderId="13" xfId="126" applyFont="1" applyFill="1" applyBorder="1" applyAlignment="1" applyProtection="1">
      <alignment horizontal="center" vertical="center" wrapText="1"/>
      <protection locked="0"/>
    </xf>
    <xf numFmtId="0" fontId="48" fillId="40" borderId="12" xfId="126" applyFont="1" applyFill="1" applyBorder="1" applyAlignment="1" applyProtection="1">
      <alignment horizontal="center" vertical="center" wrapText="1"/>
      <protection locked="0"/>
    </xf>
    <xf numFmtId="0" fontId="48" fillId="40" borderId="0" xfId="126" applyFont="1" applyFill="1" applyAlignment="1" applyProtection="1">
      <alignment horizontal="center" vertical="center" wrapText="1"/>
      <protection locked="0"/>
    </xf>
    <xf numFmtId="0" fontId="48" fillId="35" borderId="185" xfId="126" applyFont="1" applyFill="1" applyBorder="1" applyAlignment="1" applyProtection="1">
      <alignment horizontal="center" vertical="center" wrapText="1"/>
      <protection locked="0"/>
    </xf>
    <xf numFmtId="0" fontId="48" fillId="35" borderId="190" xfId="126" applyFont="1" applyFill="1" applyBorder="1" applyAlignment="1" applyProtection="1">
      <alignment horizontal="center" vertical="center" wrapText="1"/>
      <protection locked="0"/>
    </xf>
    <xf numFmtId="0" fontId="64" fillId="22" borderId="177" xfId="122" applyBorder="1">
      <alignment horizontal="center" vertical="center" wrapText="1"/>
    </xf>
    <xf numFmtId="0" fontId="64" fillId="22" borderId="1" xfId="122" applyBorder="1">
      <alignment horizontal="center" vertical="center" wrapText="1"/>
    </xf>
    <xf numFmtId="0" fontId="9" fillId="16" borderId="273" xfId="126" applyFont="1" applyFill="1" applyBorder="1" applyAlignment="1" applyProtection="1">
      <alignment horizontal="center" vertical="center" wrapText="1"/>
      <protection locked="0"/>
    </xf>
    <xf numFmtId="0" fontId="9" fillId="16" borderId="176" xfId="126" applyFont="1" applyFill="1" applyBorder="1" applyAlignment="1" applyProtection="1">
      <alignment horizontal="center" vertical="center" wrapText="1"/>
      <protection locked="0"/>
    </xf>
    <xf numFmtId="0" fontId="48" fillId="40" borderId="179" xfId="126" applyFont="1" applyFill="1" applyBorder="1" applyAlignment="1" applyProtection="1">
      <alignment horizontal="center" vertical="center" wrapText="1"/>
      <protection locked="0"/>
    </xf>
    <xf numFmtId="0" fontId="48" fillId="40" borderId="183" xfId="126" applyFont="1" applyFill="1" applyBorder="1" applyAlignment="1" applyProtection="1">
      <alignment horizontal="center" vertical="center" wrapText="1"/>
      <protection locked="0"/>
    </xf>
    <xf numFmtId="0" fontId="48" fillId="40" borderId="166" xfId="126" applyFont="1" applyFill="1" applyBorder="1" applyAlignment="1" applyProtection="1">
      <alignment horizontal="center" vertical="center" wrapText="1"/>
      <protection locked="0"/>
    </xf>
    <xf numFmtId="0" fontId="48" fillId="40" borderId="184" xfId="126" applyFont="1" applyFill="1" applyBorder="1" applyAlignment="1" applyProtection="1">
      <alignment horizontal="center" vertical="center" wrapText="1"/>
      <protection locked="0"/>
    </xf>
    <xf numFmtId="0" fontId="59" fillId="40" borderId="166" xfId="126" applyFont="1" applyFill="1" applyBorder="1" applyAlignment="1" applyProtection="1">
      <alignment horizontal="center" vertical="center" wrapText="1"/>
      <protection locked="0"/>
    </xf>
    <xf numFmtId="0" fontId="59" fillId="40" borderId="184" xfId="126" applyFont="1" applyFill="1" applyBorder="1" applyAlignment="1" applyProtection="1">
      <alignment horizontal="center" vertical="center" wrapText="1"/>
      <protection locked="0"/>
    </xf>
    <xf numFmtId="195" fontId="2" fillId="4" borderId="208" xfId="126" applyNumberFormat="1" applyFill="1" applyBorder="1" applyAlignment="1" applyProtection="1">
      <alignment horizontal="right" vertical="top" wrapText="1"/>
      <protection locked="0"/>
    </xf>
    <xf numFmtId="195" fontId="2" fillId="4" borderId="166" xfId="126" applyNumberFormat="1" applyFill="1" applyBorder="1" applyAlignment="1" applyProtection="1">
      <alignment horizontal="right" vertical="top" wrapText="1"/>
      <protection locked="0"/>
    </xf>
    <xf numFmtId="195" fontId="50" fillId="4" borderId="208" xfId="126" applyNumberFormat="1" applyFont="1" applyFill="1" applyBorder="1" applyAlignment="1" applyProtection="1">
      <alignment horizontal="right" vertical="top"/>
      <protection locked="0"/>
    </xf>
    <xf numFmtId="195" fontId="50" fillId="4" borderId="166" xfId="126" applyNumberFormat="1" applyFont="1" applyFill="1" applyBorder="1" applyAlignment="1" applyProtection="1">
      <alignment horizontal="right" vertical="top"/>
      <protection locked="0"/>
    </xf>
    <xf numFmtId="195" fontId="50" fillId="4" borderId="65" xfId="126" applyNumberFormat="1" applyFont="1" applyFill="1" applyBorder="1" applyAlignment="1" applyProtection="1">
      <alignment horizontal="right" vertical="top"/>
      <protection locked="0"/>
    </xf>
    <xf numFmtId="195" fontId="50" fillId="4" borderId="12" xfId="126" applyNumberFormat="1" applyFont="1" applyFill="1" applyBorder="1" applyAlignment="1" applyProtection="1">
      <alignment horizontal="right" vertical="top"/>
      <protection locked="0"/>
    </xf>
    <xf numFmtId="0" fontId="9" fillId="31" borderId="207" xfId="126" applyFont="1" applyFill="1" applyBorder="1" applyAlignment="1" applyProtection="1">
      <alignment horizontal="left" vertical="top" wrapText="1"/>
      <protection locked="0"/>
    </xf>
    <xf numFmtId="0" fontId="2" fillId="31" borderId="208" xfId="126" applyFill="1" applyBorder="1" applyAlignment="1" applyProtection="1">
      <alignment horizontal="left" vertical="top" wrapText="1"/>
      <protection locked="0"/>
    </xf>
    <xf numFmtId="0" fontId="2" fillId="31" borderId="224" xfId="126" applyFill="1" applyBorder="1" applyAlignment="1" applyProtection="1">
      <alignment horizontal="left" vertical="top" wrapText="1"/>
      <protection locked="0"/>
    </xf>
    <xf numFmtId="0" fontId="2" fillId="31" borderId="209" xfId="126" applyFill="1" applyBorder="1" applyAlignment="1" applyProtection="1">
      <alignment horizontal="left" vertical="top" wrapText="1"/>
      <protection locked="0"/>
    </xf>
    <xf numFmtId="0" fontId="2" fillId="31" borderId="192" xfId="126" applyFill="1" applyBorder="1" applyAlignment="1" applyProtection="1">
      <alignment horizontal="left" vertical="top" wrapText="1"/>
      <protection locked="0"/>
    </xf>
    <xf numFmtId="0" fontId="2" fillId="31" borderId="222" xfId="126" applyFill="1" applyBorder="1" applyAlignment="1" applyProtection="1">
      <alignment horizontal="left" vertical="top" wrapText="1"/>
      <protection locked="0"/>
    </xf>
    <xf numFmtId="185" fontId="2" fillId="4" borderId="207" xfId="126" applyNumberFormat="1" applyFill="1" applyBorder="1" applyAlignment="1" applyProtection="1">
      <alignment horizontal="right" vertical="top" wrapText="1"/>
      <protection locked="0"/>
    </xf>
    <xf numFmtId="185" fontId="2" fillId="4" borderId="208" xfId="126" applyNumberFormat="1" applyFill="1" applyBorder="1" applyAlignment="1" applyProtection="1">
      <alignment wrapText="1"/>
      <protection locked="0"/>
    </xf>
    <xf numFmtId="185" fontId="2" fillId="4" borderId="166" xfId="126" applyNumberFormat="1" applyFill="1" applyBorder="1" applyAlignment="1" applyProtection="1">
      <alignment wrapText="1"/>
      <protection locked="0"/>
    </xf>
    <xf numFmtId="3" fontId="50" fillId="4" borderId="208" xfId="126" applyNumberFormat="1" applyFont="1" applyFill="1" applyBorder="1" applyAlignment="1" applyProtection="1">
      <protection locked="0"/>
    </xf>
    <xf numFmtId="3" fontId="50" fillId="4" borderId="166" xfId="126" applyNumberFormat="1" applyFont="1" applyFill="1" applyBorder="1" applyAlignment="1" applyProtection="1">
      <protection locked="0"/>
    </xf>
    <xf numFmtId="3" fontId="50" fillId="4" borderId="65" xfId="126" applyNumberFormat="1" applyFont="1" applyFill="1" applyBorder="1" applyAlignment="1" applyProtection="1">
      <protection locked="0"/>
    </xf>
    <xf numFmtId="3" fontId="50" fillId="4" borderId="12" xfId="126" applyNumberFormat="1" applyFont="1" applyFill="1" applyBorder="1" applyAlignment="1" applyProtection="1">
      <protection locked="0"/>
    </xf>
    <xf numFmtId="3" fontId="50" fillId="31" borderId="208" xfId="126" applyNumberFormat="1" applyFont="1" applyFill="1" applyBorder="1" applyAlignment="1" applyProtection="1">
      <alignment horizontal="center"/>
      <protection locked="0"/>
    </xf>
    <xf numFmtId="3" fontId="50" fillId="4" borderId="207" xfId="126" applyNumberFormat="1" applyFont="1" applyFill="1" applyBorder="1" applyAlignment="1" applyProtection="1">
      <alignment horizontal="right"/>
      <protection locked="0"/>
    </xf>
    <xf numFmtId="3" fontId="50" fillId="4" borderId="209" xfId="126" applyNumberFormat="1" applyFont="1" applyFill="1" applyBorder="1" applyAlignment="1" applyProtection="1">
      <alignment horizontal="right"/>
      <protection locked="0"/>
    </xf>
    <xf numFmtId="0" fontId="2" fillId="31" borderId="206" xfId="126" applyFill="1" applyBorder="1" applyAlignment="1" applyProtection="1">
      <alignment horizontal="left"/>
      <protection locked="0"/>
    </xf>
    <xf numFmtId="0" fontId="2" fillId="31" borderId="217" xfId="126" applyFill="1" applyBorder="1" applyAlignment="1" applyProtection="1">
      <alignment horizontal="left"/>
      <protection locked="0"/>
    </xf>
    <xf numFmtId="0" fontId="2" fillId="31" borderId="218" xfId="126" applyFill="1" applyBorder="1" applyAlignment="1" applyProtection="1">
      <alignment horizontal="left"/>
      <protection locked="0"/>
    </xf>
    <xf numFmtId="0" fontId="48" fillId="35" borderId="97" xfId="126" applyFont="1" applyFill="1" applyBorder="1" applyAlignment="1" applyProtection="1">
      <alignment horizontal="center" vertical="center" wrapText="1"/>
      <protection locked="0"/>
    </xf>
    <xf numFmtId="0" fontId="48" fillId="35" borderId="98" xfId="126" applyFont="1" applyFill="1" applyBorder="1" applyAlignment="1" applyProtection="1">
      <alignment horizontal="center" vertical="center" wrapText="1"/>
      <protection locked="0"/>
    </xf>
    <xf numFmtId="0" fontId="48" fillId="22" borderId="97" xfId="126" applyFont="1" applyFill="1" applyBorder="1" applyAlignment="1" applyProtection="1">
      <alignment horizontal="center" vertical="center" wrapText="1"/>
      <protection locked="0"/>
    </xf>
    <xf numFmtId="0" fontId="48" fillId="22" borderId="98" xfId="126" applyFont="1" applyFill="1" applyBorder="1" applyAlignment="1" applyProtection="1">
      <alignment horizontal="center" vertical="center" wrapText="1"/>
      <protection locked="0"/>
    </xf>
    <xf numFmtId="0" fontId="48" fillId="43" borderId="225" xfId="126" applyFont="1" applyFill="1" applyBorder="1" applyAlignment="1" applyProtection="1">
      <alignment horizontal="center" vertical="center" wrapText="1"/>
      <protection locked="0"/>
    </xf>
    <xf numFmtId="0" fontId="48" fillId="43" borderId="226" xfId="126" applyFont="1" applyFill="1" applyBorder="1" applyAlignment="1" applyProtection="1">
      <alignment horizontal="center" vertical="center" wrapText="1"/>
      <protection locked="0"/>
    </xf>
    <xf numFmtId="0" fontId="48" fillId="43" borderId="204" xfId="126" applyFont="1" applyFill="1" applyBorder="1" applyAlignment="1" applyProtection="1">
      <alignment horizontal="center" vertical="center" wrapText="1"/>
      <protection locked="0"/>
    </xf>
    <xf numFmtId="0" fontId="48" fillId="22" borderId="225" xfId="126" applyFont="1" applyFill="1" applyBorder="1" applyAlignment="1" applyProtection="1">
      <alignment horizontal="center" vertical="center" wrapText="1"/>
      <protection locked="0"/>
    </xf>
    <xf numFmtId="0" fontId="48" fillId="22" borderId="226" xfId="126" applyFont="1" applyFill="1" applyBorder="1" applyAlignment="1" applyProtection="1">
      <alignment horizontal="center" vertical="center" wrapText="1"/>
      <protection locked="0"/>
    </xf>
    <xf numFmtId="0" fontId="9" fillId="43" borderId="118" xfId="126" applyFont="1" applyFill="1" applyBorder="1" applyAlignment="1" applyProtection="1">
      <alignment horizontal="center" vertical="center" wrapText="1"/>
      <protection locked="0"/>
    </xf>
    <xf numFmtId="0" fontId="9" fillId="43" borderId="176" xfId="126" applyFont="1" applyFill="1" applyBorder="1" applyAlignment="1" applyProtection="1">
      <alignment horizontal="center" vertical="center" wrapText="1"/>
      <protection locked="0"/>
    </xf>
    <xf numFmtId="0" fontId="48" fillId="22" borderId="19" xfId="126" applyFont="1" applyFill="1" applyBorder="1" applyAlignment="1" applyProtection="1">
      <alignment horizontal="center" vertical="center" wrapText="1"/>
      <protection locked="0"/>
    </xf>
    <xf numFmtId="0" fontId="48" fillId="22" borderId="89" xfId="126" applyFont="1" applyFill="1" applyBorder="1" applyAlignment="1" applyProtection="1">
      <alignment horizontal="center" vertical="center" wrapText="1"/>
      <protection locked="0"/>
    </xf>
    <xf numFmtId="0" fontId="48" fillId="22" borderId="91" xfId="126" applyFont="1" applyFill="1" applyBorder="1" applyAlignment="1" applyProtection="1">
      <alignment horizontal="center" vertical="center" wrapText="1"/>
      <protection locked="0"/>
    </xf>
    <xf numFmtId="0" fontId="48" fillId="35" borderId="65" xfId="126" applyFont="1" applyFill="1" applyBorder="1" applyAlignment="1" applyProtection="1">
      <alignment horizontal="center" vertical="center" wrapText="1"/>
      <protection locked="0"/>
    </xf>
    <xf numFmtId="0" fontId="48" fillId="35" borderId="12" xfId="126" applyFont="1" applyFill="1" applyBorder="1" applyAlignment="1" applyProtection="1">
      <alignment horizontal="center" vertical="center" wrapText="1"/>
      <protection locked="0"/>
    </xf>
    <xf numFmtId="0" fontId="48" fillId="35" borderId="189" xfId="126" applyFont="1" applyFill="1" applyBorder="1" applyAlignment="1" applyProtection="1">
      <alignment horizontal="center" vertical="center" wrapText="1"/>
      <protection locked="0"/>
    </xf>
    <xf numFmtId="0" fontId="9" fillId="43" borderId="160" xfId="126" applyFont="1" applyFill="1" applyBorder="1" applyAlignment="1" applyProtection="1">
      <alignment horizontal="center" vertical="center" wrapText="1"/>
      <protection locked="0"/>
    </xf>
    <xf numFmtId="0" fontId="9" fillId="43" borderId="161" xfId="126" applyFont="1" applyFill="1" applyBorder="1" applyAlignment="1" applyProtection="1">
      <alignment horizontal="center" vertical="center" wrapText="1"/>
      <protection locked="0"/>
    </xf>
    <xf numFmtId="0" fontId="9" fillId="43" borderId="21" xfId="126" applyFont="1" applyFill="1" applyBorder="1" applyAlignment="1" applyProtection="1">
      <alignment horizontal="center" vertical="center" wrapText="1"/>
      <protection locked="0"/>
    </xf>
    <xf numFmtId="0" fontId="9" fillId="43" borderId="95" xfId="126" applyFont="1" applyFill="1" applyBorder="1" applyAlignment="1" applyProtection="1">
      <alignment horizontal="center" vertical="center" wrapText="1"/>
      <protection locked="0"/>
    </xf>
    <xf numFmtId="0" fontId="9" fillId="43" borderId="181" xfId="126" applyFont="1" applyFill="1" applyBorder="1" applyAlignment="1" applyProtection="1">
      <alignment horizontal="center" vertical="center" wrapText="1"/>
      <protection locked="0"/>
    </xf>
    <xf numFmtId="0" fontId="48" fillId="40" borderId="191" xfId="126" applyFont="1" applyFill="1" applyBorder="1" applyAlignment="1" applyProtection="1">
      <alignment horizontal="center" vertical="center" wrapText="1"/>
      <protection locked="0"/>
    </xf>
    <xf numFmtId="0" fontId="48" fillId="40" borderId="192" xfId="126" applyFont="1" applyFill="1" applyBorder="1" applyAlignment="1" applyProtection="1">
      <alignment horizontal="center" vertical="center" wrapText="1"/>
      <protection locked="0"/>
    </xf>
    <xf numFmtId="0" fontId="48" fillId="40" borderId="222" xfId="126" applyFont="1" applyFill="1" applyBorder="1" applyAlignment="1" applyProtection="1">
      <alignment horizontal="center" vertical="center" wrapText="1"/>
      <protection locked="0"/>
    </xf>
    <xf numFmtId="0" fontId="48" fillId="16" borderId="89" xfId="126" applyFont="1" applyFill="1" applyBorder="1" applyAlignment="1" applyProtection="1">
      <alignment horizontal="center" vertical="center" wrapText="1"/>
      <protection locked="0"/>
    </xf>
    <xf numFmtId="0" fontId="48" fillId="16" borderId="0" xfId="126" applyFont="1" applyFill="1" applyAlignment="1" applyProtection="1">
      <alignment horizontal="center" vertical="center" wrapText="1"/>
      <protection locked="0"/>
    </xf>
    <xf numFmtId="0" fontId="48" fillId="16" borderId="220" xfId="126" applyFont="1" applyFill="1" applyBorder="1" applyAlignment="1" applyProtection="1">
      <alignment horizontal="center" vertical="center" wrapText="1"/>
      <protection locked="0"/>
    </xf>
    <xf numFmtId="0" fontId="48" fillId="16" borderId="136" xfId="126" applyFont="1" applyFill="1" applyBorder="1" applyAlignment="1" applyProtection="1">
      <alignment horizontal="center" vertical="center" wrapText="1"/>
      <protection locked="0"/>
    </xf>
    <xf numFmtId="0" fontId="48" fillId="16" borderId="221" xfId="126" applyFont="1" applyFill="1" applyBorder="1" applyAlignment="1" applyProtection="1">
      <alignment horizontal="center" vertical="center" wrapText="1"/>
      <protection locked="0"/>
    </xf>
    <xf numFmtId="0" fontId="48" fillId="16" borderId="95" xfId="126" applyFont="1" applyFill="1" applyBorder="1" applyAlignment="1" applyProtection="1">
      <alignment horizontal="center" vertical="center" wrapText="1"/>
      <protection locked="0"/>
    </xf>
    <xf numFmtId="0" fontId="48" fillId="43" borderId="191" xfId="126" applyFont="1" applyFill="1" applyBorder="1" applyAlignment="1" applyProtection="1">
      <alignment horizontal="center" vertical="center" wrapText="1"/>
      <protection locked="0"/>
    </xf>
    <xf numFmtId="0" fontId="48" fillId="43" borderId="223" xfId="126" applyFont="1" applyFill="1" applyBorder="1" applyAlignment="1" applyProtection="1">
      <alignment horizontal="center" vertical="center" wrapText="1"/>
      <protection locked="0"/>
    </xf>
    <xf numFmtId="0" fontId="48" fillId="43" borderId="192" xfId="126" applyFont="1" applyFill="1" applyBorder="1" applyAlignment="1" applyProtection="1">
      <alignment horizontal="center" vertical="center" wrapText="1"/>
      <protection locked="0"/>
    </xf>
    <xf numFmtId="0" fontId="48" fillId="43" borderId="222" xfId="126" applyFont="1" applyFill="1" applyBorder="1" applyAlignment="1" applyProtection="1">
      <alignment horizontal="center" vertical="center" wrapText="1"/>
      <protection locked="0"/>
    </xf>
    <xf numFmtId="0" fontId="48" fillId="43" borderId="89" xfId="126" applyFont="1" applyFill="1" applyBorder="1" applyAlignment="1" applyProtection="1">
      <alignment horizontal="center" vertical="center" wrapText="1"/>
      <protection locked="0"/>
    </xf>
    <xf numFmtId="0" fontId="48" fillId="43" borderId="180" xfId="126" applyFont="1" applyFill="1" applyBorder="1" applyAlignment="1" applyProtection="1">
      <alignment horizontal="center" vertical="center" wrapText="1"/>
      <protection locked="0"/>
    </xf>
    <xf numFmtId="0" fontId="48" fillId="43" borderId="166" xfId="126" applyFont="1" applyFill="1" applyBorder="1" applyAlignment="1" applyProtection="1">
      <alignment horizontal="center" vertical="center" wrapText="1"/>
      <protection locked="0"/>
    </xf>
    <xf numFmtId="0" fontId="48" fillId="43" borderId="224" xfId="126" applyFont="1" applyFill="1" applyBorder="1" applyAlignment="1" applyProtection="1">
      <alignment horizontal="center" vertical="center" wrapText="1"/>
      <protection locked="0"/>
    </xf>
    <xf numFmtId="0" fontId="48" fillId="16" borderId="192" xfId="126" applyFont="1" applyFill="1" applyBorder="1" applyAlignment="1" applyProtection="1">
      <alignment horizontal="center" vertical="center" wrapText="1"/>
      <protection locked="0"/>
    </xf>
    <xf numFmtId="0" fontId="48" fillId="16" borderId="222" xfId="126" applyFont="1" applyFill="1" applyBorder="1" applyAlignment="1" applyProtection="1">
      <alignment horizontal="center" vertical="center" wrapText="1"/>
      <protection locked="0"/>
    </xf>
    <xf numFmtId="0" fontId="9" fillId="22" borderId="233" xfId="0" applyFont="1" applyFill="1" applyBorder="1" applyAlignment="1">
      <alignment horizontal="center" wrapText="1"/>
    </xf>
    <xf numFmtId="0" fontId="9" fillId="22" borderId="152" xfId="0" applyFont="1" applyFill="1" applyBorder="1" applyAlignment="1">
      <alignment horizontal="center" wrapText="1"/>
    </xf>
    <xf numFmtId="0" fontId="9" fillId="22" borderId="234" xfId="0" applyFont="1" applyFill="1" applyBorder="1" applyAlignment="1">
      <alignment horizontal="center" wrapText="1"/>
    </xf>
    <xf numFmtId="0" fontId="64" fillId="22" borderId="19" xfId="0" applyFont="1" applyFill="1" applyBorder="1" applyAlignment="1">
      <alignment horizontal="center" vertical="center" wrapText="1"/>
    </xf>
    <xf numFmtId="0" fontId="64" fillId="22" borderId="20" xfId="0" applyFont="1" applyFill="1" applyBorder="1" applyAlignment="1">
      <alignment horizontal="center" vertical="center" wrapText="1"/>
    </xf>
    <xf numFmtId="0" fontId="64" fillId="22" borderId="21" xfId="0" applyFont="1" applyFill="1" applyBorder="1" applyAlignment="1">
      <alignment horizontal="center" vertical="center" wrapText="1"/>
    </xf>
    <xf numFmtId="0" fontId="48" fillId="22" borderId="91" xfId="0" applyFont="1" applyFill="1" applyBorder="1" applyAlignment="1">
      <alignment horizontal="center" vertical="center" wrapText="1"/>
    </xf>
    <xf numFmtId="0" fontId="48" fillId="22" borderId="92" xfId="0" applyFont="1" applyFill="1" applyBorder="1" applyAlignment="1">
      <alignment horizontal="center" vertical="center" wrapText="1"/>
    </xf>
    <xf numFmtId="0" fontId="48" fillId="22" borderId="96" xfId="0" applyFont="1" applyFill="1" applyBorder="1" applyAlignment="1">
      <alignment horizontal="center" vertical="center" wrapText="1"/>
    </xf>
    <xf numFmtId="49" fontId="10" fillId="31" borderId="89" xfId="0" applyNumberFormat="1" applyFont="1" applyFill="1" applyBorder="1" applyAlignment="1" applyProtection="1">
      <alignment horizontal="left" vertical="top"/>
      <protection locked="0"/>
    </xf>
    <xf numFmtId="49" fontId="10" fillId="31" borderId="91" xfId="0" applyNumberFormat="1" applyFont="1" applyFill="1" applyBorder="1" applyAlignment="1" applyProtection="1">
      <alignment horizontal="left" vertical="top"/>
      <protection locked="0"/>
    </xf>
    <xf numFmtId="0" fontId="48" fillId="22" borderId="108" xfId="0" applyFont="1" applyFill="1" applyBorder="1" applyAlignment="1">
      <alignment horizontal="right" vertical="center" wrapText="1"/>
    </xf>
    <xf numFmtId="0" fontId="48" fillId="22" borderId="98" xfId="0" applyFont="1" applyFill="1" applyBorder="1" applyAlignment="1">
      <alignment horizontal="right" vertical="center" wrapText="1"/>
    </xf>
    <xf numFmtId="49" fontId="49" fillId="31" borderId="52" xfId="130" applyBorder="1" applyAlignment="1">
      <alignment horizontal="left" vertical="top"/>
      <protection locked="0"/>
    </xf>
    <xf numFmtId="49" fontId="49" fillId="31" borderId="55" xfId="130" applyAlignment="1">
      <alignment horizontal="left" vertical="top"/>
      <protection locked="0"/>
    </xf>
    <xf numFmtId="49" fontId="49" fillId="31" borderId="126" xfId="130" applyBorder="1" applyAlignment="1">
      <alignment horizontal="left" vertical="top"/>
      <protection locked="0"/>
    </xf>
    <xf numFmtId="0" fontId="49" fillId="0" borderId="265" xfId="131">
      <alignment horizontal="left" vertical="center" wrapText="1" indent="1"/>
    </xf>
    <xf numFmtId="0" fontId="49" fillId="0" borderId="266" xfId="131" applyBorder="1">
      <alignment horizontal="left" vertical="center" wrapText="1" indent="1"/>
    </xf>
    <xf numFmtId="0" fontId="49" fillId="0" borderId="267" xfId="131" applyBorder="1">
      <alignment horizontal="left" vertical="center" wrapText="1" indent="1"/>
    </xf>
    <xf numFmtId="0" fontId="48" fillId="22" borderId="44" xfId="0" applyFont="1" applyFill="1" applyBorder="1" applyAlignment="1">
      <alignment horizontal="center" vertical="center" wrapText="1"/>
    </xf>
    <xf numFmtId="0" fontId="57" fillId="25" borderId="43" xfId="0" applyFont="1" applyFill="1" applyBorder="1" applyAlignment="1">
      <alignment horizontal="center" vertical="center" wrapText="1"/>
    </xf>
    <xf numFmtId="0" fontId="57" fillId="25" borderId="44" xfId="0" applyFont="1" applyFill="1" applyBorder="1" applyAlignment="1">
      <alignment horizontal="center" vertical="center" wrapText="1"/>
    </xf>
    <xf numFmtId="0" fontId="57" fillId="25" borderId="65" xfId="0" applyFont="1" applyFill="1" applyBorder="1" applyAlignment="1">
      <alignment horizontal="center" vertical="center" wrapText="1"/>
    </xf>
    <xf numFmtId="0" fontId="57" fillId="25" borderId="20" xfId="0" applyFont="1" applyFill="1" applyBorder="1" applyAlignment="1">
      <alignment horizontal="center" vertical="center"/>
    </xf>
    <xf numFmtId="0" fontId="57" fillId="25" borderId="21" xfId="0" applyFont="1" applyFill="1" applyBorder="1" applyAlignment="1">
      <alignment horizontal="center" vertical="center"/>
    </xf>
    <xf numFmtId="0" fontId="74" fillId="23" borderId="41" xfId="0" applyFont="1" applyFill="1" applyBorder="1" applyAlignment="1">
      <alignment horizontal="center" vertical="center"/>
    </xf>
    <xf numFmtId="0" fontId="74" fillId="23" borderId="67" xfId="0" applyFont="1" applyFill="1" applyBorder="1" applyAlignment="1">
      <alignment horizontal="center" vertical="center"/>
    </xf>
    <xf numFmtId="0" fontId="74" fillId="23" borderId="47" xfId="0" applyFont="1" applyFill="1" applyBorder="1" applyAlignment="1">
      <alignment horizontal="center" vertical="center"/>
    </xf>
    <xf numFmtId="0" fontId="48" fillId="23" borderId="42" xfId="0" applyFont="1" applyFill="1" applyBorder="1" applyAlignment="1">
      <alignment horizontal="center" vertical="center"/>
    </xf>
    <xf numFmtId="0" fontId="48" fillId="23" borderId="64" xfId="0" applyFont="1" applyFill="1" applyBorder="1" applyAlignment="1">
      <alignment horizontal="center" vertical="center"/>
    </xf>
    <xf numFmtId="0" fontId="48" fillId="23" borderId="62" xfId="0" applyFont="1" applyFill="1" applyBorder="1" applyAlignment="1">
      <alignment horizontal="center" vertical="center"/>
    </xf>
    <xf numFmtId="176" fontId="51" fillId="3" borderId="43" xfId="86" applyBorder="1" applyAlignment="1" applyProtection="1">
      <alignment horizontal="right" vertical="center" indent="1"/>
      <protection locked="0"/>
    </xf>
    <xf numFmtId="176" fontId="51" fillId="3" borderId="36" xfId="86" applyBorder="1" applyAlignment="1" applyProtection="1">
      <alignment horizontal="right" vertical="center" indent="1"/>
      <protection locked="0"/>
    </xf>
    <xf numFmtId="0" fontId="10" fillId="25" borderId="160" xfId="0" applyFont="1" applyFill="1" applyBorder="1" applyAlignment="1">
      <alignment horizontal="left" vertical="center" wrapText="1"/>
    </xf>
    <xf numFmtId="0" fontId="10" fillId="25" borderId="136" xfId="0" applyFont="1" applyFill="1" applyBorder="1" applyAlignment="1">
      <alignment horizontal="left" vertical="center" wrapText="1"/>
    </xf>
    <xf numFmtId="0" fontId="10" fillId="25" borderId="161" xfId="0" applyFont="1" applyFill="1" applyBorder="1" applyAlignment="1">
      <alignment horizontal="left" vertical="center" wrapText="1"/>
    </xf>
    <xf numFmtId="0" fontId="64" fillId="22" borderId="81" xfId="122" applyBorder="1">
      <alignment horizontal="center" vertical="center" wrapText="1"/>
    </xf>
    <xf numFmtId="0" fontId="64" fillId="22" borderId="253" xfId="122" applyBorder="1">
      <alignment horizontal="center" vertical="center" wrapText="1"/>
    </xf>
    <xf numFmtId="0" fontId="64" fillId="22" borderId="134" xfId="122" applyBorder="1">
      <alignment horizontal="center" vertical="center" wrapText="1"/>
    </xf>
    <xf numFmtId="0" fontId="64" fillId="22" borderId="283" xfId="122" applyBorder="1">
      <alignment horizontal="center" vertical="center" wrapText="1"/>
    </xf>
    <xf numFmtId="0" fontId="64" fillId="22" borderId="45" xfId="122" applyBorder="1">
      <alignment horizontal="center" vertical="center" wrapText="1"/>
    </xf>
    <xf numFmtId="0" fontId="64" fillId="22" borderId="251" xfId="122" applyBorder="1">
      <alignment horizontal="center" vertical="center" wrapText="1"/>
    </xf>
    <xf numFmtId="0" fontId="64" fillId="22" borderId="48" xfId="122" applyBorder="1">
      <alignment horizontal="center" vertical="center" wrapText="1"/>
    </xf>
    <xf numFmtId="0" fontId="64" fillId="22" borderId="162" xfId="122" applyBorder="1">
      <alignment horizontal="center" vertical="center" wrapText="1"/>
    </xf>
    <xf numFmtId="0" fontId="64" fillId="22" borderId="45" xfId="122" applyBorder="1" applyAlignment="1">
      <alignment horizontal="center" vertical="center" wrapText="1"/>
    </xf>
    <xf numFmtId="0" fontId="64" fillId="22" borderId="251" xfId="122" applyBorder="1" applyAlignment="1">
      <alignment horizontal="center" vertical="center" wrapText="1"/>
    </xf>
    <xf numFmtId="0" fontId="64" fillId="22" borderId="284" xfId="122" applyBorder="1" applyAlignment="1">
      <alignment horizontal="center" vertical="center" wrapText="1"/>
    </xf>
    <xf numFmtId="0" fontId="64" fillId="22" borderId="253" xfId="122" applyBorder="1" applyAlignment="1">
      <alignment horizontal="center" vertical="center" wrapText="1"/>
    </xf>
    <xf numFmtId="0" fontId="64" fillId="22" borderId="134" xfId="122" applyBorder="1" applyAlignment="1">
      <alignment horizontal="center" vertical="center" wrapText="1"/>
    </xf>
    <xf numFmtId="0" fontId="64" fillId="22" borderId="285" xfId="122" applyBorder="1" applyAlignment="1">
      <alignment horizontal="center" vertical="center" wrapText="1"/>
    </xf>
    <xf numFmtId="0" fontId="50" fillId="31" borderId="118" xfId="0" applyFont="1" applyFill="1" applyBorder="1" applyAlignment="1" applyProtection="1">
      <alignment horizontal="center"/>
      <protection locked="0"/>
    </xf>
    <xf numFmtId="0" fontId="50" fillId="31" borderId="176" xfId="0" applyFont="1" applyFill="1" applyBorder="1" applyAlignment="1" applyProtection="1">
      <alignment horizontal="center"/>
      <protection locked="0"/>
    </xf>
    <xf numFmtId="0" fontId="60" fillId="25" borderId="43" xfId="0" applyFont="1" applyFill="1" applyBorder="1" applyAlignment="1">
      <alignment horizontal="center" vertical="center" wrapText="1"/>
    </xf>
    <xf numFmtId="0" fontId="60" fillId="25" borderId="38" xfId="0" applyFont="1" applyFill="1" applyBorder="1" applyAlignment="1">
      <alignment horizontal="center" vertical="center" wrapText="1"/>
    </xf>
    <xf numFmtId="0" fontId="50" fillId="31" borderId="220" xfId="0" applyFont="1" applyFill="1" applyBorder="1" applyAlignment="1" applyProtection="1">
      <alignment horizontal="center"/>
      <protection locked="0"/>
    </xf>
    <xf numFmtId="0" fontId="50" fillId="31" borderId="221" xfId="0" applyFont="1" applyFill="1" applyBorder="1" applyAlignment="1" applyProtection="1">
      <alignment horizontal="center"/>
      <protection locked="0"/>
    </xf>
    <xf numFmtId="0" fontId="50" fillId="31" borderId="225" xfId="0" applyFont="1" applyFill="1" applyBorder="1" applyAlignment="1" applyProtection="1">
      <alignment horizontal="center"/>
      <protection locked="0"/>
    </xf>
    <xf numFmtId="0" fontId="50" fillId="31" borderId="226" xfId="0" applyFont="1" applyFill="1" applyBorder="1" applyAlignment="1" applyProtection="1">
      <alignment horizontal="center"/>
      <protection locked="0"/>
    </xf>
    <xf numFmtId="0" fontId="83" fillId="25" borderId="165" xfId="0" applyFont="1" applyFill="1" applyBorder="1" applyAlignment="1">
      <alignment horizontal="center" vertical="center" wrapText="1"/>
    </xf>
    <xf numFmtId="0" fontId="83" fillId="25" borderId="166" xfId="0" applyFont="1" applyFill="1" applyBorder="1" applyAlignment="1">
      <alignment horizontal="center" vertical="center" wrapText="1"/>
    </xf>
    <xf numFmtId="0" fontId="83" fillId="25" borderId="14" xfId="0" applyFont="1" applyFill="1" applyBorder="1" applyAlignment="1">
      <alignment horizontal="center" vertical="center" wrapText="1"/>
    </xf>
    <xf numFmtId="0" fontId="83" fillId="25" borderId="12" xfId="0" applyFont="1" applyFill="1" applyBorder="1" applyAlignment="1">
      <alignment horizontal="center" vertical="center" wrapText="1"/>
    </xf>
    <xf numFmtId="0" fontId="83" fillId="23" borderId="19" xfId="0" applyFont="1" applyFill="1" applyBorder="1" applyAlignment="1">
      <alignment horizontal="center" vertical="center" wrapText="1"/>
    </xf>
    <xf numFmtId="0" fontId="83" fillId="23" borderId="20" xfId="0" applyFont="1" applyFill="1" applyBorder="1" applyAlignment="1">
      <alignment horizontal="center" vertical="center" wrapText="1"/>
    </xf>
    <xf numFmtId="0" fontId="83" fillId="23" borderId="21" xfId="0" applyFont="1" applyFill="1" applyBorder="1" applyAlignment="1">
      <alignment horizontal="center" vertical="center" wrapText="1"/>
    </xf>
    <xf numFmtId="0" fontId="83" fillId="22" borderId="19" xfId="0" applyFont="1" applyFill="1" applyBorder="1" applyAlignment="1">
      <alignment horizontal="center" vertical="center" wrapText="1"/>
    </xf>
    <xf numFmtId="0" fontId="83" fillId="22" borderId="20" xfId="0" applyFont="1" applyFill="1" applyBorder="1" applyAlignment="1">
      <alignment horizontal="center" vertical="center" wrapText="1"/>
    </xf>
    <xf numFmtId="0" fontId="83" fillId="22" borderId="36" xfId="0" applyFont="1" applyFill="1" applyBorder="1" applyAlignment="1">
      <alignment horizontal="center" vertical="center" wrapText="1"/>
    </xf>
    <xf numFmtId="0" fontId="57" fillId="25" borderId="14" xfId="0" applyFont="1" applyFill="1" applyBorder="1" applyAlignment="1">
      <alignment horizontal="center" vertical="center" wrapText="1"/>
    </xf>
    <xf numFmtId="0" fontId="57" fillId="25" borderId="3" xfId="0" applyFont="1" applyFill="1" applyBorder="1" applyAlignment="1">
      <alignment horizontal="center" vertical="center" wrapText="1"/>
    </xf>
    <xf numFmtId="0" fontId="57" fillId="25" borderId="15" xfId="0" applyFont="1" applyFill="1" applyBorder="1" applyAlignment="1">
      <alignment horizontal="center" vertical="center" wrapText="1"/>
    </xf>
    <xf numFmtId="0" fontId="9" fillId="25" borderId="207" xfId="0" applyFont="1" applyFill="1" applyBorder="1" applyAlignment="1">
      <alignment horizontal="right" vertical="center"/>
    </xf>
    <xf numFmtId="0" fontId="9" fillId="25" borderId="191" xfId="0" applyFont="1" applyFill="1" applyBorder="1" applyAlignment="1">
      <alignment horizontal="right" vertical="center"/>
    </xf>
    <xf numFmtId="0" fontId="9" fillId="25" borderId="208" xfId="0" applyFont="1" applyFill="1" applyBorder="1" applyAlignment="1">
      <alignment horizontal="center" vertical="center" wrapText="1"/>
    </xf>
    <xf numFmtId="0" fontId="9" fillId="25" borderId="166" xfId="0" applyFont="1" applyFill="1" applyBorder="1" applyAlignment="1">
      <alignment horizontal="center" vertical="center" wrapText="1"/>
    </xf>
    <xf numFmtId="0" fontId="9" fillId="25" borderId="209" xfId="0" applyFont="1" applyFill="1" applyBorder="1" applyAlignment="1">
      <alignment horizontal="center" vertical="center" wrapText="1"/>
    </xf>
    <xf numFmtId="0" fontId="9" fillId="25" borderId="192" xfId="0" applyFont="1" applyFill="1" applyBorder="1" applyAlignment="1">
      <alignment horizontal="center" vertical="center" wrapText="1"/>
    </xf>
    <xf numFmtId="0" fontId="9" fillId="22" borderId="237" xfId="0" applyFont="1" applyFill="1" applyBorder="1" applyAlignment="1">
      <alignment horizontal="center" vertical="center"/>
    </xf>
    <xf numFmtId="0" fontId="9" fillId="22" borderId="177" xfId="0" applyFont="1" applyFill="1" applyBorder="1" applyAlignment="1">
      <alignment horizontal="center" vertical="center"/>
    </xf>
    <xf numFmtId="0" fontId="9" fillId="22" borderId="178" xfId="0" applyFont="1" applyFill="1" applyBorder="1" applyAlignment="1">
      <alignment horizontal="center" vertical="center"/>
    </xf>
    <xf numFmtId="184" fontId="48" fillId="22" borderId="137" xfId="40" applyNumberFormat="1" applyFont="1" applyFill="1" applyBorder="1" applyAlignment="1">
      <alignment horizontal="center" vertical="center" wrapText="1"/>
    </xf>
    <xf numFmtId="184" fontId="48" fillId="22" borderId="138" xfId="40" applyNumberFormat="1" applyFont="1" applyFill="1" applyBorder="1" applyAlignment="1">
      <alignment horizontal="center" vertical="center" wrapText="1"/>
    </xf>
    <xf numFmtId="0" fontId="44" fillId="23" borderId="20" xfId="0" applyFont="1" applyFill="1" applyBorder="1" applyAlignment="1">
      <alignment horizontal="center"/>
    </xf>
    <xf numFmtId="0" fontId="44" fillId="23" borderId="92" xfId="0" applyFont="1" applyFill="1" applyBorder="1" applyAlignment="1">
      <alignment horizontal="center"/>
    </xf>
    <xf numFmtId="0" fontId="48" fillId="23" borderId="67" xfId="40" applyNumberFormat="1" applyFont="1" applyFill="1" applyBorder="1" applyAlignment="1">
      <alignment horizontal="center" vertical="center" wrapText="1"/>
    </xf>
    <xf numFmtId="0" fontId="48" fillId="23" borderId="64" xfId="40" applyNumberFormat="1" applyFont="1" applyFill="1" applyBorder="1" applyAlignment="1">
      <alignment horizontal="center" vertical="center" wrapText="1"/>
    </xf>
    <xf numFmtId="0" fontId="58" fillId="33" borderId="67" xfId="57" applyFont="1" applyFill="1" applyBorder="1" applyAlignment="1">
      <alignment horizontal="center" vertical="center" wrapText="1"/>
    </xf>
    <xf numFmtId="0" fontId="58" fillId="33" borderId="64" xfId="57" applyFont="1" applyFill="1" applyBorder="1" applyAlignment="1">
      <alignment horizontal="center" vertical="center" wrapText="1"/>
    </xf>
    <xf numFmtId="0" fontId="58" fillId="33" borderId="84" xfId="57" applyFont="1" applyFill="1" applyBorder="1" applyAlignment="1">
      <alignment horizontal="center" vertical="center" wrapText="1"/>
    </xf>
    <xf numFmtId="0" fontId="58" fillId="33" borderId="86" xfId="57" applyFont="1" applyFill="1" applyBorder="1" applyAlignment="1">
      <alignment horizontal="center" vertical="center" wrapText="1"/>
    </xf>
    <xf numFmtId="0" fontId="48" fillId="22" borderId="42" xfId="40" applyNumberFormat="1" applyFont="1" applyFill="1" applyBorder="1" applyAlignment="1">
      <alignment horizontal="center" vertical="center" wrapText="1"/>
    </xf>
    <xf numFmtId="0" fontId="48" fillId="22" borderId="64" xfId="40" applyNumberFormat="1" applyFont="1" applyFill="1" applyBorder="1" applyAlignment="1">
      <alignment horizontal="center" vertical="center" wrapText="1"/>
    </xf>
    <xf numFmtId="49" fontId="49" fillId="31" borderId="70" xfId="0" applyNumberFormat="1" applyFont="1" applyFill="1" applyBorder="1" applyAlignment="1" applyProtection="1">
      <alignment horizontal="left" vertical="top" wrapText="1"/>
      <protection locked="0"/>
    </xf>
    <xf numFmtId="0" fontId="49" fillId="31" borderId="70" xfId="0" applyNumberFormat="1" applyFont="1" applyFill="1" applyBorder="1" applyAlignment="1" applyProtection="1">
      <alignment horizontal="left" vertical="top" wrapText="1"/>
      <protection locked="0"/>
    </xf>
    <xf numFmtId="49" fontId="49" fillId="31" borderId="210" xfId="0" applyNumberFormat="1" applyFont="1" applyFill="1" applyBorder="1" applyAlignment="1" applyProtection="1">
      <alignment horizontal="left" vertical="top" wrapText="1"/>
      <protection locked="0"/>
    </xf>
    <xf numFmtId="0" fontId="49" fillId="31" borderId="198" xfId="0" applyNumberFormat="1" applyFont="1" applyFill="1" applyBorder="1" applyAlignment="1" applyProtection="1">
      <alignment horizontal="left" vertical="top" wrapText="1"/>
      <protection locked="0"/>
    </xf>
  </cellXfs>
  <cellStyles count="134">
    <cellStyle name="Bad" xfId="22" builtinId="27" hidden="1"/>
    <cellStyle name="Calculation" xfId="26" builtinId="22" hidden="1"/>
    <cellStyle name="Check" xfId="115"/>
    <cellStyle name="Check Cell" xfId="28" builtinId="23" hidden="1"/>
    <cellStyle name="Check RedRedGreen" xfId="44"/>
    <cellStyle name="Comma" xfId="92" builtinId="3"/>
    <cellStyle name="Comma 2" xfId="61"/>
    <cellStyle name="Comma 2 2" xfId="74"/>
    <cellStyle name="Comma 2 2 2" xfId="82"/>
    <cellStyle name="Comma 2 3" xfId="78"/>
    <cellStyle name="Comma 2 4" xfId="67"/>
    <cellStyle name="Currency" xfId="1" builtinId="4" hidden="1" customBuiltin="1"/>
    <cellStyle name="Currency" xfId="40"/>
    <cellStyle name="Currency 2" xfId="59"/>
    <cellStyle name="Currency 2 2" xfId="72"/>
    <cellStyle name="Currency 2 2 2" xfId="80"/>
    <cellStyle name="Currency 2 3" xfId="76"/>
    <cellStyle name="Currency 2 4" xfId="65"/>
    <cellStyle name="Currency 3" xfId="95"/>
    <cellStyle name="Currency 8" xfId="133"/>
    <cellStyle name="Currency Assumptions" xfId="19"/>
    <cellStyle name="Currency Assumptions 2" xfId="105"/>
    <cellStyle name="Currency Input" xfId="49"/>
    <cellStyle name="Currency Input 2" xfId="108"/>
    <cellStyle name="Date" xfId="11"/>
    <cellStyle name="Date 2" xfId="112"/>
    <cellStyle name="Date Assumptions" xfId="12"/>
    <cellStyle name="Date Assumptions 2" xfId="114"/>
    <cellStyle name="Date Input" xfId="48"/>
    <cellStyle name="Date Input 2" xfId="113"/>
    <cellStyle name="dms_1" xfId="132"/>
    <cellStyle name="dms_2 2" xfId="91"/>
    <cellStyle name="dms_3" xfId="129"/>
    <cellStyle name="dms_BH" xfId="122"/>
    <cellStyle name="dms_BY1" xfId="124"/>
    <cellStyle name="dms_BY2" xfId="123"/>
    <cellStyle name="dms_GY2" xfId="127"/>
    <cellStyle name="dms_NUM" xfId="85"/>
    <cellStyle name="dms_NUM_0dp 2" xfId="119"/>
    <cellStyle name="dms_Row_Locked" xfId="131"/>
    <cellStyle name="dms_Row1" xfId="130"/>
    <cellStyle name="dms_T1" xfId="86"/>
    <cellStyle name="Dropdown" xfId="53"/>
    <cellStyle name="Explanatory Text" xfId="31" builtinId="53" hidden="1"/>
    <cellStyle name="External Link" xfId="55"/>
    <cellStyle name="Good" xfId="21" builtinId="26" hidden="1"/>
    <cellStyle name="Heading 1" xfId="3" builtinId="16" customBuiltin="1"/>
    <cellStyle name="Heading 1 2" xfId="70"/>
    <cellStyle name="Heading 1 2 2" xfId="83"/>
    <cellStyle name="Heading 1 3" xfId="98"/>
    <cellStyle name="Heading 2" xfId="4" builtinId="17" hidden="1" customBuiltin="1"/>
    <cellStyle name="Heading 2" xfId="63"/>
    <cellStyle name="Heading 2 2" xfId="99"/>
    <cellStyle name="Heading 2 Input" xfId="38"/>
    <cellStyle name="Heading 2 Output" xfId="39"/>
    <cellStyle name="Heading 3" xfId="5" builtinId="18" hidden="1" customBuiltin="1"/>
    <cellStyle name="Heading 3" xfId="100" builtinId="18" customBuiltin="1"/>
    <cellStyle name="Heading 3 Input" xfId="34"/>
    <cellStyle name="Heading 3 Output" xfId="35"/>
    <cellStyle name="Heading 3 Output 2" xfId="69"/>
    <cellStyle name="Heading 4" xfId="6" builtinId="19" hidden="1" customBuiltin="1"/>
    <cellStyle name="Heading 4" xfId="101" builtinId="19" customBuiltin="1"/>
    <cellStyle name="Heading 4 Assumptions" xfId="8"/>
    <cellStyle name="Heading 4 Input" xfId="36"/>
    <cellStyle name="Heading 4 Output" xfId="37"/>
    <cellStyle name="Heading 5" xfId="102"/>
    <cellStyle name="Heading 5 Assumptions" xfId="103"/>
    <cellStyle name="Heading 5 Input" xfId="106"/>
    <cellStyle name="Hyperlink" xfId="32" builtinId="8" customBuiltin="1"/>
    <cellStyle name="Hyperlink 2" xfId="117"/>
    <cellStyle name="Hyperlink 3" xfId="116"/>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rmal 10 2" xfId="56"/>
    <cellStyle name="Normal 11" xfId="88"/>
    <cellStyle name="Normal 114" xfId="121"/>
    <cellStyle name="Normal 13" xfId="120"/>
    <cellStyle name="Normal 14" xfId="126"/>
    <cellStyle name="Normal 2" xfId="57"/>
    <cellStyle name="Normal 2 2 2" xfId="89"/>
    <cellStyle name="Normal 3" xfId="58"/>
    <cellStyle name="Normal 3 2" xfId="71"/>
    <cellStyle name="Normal 3 2 2" xfId="79"/>
    <cellStyle name="Normal 3 3" xfId="75"/>
    <cellStyle name="Normal 3 4" xfId="64"/>
    <cellStyle name="Normal 4" xfId="62"/>
    <cellStyle name="Normal 4 2" xfId="87"/>
    <cellStyle name="Normal 4 3" xfId="128"/>
    <cellStyle name="Normal 5" xfId="94"/>
    <cellStyle name="Not Applicable" xfId="54"/>
    <cellStyle name="Note" xfId="30" builtinId="10" hidden="1"/>
    <cellStyle name="Number" xfId="13"/>
    <cellStyle name="Number 2" xfId="109"/>
    <cellStyle name="Number Assumptions" xfId="14"/>
    <cellStyle name="Number Assumptions 2" xfId="118"/>
    <cellStyle name="Number Assumptions 3" xfId="111"/>
    <cellStyle name="Number Input" xfId="47"/>
    <cellStyle name="Number Input 2" xfId="110"/>
    <cellStyle name="Output" xfId="25" builtinId="21" hidden="1"/>
    <cellStyle name="Percent" xfId="84" builtinId="5"/>
    <cellStyle name="Percent 2" xfId="60"/>
    <cellStyle name="Percent 2 2" xfId="73"/>
    <cellStyle name="Percent 2 2 2" xfId="81"/>
    <cellStyle name="Percent 2 3" xfId="77"/>
    <cellStyle name="Percent 2 4" xfId="66"/>
    <cellStyle name="Percent 3" xfId="96"/>
    <cellStyle name="Percent Assumptions" xfId="104"/>
    <cellStyle name="Percent Input" xfId="107"/>
    <cellStyle name="Percentage" xfId="15"/>
    <cellStyle name="Percentage Assumptions" xfId="16"/>
    <cellStyle name="Percentage Input" xfId="51"/>
    <cellStyle name="RIN_TB3" xfId="125"/>
    <cellStyle name="RIN_TL3 2" xfId="90"/>
    <cellStyle name="Sheet Title Input" xfId="20"/>
    <cellStyle name="Sheet Title Input 2" xfId="68"/>
    <cellStyle name="Sheet Title Output" xfId="33"/>
    <cellStyle name="Table Header 1" xfId="42"/>
    <cellStyle name="Table Header 2" xfId="43"/>
    <cellStyle name="TableLvl3" xfId="93"/>
    <cellStyle name="Title" xfId="2" builtinId="15" hidden="1"/>
    <cellStyle name="Title" xfId="97" builtinId="15" customBuilti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14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426286"/>
      <color rgb="FF139C00"/>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36195</xdr:rowOff>
    </xdr:from>
    <xdr:to>
      <xdr:col>4</xdr:col>
      <xdr:colOff>305033</xdr:colOff>
      <xdr:row>9</xdr:row>
      <xdr:rowOff>38186</xdr:rowOff>
    </xdr:to>
    <xdr:pic>
      <xdr:nvPicPr>
        <xdr:cNvPr id="2" name="Picture 1">
          <a:extLst>
            <a:ext uri="{FF2B5EF4-FFF2-40B4-BE49-F238E27FC236}">
              <a16:creationId xmlns:a16="http://schemas.microsoft.com/office/drawing/2014/main" id="{E0DFB363-CB3B-411B-9D35-CAFBF3A3E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845820"/>
          <a:ext cx="1371833" cy="563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X33"/>
  <sheetViews>
    <sheetView showGridLines="0" tabSelected="1" topLeftCell="A4" zoomScaleNormal="100" workbookViewId="0"/>
  </sheetViews>
  <sheetFormatPr defaultColWidth="9.33203125" defaultRowHeight="11.25" x14ac:dyDescent="0.2"/>
  <cols>
    <col min="2" max="3" width="5.83203125" customWidth="1"/>
    <col min="4" max="4" width="12.83203125" customWidth="1"/>
    <col min="6" max="13" width="10.83203125" customWidth="1"/>
  </cols>
  <sheetData>
    <row r="1" spans="2:15" ht="11.25" customHeight="1" x14ac:dyDescent="0.2"/>
    <row r="2" spans="2:15" ht="11.25" customHeight="1" x14ac:dyDescent="0.2"/>
    <row r="3" spans="2:15" ht="19.5" x14ac:dyDescent="0.2">
      <c r="B3" s="3" t="s">
        <v>926</v>
      </c>
    </row>
    <row r="4" spans="2:15" ht="11.25" customHeight="1" x14ac:dyDescent="0.2"/>
    <row r="5" spans="2:15" ht="11.25" customHeight="1" x14ac:dyDescent="0.2">
      <c r="N5" s="43"/>
      <c r="O5" s="43"/>
    </row>
    <row r="6" spans="2:15" ht="11.25" customHeight="1" x14ac:dyDescent="0.2">
      <c r="N6" s="43"/>
      <c r="O6" s="43"/>
    </row>
    <row r="7" spans="2:15" ht="11.25" customHeight="1" x14ac:dyDescent="0.2">
      <c r="B7" s="386"/>
      <c r="C7" s="386"/>
      <c r="D7" s="386"/>
      <c r="E7" s="386"/>
      <c r="F7" s="386"/>
      <c r="N7" s="43"/>
      <c r="O7" s="43"/>
    </row>
    <row r="8" spans="2:15" ht="11.25" customHeight="1" x14ac:dyDescent="0.2">
      <c r="B8" s="386"/>
      <c r="C8" s="386"/>
      <c r="D8" s="386"/>
      <c r="E8" s="386"/>
      <c r="F8" s="386"/>
    </row>
    <row r="9" spans="2:15" x14ac:dyDescent="0.2">
      <c r="B9" s="386"/>
      <c r="C9" s="386"/>
      <c r="D9" s="386"/>
      <c r="E9" s="386"/>
      <c r="F9" s="386"/>
    </row>
    <row r="11" spans="2:15" ht="12.75" x14ac:dyDescent="0.2">
      <c r="C11" s="32" t="s">
        <v>28</v>
      </c>
      <c r="F11" s="5" t="s">
        <v>104</v>
      </c>
    </row>
    <row r="13" spans="2:15" ht="12.75" x14ac:dyDescent="0.2">
      <c r="C13" s="4" t="s">
        <v>29</v>
      </c>
    </row>
    <row r="14" spans="2:15" ht="12.75" x14ac:dyDescent="0.2">
      <c r="C14" s="5" t="s">
        <v>324</v>
      </c>
    </row>
    <row r="16" spans="2:15" ht="12.75" x14ac:dyDescent="0.2">
      <c r="C16" s="4" t="s">
        <v>36</v>
      </c>
    </row>
    <row r="18" spans="3:13" x14ac:dyDescent="0.2">
      <c r="C18" s="20"/>
      <c r="D18" s="21"/>
      <c r="E18" s="21"/>
      <c r="F18" s="21"/>
      <c r="G18" s="21"/>
      <c r="H18" s="21"/>
      <c r="I18" s="21"/>
      <c r="J18" s="21"/>
      <c r="K18" s="21"/>
      <c r="L18" s="21"/>
      <c r="M18" s="22"/>
    </row>
    <row r="19" spans="3:13" ht="12.75" x14ac:dyDescent="0.2">
      <c r="C19" s="23"/>
      <c r="D19" s="31" t="s">
        <v>14</v>
      </c>
      <c r="F19" s="5" t="s">
        <v>25</v>
      </c>
      <c r="M19" s="24"/>
    </row>
    <row r="20" spans="3:13" ht="12.75" x14ac:dyDescent="0.2">
      <c r="C20" s="23"/>
      <c r="D20" s="37" t="s">
        <v>43</v>
      </c>
      <c r="F20" s="5" t="s">
        <v>38</v>
      </c>
      <c r="M20" s="24"/>
    </row>
    <row r="21" spans="3:13" ht="12.75" x14ac:dyDescent="0.2">
      <c r="C21" s="23"/>
      <c r="D21" s="11" t="s">
        <v>20</v>
      </c>
      <c r="F21" s="5" t="s">
        <v>22</v>
      </c>
      <c r="M21" s="24"/>
    </row>
    <row r="22" spans="3:13" ht="12.75" x14ac:dyDescent="0.2">
      <c r="C22" s="23"/>
      <c r="D22" s="25" t="s">
        <v>21</v>
      </c>
      <c r="F22" s="5" t="s">
        <v>23</v>
      </c>
      <c r="M22" s="24"/>
    </row>
    <row r="23" spans="3:13" ht="12.75" x14ac:dyDescent="0.2">
      <c r="C23" s="23"/>
      <c r="D23" s="26" t="s">
        <v>5</v>
      </c>
      <c r="F23" s="5" t="s">
        <v>26</v>
      </c>
      <c r="M23" s="24"/>
    </row>
    <row r="24" spans="3:13" ht="12.75" x14ac:dyDescent="0.2">
      <c r="C24" s="23"/>
      <c r="D24" s="27" t="s">
        <v>24</v>
      </c>
      <c r="F24" s="5" t="s">
        <v>27</v>
      </c>
      <c r="M24" s="24"/>
    </row>
    <row r="25" spans="3:13" ht="12.75" x14ac:dyDescent="0.2">
      <c r="C25" s="23"/>
      <c r="D25" s="36"/>
      <c r="F25" s="5" t="s">
        <v>37</v>
      </c>
      <c r="M25" s="24"/>
    </row>
    <row r="26" spans="3:13" ht="12.75" x14ac:dyDescent="0.2">
      <c r="C26" s="23"/>
      <c r="D26" s="35" t="s">
        <v>44</v>
      </c>
      <c r="F26" s="5" t="s">
        <v>39</v>
      </c>
      <c r="M26" s="24"/>
    </row>
    <row r="27" spans="3:13" ht="12.75" x14ac:dyDescent="0.2">
      <c r="C27" s="23"/>
      <c r="D27" s="387">
        <v>1</v>
      </c>
      <c r="F27" s="5" t="s">
        <v>40</v>
      </c>
      <c r="M27" s="24"/>
    </row>
    <row r="28" spans="3:13" ht="12.75" x14ac:dyDescent="0.2">
      <c r="C28" s="23"/>
      <c r="D28" s="387">
        <v>0</v>
      </c>
      <c r="F28" s="5" t="s">
        <v>41</v>
      </c>
      <c r="M28" s="24"/>
    </row>
    <row r="29" spans="3:13" ht="12.75" x14ac:dyDescent="0.2">
      <c r="C29" s="23"/>
      <c r="D29" s="38"/>
      <c r="F29" s="5" t="s">
        <v>42</v>
      </c>
      <c r="M29" s="24"/>
    </row>
    <row r="30" spans="3:13" x14ac:dyDescent="0.2">
      <c r="C30" s="28"/>
      <c r="D30" s="29"/>
      <c r="E30" s="29"/>
      <c r="F30" s="29"/>
      <c r="G30" s="29"/>
      <c r="H30" s="29"/>
      <c r="I30" s="29"/>
      <c r="J30" s="29"/>
      <c r="K30" s="29"/>
      <c r="L30" s="29"/>
      <c r="M30" s="30"/>
    </row>
    <row r="32" spans="3:13" ht="12.75" x14ac:dyDescent="0.2">
      <c r="C32" s="4" t="s">
        <v>84</v>
      </c>
      <c r="D32" s="34"/>
    </row>
    <row r="33" spans="3:24" ht="81" customHeight="1" x14ac:dyDescent="0.2">
      <c r="C33" s="1081" t="s">
        <v>927</v>
      </c>
      <c r="D33" s="1081"/>
      <c r="E33" s="1081"/>
      <c r="F33" s="1081"/>
      <c r="G33" s="1081"/>
      <c r="H33" s="1081"/>
      <c r="I33" s="1081"/>
      <c r="J33" s="1081"/>
      <c r="K33" s="1081"/>
      <c r="L33" s="1081"/>
      <c r="M33" s="1081"/>
      <c r="N33" s="1081"/>
      <c r="O33" s="1081"/>
      <c r="P33" s="1081"/>
      <c r="Q33" s="1081"/>
      <c r="R33" s="1081"/>
      <c r="S33" s="1081"/>
      <c r="T33" s="1081"/>
      <c r="U33" s="1081"/>
      <c r="V33" s="1081"/>
      <c r="W33" s="1081"/>
      <c r="X33" s="1081"/>
    </row>
  </sheetData>
  <mergeCells count="1">
    <mergeCell ref="C33:X33"/>
  </mergeCells>
  <conditionalFormatting sqref="D28">
    <cfRule type="cellIs" dxfId="141" priority="2" operator="equal">
      <formula>"Ok"</formula>
    </cfRule>
  </conditionalFormatting>
  <conditionalFormatting sqref="D27">
    <cfRule type="cellIs" dxfId="140"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1"/>
  <sheetViews>
    <sheetView showGridLines="0" zoomScaleNormal="100" workbookViewId="0">
      <pane xSplit="1" ySplit="4" topLeftCell="B5" activePane="bottomRight" state="frozen"/>
      <selection activeCell="D10" sqref="D10"/>
      <selection pane="topRight" activeCell="D10" sqref="D10"/>
      <selection pane="bottomLeft" activeCell="D10" sqref="D10"/>
      <selection pane="bottomRight" activeCell="B5" sqref="B5"/>
    </sheetView>
  </sheetViews>
  <sheetFormatPr defaultColWidth="0" defaultRowHeight="11.25" x14ac:dyDescent="0.2"/>
  <cols>
    <col min="1" max="3" width="2.83203125" customWidth="1"/>
    <col min="4" max="4" width="57" customWidth="1"/>
    <col min="5" max="9" width="10.83203125" customWidth="1"/>
    <col min="10" max="15" width="10.83203125" hidden="1" customWidth="1"/>
    <col min="16" max="16384" width="9.33203125" hidden="1"/>
  </cols>
  <sheetData>
    <row r="1" spans="2:5" ht="19.5" x14ac:dyDescent="0.2">
      <c r="B1" s="3" t="s">
        <v>49</v>
      </c>
    </row>
    <row r="2" spans="2:5" x14ac:dyDescent="0.2">
      <c r="B2" s="9" t="str">
        <f>Title_Msg</f>
        <v>No Errors Found</v>
      </c>
    </row>
    <row r="3" spans="2:5" ht="12.75" x14ac:dyDescent="0.2">
      <c r="B3" s="34" t="s">
        <v>50</v>
      </c>
      <c r="C3" s="34"/>
      <c r="D3" s="34"/>
      <c r="E3" s="5"/>
    </row>
    <row r="4" spans="2:5" ht="12.75" x14ac:dyDescent="0.2">
      <c r="B4" s="33" t="str">
        <f>Model_Name</f>
        <v>RIN Population Model - TransGrid (TGD)</v>
      </c>
    </row>
    <row r="6" spans="2:5" s="2" customFormat="1" ht="15.75" x14ac:dyDescent="0.2">
      <c r="B6" s="2" t="str">
        <f>B1</f>
        <v>Table of Contents</v>
      </c>
    </row>
    <row r="7" spans="2:5" ht="4.5" customHeight="1" x14ac:dyDescent="0.2"/>
    <row r="8" spans="2:5" s="7" customFormat="1" ht="15" x14ac:dyDescent="0.2">
      <c r="C8" s="7" t="s">
        <v>325</v>
      </c>
    </row>
    <row r="9" spans="2:5" ht="4.5" customHeight="1" x14ac:dyDescent="0.2"/>
    <row r="10" spans="2:5" x14ac:dyDescent="0.2">
      <c r="D10" s="742" t="str">
        <f>Input_CPI!$B$1</f>
        <v>Input - Inflation</v>
      </c>
    </row>
    <row r="11" spans="2:5" ht="11.25" customHeight="1" x14ac:dyDescent="0.2">
      <c r="D11" s="742" t="str">
        <f>WkB_1_2.1.1!$B$1</f>
        <v>2.1.1 - Prescribed Transmission Services Capex (As Incurred)</v>
      </c>
    </row>
    <row r="12" spans="2:5" ht="11.25" customHeight="1" x14ac:dyDescent="0.2">
      <c r="D12" s="742" t="str">
        <f>WkB_1_2.1.8!$B$1</f>
        <v>2.1.8 - Prescribed Transmission Services Capitalised Overheads</v>
      </c>
    </row>
    <row r="13" spans="2:5" ht="11.25" customHeight="1" x14ac:dyDescent="0.2">
      <c r="D13" s="742" t="str">
        <f>WkB_1_2.2.1!$B$1</f>
        <v>2.2.1 - Replacement Expenditure, Volumes And Asset Failures By Asset Category (As commissioned)</v>
      </c>
    </row>
    <row r="14" spans="2:5" ht="11.25" customHeight="1" x14ac:dyDescent="0.2">
      <c r="D14" s="742" t="str">
        <f>'WkB_1_2.2.1(a)'!$B$1</f>
        <v>2.2.1 (a) - Replacement Expenditure, Volumes And Asset Failures By Asset Category (as incurred)</v>
      </c>
    </row>
    <row r="15" spans="2:5" ht="11.25" customHeight="1" x14ac:dyDescent="0.2">
      <c r="D15" s="742" t="str">
        <f>WkB_1_2.3a!$B$1</f>
        <v>2.3 Augex Projects (Project close or As Commissioned)</v>
      </c>
    </row>
    <row r="16" spans="2:5" ht="11.25" customHeight="1" x14ac:dyDescent="0.2">
      <c r="D16" s="742" t="str">
        <f>WkB_1_2.3.2!$B$1</f>
        <v>2.3.2 - Augex Asset Data - Lines (Project close or As Commissioned)</v>
      </c>
    </row>
    <row r="17" spans="4:4" ht="11.25" customHeight="1" x14ac:dyDescent="0.2">
      <c r="D17" s="742" t="str">
        <f>WkB_1_2.3.4!$B$1</f>
        <v>2.3.4 - Augex - Total Expenditure (as incurred)</v>
      </c>
    </row>
    <row r="18" spans="4:4" ht="11.25" customHeight="1" x14ac:dyDescent="0.2">
      <c r="D18" s="742" t="str">
        <f>WkB_1_2.5.1!$B$1</f>
        <v>2.5.1 - Expenditure on Connection Projects</v>
      </c>
    </row>
    <row r="19" spans="4:4" ht="11.25" customHeight="1" x14ac:dyDescent="0.2">
      <c r="D19" s="742" t="str">
        <f>WkB_1_2.6.1!$B$1</f>
        <v>2.6.1 - Non-Network Expenditure</v>
      </c>
    </row>
    <row r="20" spans="4:4" ht="11.25" customHeight="1" x14ac:dyDescent="0.2">
      <c r="D20" s="742" t="str">
        <f>WkB_1_2.6.4!$B$1</f>
        <v>2.6.4 -  Information &amp; Communications Technology - Capex By Purpose</v>
      </c>
    </row>
    <row r="21" spans="4:4" ht="11.25" customHeight="1" x14ac:dyDescent="0.2">
      <c r="D21" s="742" t="str">
        <f>WkB_1_2.10!$B$1</f>
        <v>2.10 Overheads</v>
      </c>
    </row>
    <row r="22" spans="4:4" ht="11.25" customHeight="1" x14ac:dyDescent="0.2">
      <c r="D22" s="742" t="str">
        <f>WkB_1_2.14!$B$1</f>
        <v>2.14.2 - Forecast Capex And Opex Price Changes</v>
      </c>
    </row>
    <row r="23" spans="4:4" ht="11.25" customHeight="1" x14ac:dyDescent="0.2">
      <c r="D23" s="742" t="str">
        <f>WkB_1_2.16!$B$1</f>
        <v>2.16.1 - Prescribed Transmission Services - Opex By Driver</v>
      </c>
    </row>
    <row r="24" spans="4:4" ht="11.25" customHeight="1" x14ac:dyDescent="0.2">
      <c r="D24" s="742" t="str">
        <f>WkB_1_2.17.1!$B$1</f>
        <v xml:space="preserve">2.17.1 - Step Changes For Prescribed Transmission Services - Forecast Opex </v>
      </c>
    </row>
    <row r="25" spans="4:4" ht="11.25" customHeight="1" x14ac:dyDescent="0.2">
      <c r="D25" s="742" t="str">
        <f>WkB_1_2.17.2!$B$1</f>
        <v>2.17.2 - Step Changes For Prescribed Transmission Services - Forecast Capex</v>
      </c>
    </row>
    <row r="26" spans="4:4" ht="11.25" customHeight="1" x14ac:dyDescent="0.2">
      <c r="D26" s="742" t="str">
        <f>WkB_1_2.17.5!$B$1</f>
        <v>2.17.5 - Category Specific Opex For Prescribed Transmission Services</v>
      </c>
    </row>
    <row r="27" spans="4:4" ht="11.25" customHeight="1" x14ac:dyDescent="0.2">
      <c r="D27" s="742" t="str">
        <f>WkB_1_3.1.1!$B$1</f>
        <v>3.1.1 - Revenue Grouping By Chargeable Quantity</v>
      </c>
    </row>
    <row r="28" spans="4:4" ht="11.25" customHeight="1" x14ac:dyDescent="0.2">
      <c r="D28" s="742" t="str">
        <f>WkB_1_3.1.2!$B$1</f>
        <v>3.1.2 - Revenue Grouping By Type Of Connected Equipment</v>
      </c>
    </row>
    <row r="29" spans="4:4" ht="11.25" customHeight="1" x14ac:dyDescent="0.2">
      <c r="D29" s="742" t="str">
        <f>WkB_1_3.1.3!$B$1</f>
        <v>3.1.3 - Revenue (Penalties) Allowed (Deducted) Through Incentive Schemes</v>
      </c>
    </row>
    <row r="30" spans="4:4" ht="11.25" customHeight="1" x14ac:dyDescent="0.2">
      <c r="D30" s="742" t="str">
        <f>WkB_1_3.2!$B$1</f>
        <v>3.2 Operating Expenditure</v>
      </c>
    </row>
    <row r="31" spans="4:4" ht="11.25" customHeight="1" x14ac:dyDescent="0.2">
      <c r="D31" s="742" t="str">
        <f>WkB_1_3.3!$B$1</f>
        <v>3.3 Assets</v>
      </c>
    </row>
    <row r="32" spans="4:4" ht="11.25" customHeight="1" x14ac:dyDescent="0.2">
      <c r="D32" s="742" t="str">
        <f>WkB_1_7.2!$B$1</f>
        <v>7.2.1 - Proposed Contingent Projects For The Forthcoming Regulatory Control Period</v>
      </c>
    </row>
    <row r="33" spans="3:4" ht="11.25" customHeight="1" x14ac:dyDescent="0.2">
      <c r="D33" s="742" t="str">
        <f>WkB_1_7.4!$B$1</f>
        <v>7.4 Shared Assets</v>
      </c>
    </row>
    <row r="34" spans="3:4" ht="11.25" customHeight="1" x14ac:dyDescent="0.2">
      <c r="D34" s="742" t="str">
        <f>WkB_1_7.9!$B$1</f>
        <v>7.9.2 - Proposed priority projects for the network capability incentive parameter</v>
      </c>
    </row>
    <row r="35" spans="3:4" ht="11.25" customHeight="1" x14ac:dyDescent="0.2">
      <c r="D35" s="742" t="str">
        <f>WkB_1_8.2.7!$B$1</f>
        <v>8.2.7 - Immediate Expensing Of Capex</v>
      </c>
    </row>
    <row r="36" spans="3:4" ht="4.5" customHeight="1" x14ac:dyDescent="0.2"/>
    <row r="37" spans="3:4" s="7" customFormat="1" ht="15" x14ac:dyDescent="0.2">
      <c r="C37" s="7" t="s">
        <v>326</v>
      </c>
    </row>
    <row r="38" spans="3:4" ht="4.5" customHeight="1" x14ac:dyDescent="0.2"/>
    <row r="39" spans="3:4" ht="11.25" customHeight="1" x14ac:dyDescent="0.2">
      <c r="D39" s="34" t="str">
        <f>WkB_7_7.6!$B$1</f>
        <v>7.6 Indicative Impact On Transmission Charges &amp; Electricity Bills</v>
      </c>
    </row>
    <row r="40" spans="3:4" ht="4.5" customHeight="1" x14ac:dyDescent="0.2"/>
    <row r="41" spans="3:4" s="7" customFormat="1" ht="15" x14ac:dyDescent="0.2">
      <c r="C41" s="7" t="s">
        <v>327</v>
      </c>
    </row>
    <row r="42" spans="3:4" ht="4.5" customHeight="1" x14ac:dyDescent="0.2"/>
    <row r="43" spans="3:4" ht="11.25" customHeight="1" x14ac:dyDescent="0.2">
      <c r="D43" s="34" t="str">
        <f>WkB_8_8.2.7!$B$1</f>
        <v>8.2.7 - Immediate Expensing Of Capex</v>
      </c>
    </row>
    <row r="44" spans="3:4" ht="4.5" customHeight="1" x14ac:dyDescent="0.2"/>
    <row r="45" spans="3:4" s="7" customFormat="1" ht="15" x14ac:dyDescent="0.2">
      <c r="C45" s="7" t="s">
        <v>328</v>
      </c>
    </row>
    <row r="46" spans="3:4" ht="4.5" customHeight="1" x14ac:dyDescent="0.2"/>
    <row r="47" spans="3:4" x14ac:dyDescent="0.2">
      <c r="D47" s="34" t="str">
        <f>WkB_1_Reconciliation!$B$1</f>
        <v>Reconciliations</v>
      </c>
    </row>
    <row r="48" spans="3:4" x14ac:dyDescent="0.2">
      <c r="D48" s="34" t="str">
        <f>Lookup!B1</f>
        <v>Model Lookups</v>
      </c>
    </row>
    <row r="49" spans="2:4" x14ac:dyDescent="0.2">
      <c r="D49" s="34" t="str">
        <f>Checks!B1</f>
        <v>Checks</v>
      </c>
    </row>
    <row r="50" spans="2:4" ht="4.5" customHeight="1" x14ac:dyDescent="0.2"/>
    <row r="51" spans="2:4" s="2" customFormat="1" ht="15.75" x14ac:dyDescent="0.2">
      <c r="B51" s="2" t="s">
        <v>32</v>
      </c>
    </row>
  </sheetData>
  <conditionalFormatting sqref="B2">
    <cfRule type="cellIs" dxfId="139" priority="1" operator="notEqual">
      <formula>"No Errors Found"</formula>
    </cfRule>
  </conditionalFormatting>
  <hyperlinks>
    <hyperlink ref="D48" location="Lookup!A1" display="Lookup!A1"/>
    <hyperlink ref="D49" location="Checks!A1" display="Checks!A1"/>
    <hyperlink ref="B3:D3" location="Cover!A1" display="Go to Cover Sheet"/>
    <hyperlink ref="D11" location="WkB_1_2.1.1!A1" display="WkB_1_2.1.1!A1"/>
    <hyperlink ref="D10" location="Input_CPI!A1" display="Input_CPI!A1"/>
    <hyperlink ref="D12" location="WkB_1_2.1.8!A1" display="WkB_1_2.1.8!A1"/>
    <hyperlink ref="D13" location="WkB_1_2.2.1!A1" display="WkB_1_2.2.1!A1"/>
    <hyperlink ref="D17" location="WkB_1_2.3.4!A1" display="WkB_1_2.3.4!A1"/>
    <hyperlink ref="D18" location="WkB_1_2.5.1!A1" display="WkB_1_2.5.1!A1"/>
    <hyperlink ref="D19" location="WkB_1_2.6.1!A1" display="WkB_1_2.6.1!A1"/>
    <hyperlink ref="D21" location="WkB_1_2.10!A1" display="WkB_1_2.10!A1"/>
    <hyperlink ref="D22" location="WkB_1_2.14!A1" display="WkB_1_2.14!A1"/>
    <hyperlink ref="D23" location="WkB_1_2.16!A1" display="WkB_1_2.16!A1"/>
    <hyperlink ref="D24" location="WkB_1_2.17.1!A1" display="WkB_1_2.17.1!A1"/>
    <hyperlink ref="D26" location="WkB_1_2.17.5!A1" display="WkB_1_2.17.5!A1"/>
    <hyperlink ref="D27" location="WkB_1_3.1.1!A1" display="WkB_1_3.1.1!A1"/>
    <hyperlink ref="D31" location="WkB_1_3.3!A1" display="WkB_1_3.3!A1"/>
    <hyperlink ref="D35" location="WkB_1_8.2.7!A1" display="WkB_1_8.2.7!A1"/>
    <hyperlink ref="D39" location="WkB_7_7.6!A1" display="WkB_7_7.6!A1"/>
    <hyperlink ref="D43" location="WkB_8_8.2.7!A1" display="WkB_8_8.2.7!A1"/>
    <hyperlink ref="D15" location="WkB_1_2.3a!A1" display="WkB_1_2.3a!A1"/>
    <hyperlink ref="D16" location="WkB_1_2.3.2!A1" display="WkB_1_2.3.2!A1"/>
    <hyperlink ref="D20" location="WkB_1_2.6.4!A1" display="WkB_1_2.6.4!A1"/>
    <hyperlink ref="D30" location="WkB_1_3.2!A1" display="WkB_1_3.2!A1"/>
    <hyperlink ref="D33" location="WkB_1_7.4!A1" display="WkB_1_7.4!A1"/>
    <hyperlink ref="D34" location="WkB_1_7.9!A1" display="WkB_1_7.9!A1"/>
    <hyperlink ref="D14" location="'WkB_1_2.2.1(a)'!A1" display="'WkB_1_2.2.1(a)'!A1"/>
    <hyperlink ref="D32" location="WkB_1_7.2!A1" display="WkB_1_7.2!A1"/>
    <hyperlink ref="D47" location="WkB_1_Reconciliation!A1" display="WkB_1_Reconciliation!A1"/>
    <hyperlink ref="D28:D29" location="WkB_1_3.1.1!A1" display="WkB_1_3.1.1!A1"/>
    <hyperlink ref="D29" location="WkB_1_3.1.3!A1" display="WkB_1_3.1.3!A1"/>
    <hyperlink ref="D28" location="WkB_1_3.1.2!A1" display="WkB_1_3.1.2!A1"/>
    <hyperlink ref="D25" location="WkB_1_2.17.2!A1" display="WkB_1_2.17.2!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52"/>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7.83203125" style="46" customWidth="1"/>
    <col min="5" max="24" width="13.33203125" style="46" customWidth="1"/>
    <col min="25" max="16384" width="9.33203125" style="46"/>
  </cols>
  <sheetData>
    <row r="1" spans="1:24" ht="19.5" x14ac:dyDescent="0.2">
      <c r="A1" s="42">
        <f>IF(SUM($A2:$A31)&gt;0,1,0)</f>
        <v>0</v>
      </c>
      <c r="B1" s="3" t="s">
        <v>212</v>
      </c>
    </row>
    <row r="2" spans="1:24" x14ac:dyDescent="0.2">
      <c r="B2" s="9" t="str">
        <f>Title_Msg</f>
        <v>No Errors Found</v>
      </c>
    </row>
    <row r="3" spans="1:24" s="47" customFormat="1" ht="15.75" x14ac:dyDescent="0.2">
      <c r="B3" s="47" t="s">
        <v>213</v>
      </c>
    </row>
    <row r="4" spans="1:24" ht="4.5" customHeight="1" x14ac:dyDescent="0.2"/>
    <row r="5" spans="1:24" s="7" customFormat="1" ht="15" x14ac:dyDescent="0.2">
      <c r="C5" s="7" t="s">
        <v>214</v>
      </c>
    </row>
    <row r="6" spans="1:24" ht="11.25" customHeight="1" x14ac:dyDescent="0.2"/>
    <row r="7" spans="1:24" ht="11.25" customHeight="1" x14ac:dyDescent="0.2">
      <c r="D7" s="129" t="s">
        <v>215</v>
      </c>
      <c r="E7" s="130" t="s">
        <v>63</v>
      </c>
      <c r="F7" s="130" t="s">
        <v>64</v>
      </c>
      <c r="G7" s="130" t="s">
        <v>65</v>
      </c>
      <c r="H7" s="130" t="s">
        <v>66</v>
      </c>
      <c r="I7" s="130">
        <f>Lookup!J$18</f>
        <v>2013</v>
      </c>
      <c r="J7" s="131">
        <f>Lookup!K$18</f>
        <v>2014</v>
      </c>
      <c r="K7" s="130">
        <f>Lookup!L$18</f>
        <v>2015</v>
      </c>
      <c r="L7" s="130">
        <f>Lookup!M$18</f>
        <v>2016</v>
      </c>
      <c r="M7" s="130">
        <f>Lookup!N$18</f>
        <v>2017</v>
      </c>
      <c r="N7" s="132">
        <f>Lookup!O$18</f>
        <v>2018</v>
      </c>
      <c r="O7" s="131">
        <f>Lookup!P$18</f>
        <v>2019</v>
      </c>
      <c r="P7" s="130">
        <f>Lookup!Q$18</f>
        <v>2020</v>
      </c>
      <c r="Q7" s="130">
        <f>Lookup!R$18</f>
        <v>2021</v>
      </c>
      <c r="R7" s="130">
        <f>Lookup!S$18</f>
        <v>2022</v>
      </c>
      <c r="S7" s="132">
        <f>Lookup!T$18</f>
        <v>2023</v>
      </c>
      <c r="T7" s="131">
        <f>Lookup!U$18</f>
        <v>2024</v>
      </c>
      <c r="U7" s="130">
        <f>Lookup!V$18</f>
        <v>2025</v>
      </c>
      <c r="V7" s="130">
        <f>Lookup!W$18</f>
        <v>2026</v>
      </c>
      <c r="W7" s="130">
        <f>Lookup!X$18</f>
        <v>2027</v>
      </c>
      <c r="X7" s="132">
        <f>Lookup!Y$18</f>
        <v>2028</v>
      </c>
    </row>
    <row r="8" spans="1:24" ht="11.25" customHeight="1" x14ac:dyDescent="0.2">
      <c r="I8" s="133">
        <v>1</v>
      </c>
      <c r="J8" s="49">
        <f>I8+1</f>
        <v>2</v>
      </c>
      <c r="K8" s="49">
        <f t="shared" ref="K8:S8" si="0">J8+1</f>
        <v>3</v>
      </c>
      <c r="L8" s="49">
        <f t="shared" si="0"/>
        <v>4</v>
      </c>
      <c r="M8" s="49">
        <f t="shared" si="0"/>
        <v>5</v>
      </c>
      <c r="N8" s="49">
        <f t="shared" si="0"/>
        <v>6</v>
      </c>
      <c r="O8" s="49">
        <f t="shared" si="0"/>
        <v>7</v>
      </c>
      <c r="P8" s="49">
        <f t="shared" si="0"/>
        <v>8</v>
      </c>
      <c r="Q8" s="49">
        <f t="shared" si="0"/>
        <v>9</v>
      </c>
      <c r="R8" s="49">
        <f t="shared" si="0"/>
        <v>10</v>
      </c>
      <c r="S8" s="49">
        <f t="shared" si="0"/>
        <v>11</v>
      </c>
    </row>
    <row r="9" spans="1:24" ht="12.75" x14ac:dyDescent="0.2">
      <c r="D9" s="6" t="s">
        <v>586</v>
      </c>
      <c r="E9" s="134" t="s">
        <v>216</v>
      </c>
      <c r="F9" s="134" t="str">
        <f>Percent</f>
        <v>Percent</v>
      </c>
      <c r="G9" s="134" t="s">
        <v>34</v>
      </c>
      <c r="H9" s="134" t="s">
        <v>34</v>
      </c>
      <c r="I9" s="135">
        <v>2.3904382470119501E-2</v>
      </c>
      <c r="J9" s="135">
        <v>3.0155642023346418E-2</v>
      </c>
      <c r="K9" s="135">
        <v>1.5108593012275628E-2</v>
      </c>
      <c r="L9" s="135">
        <v>1.0232558139534831E-2</v>
      </c>
      <c r="M9" s="135">
        <v>1.9337016574585641E-2</v>
      </c>
      <c r="N9" s="135">
        <v>2.0776874435411097E-2</v>
      </c>
      <c r="O9" s="135">
        <v>1.5929203539823078E-2</v>
      </c>
      <c r="P9" s="135">
        <v>-3.4843205574912606E-3</v>
      </c>
      <c r="Q9" s="135">
        <v>3.8461538461538325E-2</v>
      </c>
      <c r="R9" s="135">
        <v>2.75E-2</v>
      </c>
      <c r="S9" s="135">
        <v>2.2499999999999999E-2</v>
      </c>
      <c r="T9" s="135">
        <v>2.349953872603594E-2</v>
      </c>
      <c r="U9" s="135">
        <v>2.349953872603594E-2</v>
      </c>
      <c r="V9" s="135">
        <v>2.349953872603594E-2</v>
      </c>
      <c r="W9" s="135">
        <v>2.349953872603594E-2</v>
      </c>
      <c r="X9" s="135">
        <v>2.349953872603594E-2</v>
      </c>
    </row>
    <row r="10" spans="1:24" ht="12.75" x14ac:dyDescent="0.2">
      <c r="D10" s="6" t="s">
        <v>217</v>
      </c>
      <c r="E10" s="134" t="s">
        <v>218</v>
      </c>
      <c r="F10" s="134" t="s">
        <v>72</v>
      </c>
      <c r="G10" s="134" t="s">
        <v>34</v>
      </c>
      <c r="H10" s="134" t="s">
        <v>34</v>
      </c>
      <c r="I10" s="136">
        <v>1</v>
      </c>
      <c r="J10" s="137">
        <f t="shared" ref="J10:X10" si="1">I10*(1+J9)</f>
        <v>1.0301556420233464</v>
      </c>
      <c r="K10" s="137">
        <f t="shared" si="1"/>
        <v>1.0457198443579767</v>
      </c>
      <c r="L10" s="137">
        <f t="shared" si="1"/>
        <v>1.056420233463035</v>
      </c>
      <c r="M10" s="137">
        <f t="shared" si="1"/>
        <v>1.0768482490272373</v>
      </c>
      <c r="N10" s="137">
        <f t="shared" si="1"/>
        <v>1.0992217898832686</v>
      </c>
      <c r="O10" s="137">
        <f t="shared" si="1"/>
        <v>1.1167315175097279</v>
      </c>
      <c r="P10" s="137">
        <f t="shared" si="1"/>
        <v>1.1128404669260703</v>
      </c>
      <c r="Q10" s="137">
        <f t="shared" si="1"/>
        <v>1.1556420233463036</v>
      </c>
      <c r="R10" s="137">
        <f t="shared" si="1"/>
        <v>1.187422178988327</v>
      </c>
      <c r="S10" s="137">
        <f t="shared" si="1"/>
        <v>1.2141391780155644</v>
      </c>
      <c r="T10" s="137">
        <f t="shared" si="1"/>
        <v>1.2426708886481386</v>
      </c>
      <c r="U10" s="137">
        <f t="shared" si="1"/>
        <v>1.2718730813196431</v>
      </c>
      <c r="V10" s="137">
        <f t="shared" si="1"/>
        <v>1.3017615120487167</v>
      </c>
      <c r="W10" s="137">
        <f t="shared" si="1"/>
        <v>1.3323523071131687</v>
      </c>
      <c r="X10" s="137">
        <f t="shared" si="1"/>
        <v>1.363661971750898</v>
      </c>
    </row>
    <row r="11" spans="1:24" ht="11.25" customHeight="1" x14ac:dyDescent="0.2"/>
    <row r="12" spans="1:24" s="7" customFormat="1" ht="15" x14ac:dyDescent="0.2">
      <c r="C12" s="7" t="s">
        <v>219</v>
      </c>
    </row>
    <row r="13" spans="1:24" ht="11.25" customHeight="1" x14ac:dyDescent="0.2"/>
    <row r="14" spans="1:24" ht="11.25" customHeight="1" x14ac:dyDescent="0.2">
      <c r="D14" s="129" t="s">
        <v>220</v>
      </c>
      <c r="E14" s="130" t="s">
        <v>221</v>
      </c>
      <c r="F14" s="130" t="s">
        <v>222</v>
      </c>
      <c r="G14" s="130" t="s">
        <v>223</v>
      </c>
      <c r="H14" s="130" t="s">
        <v>224</v>
      </c>
      <c r="I14" s="130" t="str">
        <f>Lookup!J$20</f>
        <v>FY13</v>
      </c>
      <c r="J14" s="131" t="str">
        <f>Lookup!K$20</f>
        <v>FY14</v>
      </c>
      <c r="K14" s="130" t="str">
        <f>Lookup!L$20</f>
        <v>FY15</v>
      </c>
      <c r="L14" s="130" t="str">
        <f>Lookup!M$20</f>
        <v>FY16</v>
      </c>
      <c r="M14" s="130" t="str">
        <f>Lookup!N$20</f>
        <v>FY17</v>
      </c>
      <c r="N14" s="132" t="str">
        <f>Lookup!O$20</f>
        <v>FY18</v>
      </c>
      <c r="O14" s="131" t="str">
        <f>Lookup!P$20</f>
        <v>FY19</v>
      </c>
      <c r="P14" s="130" t="str">
        <f>Lookup!Q$20</f>
        <v>FY20</v>
      </c>
      <c r="Q14" s="130" t="str">
        <f>Lookup!R$20</f>
        <v>FY21</v>
      </c>
      <c r="R14" s="130" t="str">
        <f>Lookup!S$20</f>
        <v>FY22</v>
      </c>
      <c r="S14" s="132" t="str">
        <f>Lookup!T$20</f>
        <v>FY23</v>
      </c>
      <c r="T14" s="131" t="str">
        <f>Lookup!U$20</f>
        <v>FY24</v>
      </c>
      <c r="U14" s="130" t="str">
        <f>Lookup!V$20</f>
        <v>FY25</v>
      </c>
      <c r="V14" s="130" t="str">
        <f>Lookup!W$20</f>
        <v>FY26</v>
      </c>
      <c r="W14" s="130" t="str">
        <f>Lookup!X$20</f>
        <v>FY27</v>
      </c>
      <c r="X14" s="132" t="str">
        <f>Lookup!Y$20</f>
        <v>FY28</v>
      </c>
    </row>
    <row r="15" spans="1:24" ht="11.25" customHeight="1" x14ac:dyDescent="0.2">
      <c r="D15" s="6" t="str">
        <f t="shared" ref="D15" si="2">IF(E15=Nominal,"","Real ")&amp;E15&amp;" ("&amp;F15&amp;") to "
&amp;IF(G15=Nominal,"","Real ")&amp;G15&amp;" ("&amp;H15&amp;")"</f>
        <v>Nominal (End Period) to Nominal (Mid Period)</v>
      </c>
      <c r="E15" s="138" t="s">
        <v>67</v>
      </c>
      <c r="F15" s="138" t="s">
        <v>90</v>
      </c>
      <c r="G15" s="138" t="s">
        <v>67</v>
      </c>
      <c r="H15" s="138" t="s">
        <v>91</v>
      </c>
      <c r="I15" s="137" cm="1">
        <f t="array" ref="I15">IFERROR(IF($G15=Nominal,I$10:I$10,INDEX($I$10:$X$10,,MATCH($G15,$I$7:$X$7,0)))
/IF($E15=Nominal,I$10,INDEX($I$10:$X$10,,MATCH($E15,$I$7:$X$7,0)))
*IF($H15=Mid_Period,1/(1+IF($G15=Nominal,I$9,INDEX($I$9:$X$9,,MATCH($G15,$I$7:$X$7,0))))^INDEX(Timing_Adj,MATCH($H15,Cash_Timing,0)),1)
*IF($F15=Mid_Period,(1+IF($E15=Nominal,I$9,INDEX($I$9:$X$9,,MATCH($E15,$I$7:$X$7,0))))^INDEX(Timing_Adj,MATCH($F15,Cash_Timing,0)),1),"N/A")</f>
        <v>0.98825790990917661</v>
      </c>
      <c r="J15" s="137" cm="1">
        <f t="array" ref="J15">IFERROR(IF($G15=Nominal,J$10:J$10,INDEX($I$10:$X$10,,MATCH($G15,$I$7:$X$7,0)))
/IF($E15=Nominal,J$10,INDEX($I$10:$X$10,,MATCH($E15,$I$7:$X$7,0)))
*IF($H15=Mid_Period,1/(1+IF($G15=Nominal,J$9,INDEX($I$9:$X$9,,MATCH($G15,$I$7:$X$7,0))))^INDEX(Timing_Adj,MATCH($H15,Cash_Timing,0)),1)
*IF($F15=Mid_Period,(1+IF($E15=Nominal,J$9,INDEX($I$9:$X$9,,MATCH($E15,$I$7:$X$7,0))))^INDEX(Timing_Adj,MATCH($F15,Cash_Timing,0)),1),"N/A")</f>
        <v>0.98525484065733759</v>
      </c>
      <c r="K15" s="137" cm="1">
        <f t="array" ref="K15">IFERROR(IF($G15=Nominal,K$10:K$10,INDEX($I$10:$X$10,,MATCH($G15,$I$7:$X$7,0)))
/IF($E15=Nominal,K$10,INDEX($I$10:$X$10,,MATCH($E15,$I$7:$X$7,0)))
*IF($H15=Mid_Period,1/(1+IF($G15=Nominal,K$9,INDEX($I$9:$X$9,,MATCH($G15,$I$7:$X$7,0))))^INDEX(Timing_Adj,MATCH($H15,Cash_Timing,0)),1)
*IF($F15=Mid_Period,(1+IF($E15=Nominal,K$9,INDEX($I$9:$X$9,,MATCH($E15,$I$7:$X$7,0))))^INDEX(Timing_Adj,MATCH($F15,Cash_Timing,0)),1),"N/A")</f>
        <v>0.99253024088426012</v>
      </c>
      <c r="L15" s="137" cm="1">
        <f t="array" ref="L15">IFERROR(IF($G15=Nominal,L$10:L$10,INDEX($I$10:$X$10,,MATCH($G15,$I$7:$X$7,0)))
/IF($E15=Nominal,L$10,INDEX($I$10:$X$10,,MATCH($E15,$I$7:$X$7,0)))
*IF($H15=Mid_Period,1/(1+IF($G15=Nominal,L$9,INDEX($I$9:$X$9,,MATCH($G15,$I$7:$X$7,0))))^INDEX(Timing_Adj,MATCH($H15,Cash_Timing,0)),1)
*IF($F15=Mid_Period,(1+IF($E15=Nominal,L$9,INDEX($I$9:$X$9,,MATCH($E15,$I$7:$X$7,0))))^INDEX(Timing_Adj,MATCH($F15,Cash_Timing,0)),1),"N/A")</f>
        <v>0.99492265355462151</v>
      </c>
      <c r="M15" s="137" cm="1">
        <f t="array" ref="M15">IFERROR(IF($G15=Nominal,M$10:M$10,INDEX($I$10:$X$10,,MATCH($G15,$I$7:$X$7,0)))
/IF($E15=Nominal,M$10,INDEX($I$10:$X$10,,MATCH($E15,$I$7:$X$7,0)))
*IF($H15=Mid_Period,1/(1+IF($G15=Nominal,M$9,INDEX($I$9:$X$9,,MATCH($G15,$I$7:$X$7,0))))^INDEX(Timing_Adj,MATCH($H15,Cash_Timing,0)),1)
*IF($F15=Mid_Period,(1+IF($E15=Nominal,M$9,INDEX($I$9:$X$9,,MATCH($E15,$I$7:$X$7,0))))^INDEX(Timing_Adj,MATCH($F15,Cash_Timing,0)),1),"N/A")</f>
        <v>0.99046948983706873</v>
      </c>
      <c r="N15" s="137" cm="1">
        <f t="array" ref="N15">IFERROR(IF($G15=Nominal,N$10:N$10,INDEX($I$10:$X$10,,MATCH($G15,$I$7:$X$7,0)))
/IF($E15=Nominal,N$10,INDEX($I$10:$X$10,,MATCH($E15,$I$7:$X$7,0)))
*IF($H15=Mid_Period,1/(1+IF($G15=Nominal,N$9,INDEX($I$9:$X$9,,MATCH($G15,$I$7:$X$7,0))))^INDEX(Timing_Adj,MATCH($H15,Cash_Timing,0)),1)
*IF($F15=Mid_Period,(1+IF($E15=Nominal,N$9,INDEX($I$9:$X$9,,MATCH($E15,$I$7:$X$7,0))))^INDEX(Timing_Adj,MATCH($F15,Cash_Timing,0)),1),"N/A")</f>
        <v>0.98977068945241808</v>
      </c>
      <c r="O15" s="137" cm="1">
        <f t="array" ref="O15">IFERROR(IF($G15=Nominal,O$10:O$10,INDEX($I$10:$X$10,,MATCH($G15,$I$7:$X$7,0)))
/IF($E15=Nominal,O$10,INDEX($I$10:$X$10,,MATCH($E15,$I$7:$X$7,0)))
*IF($H15=Mid_Period,1/(1+IF($G15=Nominal,O$9,INDEX($I$9:$X$9,,MATCH($G15,$I$7:$X$7,0))))^INDEX(Timing_Adj,MATCH($H15,Cash_Timing,0)),1)
*IF($F15=Mid_Period,(1+IF($E15=Nominal,O$9,INDEX($I$9:$X$9,,MATCH($E15,$I$7:$X$7,0))))^INDEX(Timing_Adj,MATCH($F15,Cash_Timing,0)),1),"N/A")</f>
        <v>0.99212930482437078</v>
      </c>
      <c r="P15" s="137" cm="1">
        <f t="array" ref="P15">IFERROR(IF($G15=Nominal,P$10:P$10,INDEX($I$10:$X$10,,MATCH($G15,$I$7:$X$7,0)))
/IF($E15=Nominal,P$10,INDEX($I$10:$X$10,,MATCH($E15,$I$7:$X$7,0)))
*IF($H15=Mid_Period,1/(1+IF($G15=Nominal,P$9,INDEX($I$9:$X$9,,MATCH($G15,$I$7:$X$7,0))))^INDEX(Timing_Adj,MATCH($H15,Cash_Timing,0)),1)
*IF($F15=Mid_Period,(1+IF($E15=Nominal,P$9,INDEX($I$9:$X$9,,MATCH($E15,$I$7:$X$7,0))))^INDEX(Timing_Adj,MATCH($F15,Cash_Timing,0)),1),"N/A")</f>
        <v>1.0017467262220046</v>
      </c>
      <c r="Q15" s="137" cm="1">
        <f t="array" ref="Q15">IFERROR(IF($G15=Nominal,Q$10:Q$10,INDEX($I$10:$X$10,,MATCH($G15,$I$7:$X$7,0)))
/IF($E15=Nominal,Q$10,INDEX($I$10:$X$10,,MATCH($E15,$I$7:$X$7,0)))
*IF($H15=Mid_Period,1/(1+IF($G15=Nominal,Q$9,INDEX($I$9:$X$9,,MATCH($G15,$I$7:$X$7,0))))^INDEX(Timing_Adj,MATCH($H15,Cash_Timing,0)),1)
*IF($F15=Mid_Period,(1+IF($E15=Nominal,Q$9,INDEX($I$9:$X$9,,MATCH($E15,$I$7:$X$7,0))))^INDEX(Timing_Adj,MATCH($F15,Cash_Timing,0)),1),"N/A")</f>
        <v>0.98130676292531649</v>
      </c>
      <c r="R15" s="137" cm="1">
        <f t="array" ref="R15">IFERROR(IF($G15=Nominal,R$10:R$10,INDEX($I$10:$X$10,,MATCH($G15,$I$7:$X$7,0)))
/IF($E15=Nominal,R$10,INDEX($I$10:$X$10,,MATCH($E15,$I$7:$X$7,0)))
*IF($H15=Mid_Period,1/(1+IF($G15=Nominal,R$9,INDEX($I$9:$X$9,,MATCH($G15,$I$7:$X$7,0))))^INDEX(Timing_Adj,MATCH($H15,Cash_Timing,0)),1)
*IF($F15=Mid_Period,(1+IF($E15=Nominal,R$9,INDEX($I$9:$X$9,,MATCH($E15,$I$7:$X$7,0))))^INDEX(Timing_Adj,MATCH($F15,Cash_Timing,0)),1),"N/A")</f>
        <v>0.98652724733398012</v>
      </c>
      <c r="S15" s="137" cm="1">
        <f t="array" ref="S15">IFERROR(IF($G15=Nominal,S$10:S$10,INDEX($I$10:$X$10,,MATCH($G15,$I$7:$X$7,0)))
/IF($E15=Nominal,S$10,INDEX($I$10:$X$10,,MATCH($E15,$I$7:$X$7,0)))
*IF($H15=Mid_Period,1/(1+IF($G15=Nominal,S$9,INDEX($I$9:$X$9,,MATCH($G15,$I$7:$X$7,0))))^INDEX(Timing_Adj,MATCH($H15,Cash_Timing,0)),1)
*IF($F15=Mid_Period,(1+IF($E15=Nominal,S$9,INDEX($I$9:$X$9,,MATCH($E15,$I$7:$X$7,0))))^INDEX(Timing_Adj,MATCH($F15,Cash_Timing,0)),1),"N/A")</f>
        <v>0.98893635286829751</v>
      </c>
      <c r="T15" s="137" cm="1">
        <f t="array" ref="T15">IFERROR(IF($G15=Nominal,T$10:T$10,INDEX($I$10:$X$10,,MATCH($G15,$I$7:$X$7,0)))
/IF($E15=Nominal,T$10,INDEX($I$10:$X$10,,MATCH($E15,$I$7:$X$7,0)))
*IF($H15=Mid_Period,1/(1+IF($G15=Nominal,T$9,INDEX($I$9:$X$9,,MATCH($G15,$I$7:$X$7,0))))^INDEX(Timing_Adj,MATCH($H15,Cash_Timing,0)),1)
*IF($F15=Mid_Period,(1+IF($E15=Nominal,T$9,INDEX($I$9:$X$9,,MATCH($E15,$I$7:$X$7,0))))^INDEX(Timing_Adj,MATCH($F15,Cash_Timing,0)),1),"N/A")</f>
        <v>0.98845334257001205</v>
      </c>
      <c r="U15" s="137" cm="1">
        <f t="array" ref="U15">IFERROR(IF($G15=Nominal,U$10:U$10,INDEX($I$10:$X$10,,MATCH($G15,$I$7:$X$7,0)))
/IF($E15=Nominal,U$10,INDEX($I$10:$X$10,,MATCH($E15,$I$7:$X$7,0)))
*IF($H15=Mid_Period,1/(1+IF($G15=Nominal,U$9,INDEX($I$9:$X$9,,MATCH($G15,$I$7:$X$7,0))))^INDEX(Timing_Adj,MATCH($H15,Cash_Timing,0)),1)
*IF($F15=Mid_Period,(1+IF($E15=Nominal,U$9,INDEX($I$9:$X$9,,MATCH($E15,$I$7:$X$7,0))))^INDEX(Timing_Adj,MATCH($F15,Cash_Timing,0)),1),"N/A")</f>
        <v>0.98845334257001205</v>
      </c>
      <c r="V15" s="137" cm="1">
        <f t="array" ref="V15">IFERROR(IF($G15=Nominal,V$10:V$10,INDEX($I$10:$X$10,,MATCH($G15,$I$7:$X$7,0)))
/IF($E15=Nominal,V$10,INDEX($I$10:$X$10,,MATCH($E15,$I$7:$X$7,0)))
*IF($H15=Mid_Period,1/(1+IF($G15=Nominal,V$9,INDEX($I$9:$X$9,,MATCH($G15,$I$7:$X$7,0))))^INDEX(Timing_Adj,MATCH($H15,Cash_Timing,0)),1)
*IF($F15=Mid_Period,(1+IF($E15=Nominal,V$9,INDEX($I$9:$X$9,,MATCH($E15,$I$7:$X$7,0))))^INDEX(Timing_Adj,MATCH($F15,Cash_Timing,0)),1),"N/A")</f>
        <v>0.98845334257001205</v>
      </c>
      <c r="W15" s="137" cm="1">
        <f t="array" ref="W15">IFERROR(IF($G15=Nominal,W$10:W$10,INDEX($I$10:$X$10,,MATCH($G15,$I$7:$X$7,0)))
/IF($E15=Nominal,W$10,INDEX($I$10:$X$10,,MATCH($E15,$I$7:$X$7,0)))
*IF($H15=Mid_Period,1/(1+IF($G15=Nominal,W$9,INDEX($I$9:$X$9,,MATCH($G15,$I$7:$X$7,0))))^INDEX(Timing_Adj,MATCH($H15,Cash_Timing,0)),1)
*IF($F15=Mid_Period,(1+IF($E15=Nominal,W$9,INDEX($I$9:$X$9,,MATCH($E15,$I$7:$X$7,0))))^INDEX(Timing_Adj,MATCH($F15,Cash_Timing,0)),1),"N/A")</f>
        <v>0.98845334257001205</v>
      </c>
      <c r="X15" s="137" cm="1">
        <f t="array" ref="X15">IFERROR(IF($G15=Nominal,X$10:X$10,INDEX($I$10:$X$10,,MATCH($G15,$I$7:$X$7,0)))
/IF($E15=Nominal,X$10,INDEX($I$10:$X$10,,MATCH($E15,$I$7:$X$7,0)))
*IF($H15=Mid_Period,1/(1+IF($G15=Nominal,X$9,INDEX($I$9:$X$9,,MATCH($G15,$I$7:$X$7,0))))^INDEX(Timing_Adj,MATCH($H15,Cash_Timing,0)),1)
*IF($F15=Mid_Period,(1+IF($E15=Nominal,X$9,INDEX($I$9:$X$9,,MATCH($E15,$I$7:$X$7,0))))^INDEX(Timing_Adj,MATCH($F15,Cash_Timing,0)),1),"N/A")</f>
        <v>0.98845334257001205</v>
      </c>
    </row>
    <row r="16" spans="1:24" ht="11.25" customHeight="1" x14ac:dyDescent="0.2">
      <c r="D16" s="6" t="str">
        <f t="shared" ref="D16" si="3">IF(E16=Nominal,"","Real ")&amp;E16&amp;" ("&amp;F16&amp;") to "
&amp;IF(G16=Nominal,"","Real ")&amp;G16&amp;" ("&amp;H16&amp;")"</f>
        <v>Nominal (Mid Period) to Real 2023 (End Period)</v>
      </c>
      <c r="E16" s="139" t="s">
        <v>67</v>
      </c>
      <c r="F16" s="139" t="s">
        <v>91</v>
      </c>
      <c r="G16" s="139">
        <v>2023</v>
      </c>
      <c r="H16" s="139" t="s">
        <v>90</v>
      </c>
      <c r="I16" s="137" cm="1">
        <f t="array" ref="I16">IFERROR(IF($G16=Nominal,I$10:I$10,INDEX($I$10:$X$10,,MATCH($G16,$I$7:$X$7,0)))
/IF($E16=Nominal,I$10,INDEX($I$10:$X$10,,MATCH($E16,$I$7:$X$7,0)))
*IF($H16=Mid_Period,1/(1+IF($G16=Nominal,I$9,INDEX($I$9:$X$9,,MATCH($G16,$I$7:$X$7,0))))^INDEX(Timing_Adj,MATCH($H16,Cash_Timing,0)),1)
*IF($F16=Mid_Period,(1+IF($E16=Nominal,I$9,INDEX($I$9:$X$9,,MATCH($E16,$I$7:$X$7,0))))^INDEX(Timing_Adj,MATCH($F16,Cash_Timing,0)),1),"N/A")</f>
        <v>1.2285651001034201</v>
      </c>
      <c r="J16" s="137" cm="1">
        <f t="array" ref="J16">IFERROR(IF($G16=Nominal,J$10:J$10,INDEX($I$10:$X$10,,MATCH($G16,$I$7:$X$7,0)))
/IF($E16=Nominal,J$10,INDEX($I$10:$X$10,,MATCH($E16,$I$7:$X$7,0)))
*IF($H16=Mid_Period,1/(1+IF($G16=Nominal,J$9,INDEX($I$9:$X$9,,MATCH($G16,$I$7:$X$7,0))))^INDEX(Timing_Adj,MATCH($H16,Cash_Timing,0)),1)
*IF($F16=Mid_Period,(1+IF($E16=Nominal,J$9,INDEX($I$9:$X$9,,MATCH($E16,$I$7:$X$7,0))))^INDEX(Timing_Adj,MATCH($F16,Cash_Timing,0)),1),"N/A")</f>
        <v>1.1962365023715558</v>
      </c>
      <c r="K16" s="137" cm="1">
        <f t="array" ref="K16">IFERROR(IF($G16=Nominal,K$10:K$10,INDEX($I$10:$X$10,,MATCH($G16,$I$7:$X$7,0)))
/IF($E16=Nominal,K$10,INDEX($I$10:$X$10,,MATCH($E16,$I$7:$X$7,0)))
*IF($H16=Mid_Period,1/(1+IF($G16=Nominal,K$9,INDEX($I$9:$X$9,,MATCH($G16,$I$7:$X$7,0))))^INDEX(Timing_Adj,MATCH($H16,Cash_Timing,0)),1)
*IF($F16=Mid_Period,(1+IF($E16=Nominal,K$9,INDEX($I$9:$X$9,,MATCH($E16,$I$7:$X$7,0))))^INDEX(Timing_Adj,MATCH($F16,Cash_Timing,0)),1),"N/A")</f>
        <v>1.1697939628383798</v>
      </c>
      <c r="L16" s="137" cm="1">
        <f t="array" ref="L16">IFERROR(IF($G16=Nominal,L$10:L$10,INDEX($I$10:$X$10,,MATCH($G16,$I$7:$X$7,0)))
/IF($E16=Nominal,L$10,INDEX($I$10:$X$10,,MATCH($E16,$I$7:$X$7,0)))
*IF($H16=Mid_Period,1/(1+IF($G16=Nominal,L$9,INDEX($I$9:$X$9,,MATCH($G16,$I$7:$X$7,0))))^INDEX(Timing_Adj,MATCH($H16,Cash_Timing,0)),1)
*IF($F16=Mid_Period,(1+IF($E16=Nominal,L$9,INDEX($I$9:$X$9,,MATCH($E16,$I$7:$X$7,0))))^INDEX(Timing_Adj,MATCH($F16,Cash_Timing,0)),1),"N/A")</f>
        <v>1.1551608007568344</v>
      </c>
      <c r="M16" s="137" cm="1">
        <f t="array" ref="M16">IFERROR(IF($G16=Nominal,M$10:M$10,INDEX($I$10:$X$10,,MATCH($G16,$I$7:$X$7,0)))
/IF($E16=Nominal,M$10,INDEX($I$10:$X$10,,MATCH($E16,$I$7:$X$7,0)))
*IF($H16=Mid_Period,1/(1+IF($G16=Nominal,M$9,INDEX($I$9:$X$9,,MATCH($G16,$I$7:$X$7,0))))^INDEX(Timing_Adj,MATCH($H16,Cash_Timing,0)),1)
*IF($F16=Mid_Period,(1+IF($E16=Nominal,M$9,INDEX($I$9:$X$9,,MATCH($E16,$I$7:$X$7,0))))^INDEX(Timing_Adj,MATCH($F16,Cash_Timing,0)),1),"N/A")</f>
        <v>1.1383422753066312</v>
      </c>
      <c r="N16" s="137" cm="1">
        <f t="array" ref="N16">IFERROR(IF($G16=Nominal,N$10:N$10,INDEX($I$10:$X$10,,MATCH($G16,$I$7:$X$7,0)))
/IF($E16=Nominal,N$10,INDEX($I$10:$X$10,,MATCH($E16,$I$7:$X$7,0)))
*IF($H16=Mid_Period,1/(1+IF($G16=Nominal,N$9,INDEX($I$9:$X$9,,MATCH($G16,$I$7:$X$7,0))))^INDEX(Timing_Adj,MATCH($H16,Cash_Timing,0)),1)
*IF($F16=Mid_Period,(1+IF($E16=Nominal,N$9,INDEX($I$9:$X$9,,MATCH($E16,$I$7:$X$7,0))))^INDEX(Timing_Adj,MATCH($F16,Cash_Timing,0)),1),"N/A")</f>
        <v>1.1159598136517574</v>
      </c>
      <c r="O16" s="137" cm="1">
        <f t="array" ref="O16">IFERROR(IF($G16=Nominal,O$10:O$10,INDEX($I$10:$X$10,,MATCH($G16,$I$7:$X$7,0)))
/IF($E16=Nominal,O$10,INDEX($I$10:$X$10,,MATCH($E16,$I$7:$X$7,0)))
*IF($H16=Mid_Period,1/(1+IF($G16=Nominal,O$9,INDEX($I$9:$X$9,,MATCH($G16,$I$7:$X$7,0))))^INDEX(Timing_Adj,MATCH($H16,Cash_Timing,0)),1)
*IF($F16=Mid_Period,(1+IF($E16=Nominal,O$9,INDEX($I$9:$X$9,,MATCH($E16,$I$7:$X$7,0))))^INDEX(Timing_Adj,MATCH($F16,Cash_Timing,0)),1),"N/A")</f>
        <v>1.0958507825545696</v>
      </c>
      <c r="P16" s="137" cm="1">
        <f t="array" ref="P16">IFERROR(IF($G16=Nominal,P$10:P$10,INDEX($I$10:$X$10,,MATCH($G16,$I$7:$X$7,0)))
/IF($E16=Nominal,P$10,INDEX($I$10:$X$10,,MATCH($E16,$I$7:$X$7,0)))
*IF($H16=Mid_Period,1/(1+IF($G16=Nominal,P$9,INDEX($I$9:$X$9,,MATCH($G16,$I$7:$X$7,0))))^INDEX(Timing_Adj,MATCH($H16,Cash_Timing,0)),1)
*IF($F16=Mid_Period,(1+IF($E16=Nominal,P$9,INDEX($I$9:$X$9,,MATCH($E16,$I$7:$X$7,0))))^INDEX(Timing_Adj,MATCH($F16,Cash_Timing,0)),1),"N/A")</f>
        <v>1.089124760683019</v>
      </c>
      <c r="Q16" s="137" cm="1">
        <f t="array" ref="Q16">IFERROR(IF($G16=Nominal,Q$10:Q$10,INDEX($I$10:$X$10,,MATCH($G16,$I$7:$X$7,0)))
/IF($E16=Nominal,Q$10,INDEX($I$10:$X$10,,MATCH($E16,$I$7:$X$7,0)))
*IF($H16=Mid_Period,1/(1+IF($G16=Nominal,Q$9,INDEX($I$9:$X$9,,MATCH($G16,$I$7:$X$7,0))))^INDEX(Timing_Adj,MATCH($H16,Cash_Timing,0)),1)
*IF($F16=Mid_Period,(1+IF($E16=Nominal,Q$9,INDEX($I$9:$X$9,,MATCH($E16,$I$7:$X$7,0))))^INDEX(Timing_Adj,MATCH($F16,Cash_Timing,0)),1),"N/A")</f>
        <v>1.0706323340400321</v>
      </c>
      <c r="R16" s="137" cm="1">
        <f t="array" ref="R16">IFERROR(IF($G16=Nominal,R$10:R$10,INDEX($I$10:$X$10,,MATCH($G16,$I$7:$X$7,0)))
/IF($E16=Nominal,R$10,INDEX($I$10:$X$10,,MATCH($E16,$I$7:$X$7,0)))
*IF($H16=Mid_Period,1/(1+IF($G16=Nominal,R$9,INDEX($I$9:$X$9,,MATCH($G16,$I$7:$X$7,0))))^INDEX(Timing_Adj,MATCH($H16,Cash_Timing,0)),1)
*IF($F16=Mid_Period,(1+IF($E16=Nominal,R$9,INDEX($I$9:$X$9,,MATCH($E16,$I$7:$X$7,0))))^INDEX(Timing_Adj,MATCH($F16,Cash_Timing,0)),1),"N/A")</f>
        <v>1.0364640234349671</v>
      </c>
      <c r="S16" s="137" cm="1">
        <f t="array" ref="S16">IFERROR(IF($G16=Nominal,S$10:S$10,INDEX($I$10:$X$10,,MATCH($G16,$I$7:$X$7,0)))
/IF($E16=Nominal,S$10,INDEX($I$10:$X$10,,MATCH($E16,$I$7:$X$7,0)))
*IF($H16=Mid_Period,1/(1+IF($G16=Nominal,S$9,INDEX($I$9:$X$9,,MATCH($G16,$I$7:$X$7,0))))^INDEX(Timing_Adj,MATCH($H16,Cash_Timing,0)),1)
*IF($F16=Mid_Period,(1+IF($E16=Nominal,S$9,INDEX($I$9:$X$9,,MATCH($E16,$I$7:$X$7,0))))^INDEX(Timing_Adj,MATCH($F16,Cash_Timing,0)),1),"N/A")</f>
        <v>1.0111874208078342</v>
      </c>
      <c r="T16" s="137" cm="1">
        <f t="array" ref="T16">IFERROR(IF($G16=Nominal,T$10:T$10,INDEX($I$10:$X$10,,MATCH($G16,$I$7:$X$7,0)))
/IF($E16=Nominal,T$10,INDEX($I$10:$X$10,,MATCH($E16,$I$7:$X$7,0)))
*IF($H16=Mid_Period,1/(1+IF($G16=Nominal,T$9,INDEX($I$9:$X$9,,MATCH($G16,$I$7:$X$7,0))))^INDEX(Timing_Adj,MATCH($H16,Cash_Timing,0)),1)
*IF($F16=Mid_Period,(1+IF($E16=Nominal,T$9,INDEX($I$9:$X$9,,MATCH($E16,$I$7:$X$7,0))))^INDEX(Timing_Adj,MATCH($F16,Cash_Timing,0)),1),"N/A")</f>
        <v>0.98845334257001205</v>
      </c>
      <c r="U16" s="137" cm="1">
        <f t="array" ref="U16">IFERROR(IF($G16=Nominal,U$10:U$10,INDEX($I$10:$X$10,,MATCH($G16,$I$7:$X$7,0)))
/IF($E16=Nominal,U$10,INDEX($I$10:$X$10,,MATCH($E16,$I$7:$X$7,0)))
*IF($H16=Mid_Period,1/(1+IF($G16=Nominal,U$9,INDEX($I$9:$X$9,,MATCH($G16,$I$7:$X$7,0))))^INDEX(Timing_Adj,MATCH($H16,Cash_Timing,0)),1)
*IF($F16=Mid_Period,(1+IF($E16=Nominal,U$9,INDEX($I$9:$X$9,,MATCH($E16,$I$7:$X$7,0))))^INDEX(Timing_Adj,MATCH($F16,Cash_Timing,0)),1),"N/A")</f>
        <v>0.96575846414191224</v>
      </c>
      <c r="V16" s="137" cm="1">
        <f t="array" ref="V16">IFERROR(IF($G16=Nominal,V$10:V$10,INDEX($I$10:$X$10,,MATCH($G16,$I$7:$X$7,0)))
/IF($E16=Nominal,V$10,INDEX($I$10:$X$10,,MATCH($E16,$I$7:$X$7,0)))
*IF($H16=Mid_Period,1/(1+IF($G16=Nominal,V$9,INDEX($I$9:$X$9,,MATCH($G16,$I$7:$X$7,0))))^INDEX(Timing_Adj,MATCH($H16,Cash_Timing,0)),1)
*IF($F16=Mid_Period,(1+IF($E16=Nominal,V$9,INDEX($I$9:$X$9,,MATCH($E16,$I$7:$X$7,0))))^INDEX(Timing_Adj,MATCH($F16,Cash_Timing,0)),1),"N/A")</f>
        <v>0.94358465988563622</v>
      </c>
      <c r="W16" s="137" cm="1">
        <f t="array" ref="W16">IFERROR(IF($G16=Nominal,W$10:W$10,INDEX($I$10:$X$10,,MATCH($G16,$I$7:$X$7,0)))
/IF($E16=Nominal,W$10,INDEX($I$10:$X$10,,MATCH($E16,$I$7:$X$7,0)))
*IF($H16=Mid_Period,1/(1+IF($G16=Nominal,W$9,INDEX($I$9:$X$9,,MATCH($G16,$I$7:$X$7,0))))^INDEX(Timing_Adj,MATCH($H16,Cash_Timing,0)),1)
*IF($F16=Mid_Period,(1+IF($E16=Nominal,W$9,INDEX($I$9:$X$9,,MATCH($E16,$I$7:$X$7,0))))^INDEX(Timing_Adj,MATCH($F16,Cash_Timing,0)),1),"N/A")</f>
        <v>0.9219199659436379</v>
      </c>
      <c r="X16" s="137" cm="1">
        <f t="array" ref="X16">IFERROR(IF($G16=Nominal,X$10:X$10,INDEX($I$10:$X$10,,MATCH($G16,$I$7:$X$7,0)))
/IF($E16=Nominal,X$10,INDEX($I$10:$X$10,,MATCH($E16,$I$7:$X$7,0)))
*IF($H16=Mid_Period,1/(1+IF($G16=Nominal,X$9,INDEX($I$9:$X$9,,MATCH($G16,$I$7:$X$7,0))))^INDEX(Timing_Adj,MATCH($H16,Cash_Timing,0)),1)
*IF($F16=Mid_Period,(1+IF($E16=Nominal,X$9,INDEX($I$9:$X$9,,MATCH($E16,$I$7:$X$7,0))))^INDEX(Timing_Adj,MATCH($F16,Cash_Timing,0)),1),"N/A")</f>
        <v>0.90075269314841555</v>
      </c>
    </row>
    <row r="17" spans="2:24" ht="11.25" customHeight="1" x14ac:dyDescent="0.2">
      <c r="D17" s="6" t="str">
        <f t="shared" ref="D17" si="4">IF(E17=Nominal,"","Real ")&amp;E17&amp;" ("&amp;F17&amp;") to "
&amp;IF(G17=Nominal,"","Real ")&amp;G17&amp;" ("&amp;H17&amp;")"</f>
        <v>Nominal (End Period) to Real 2023 (End Period)</v>
      </c>
      <c r="E17" s="139" t="s">
        <v>67</v>
      </c>
      <c r="F17" s="139" t="s">
        <v>90</v>
      </c>
      <c r="G17" s="139">
        <v>2023</v>
      </c>
      <c r="H17" s="139" t="s">
        <v>90</v>
      </c>
      <c r="I17" s="137" cm="1">
        <f t="array" ref="I17">IFERROR(IF($G17=Nominal,I$10:I$10,INDEX($I$10:$X$10,,MATCH($G17,$I$7:$X$7,0)))
/IF($E17=Nominal,I$10,INDEX($I$10:$X$10,,MATCH($E17,$I$7:$X$7,0)))
*IF($H17=Mid_Period,1/(1+IF($G17=Nominal,I$9,INDEX($I$9:$X$9,,MATCH($G17,$I$7:$X$7,0))))^INDEX(Timing_Adj,MATCH($H17,Cash_Timing,0)),1)
*IF($F17=Mid_Period,(1+IF($E17=Nominal,I$9,INDEX($I$9:$X$9,,MATCH($E17,$I$7:$X$7,0))))^INDEX(Timing_Adj,MATCH($F17,Cash_Timing,0)),1),"N/A")</f>
        <v>1.2141391780155644</v>
      </c>
      <c r="J17" s="137" cm="1">
        <f t="array" ref="J17">IFERROR(IF($G17=Nominal,J$10:J$10,INDEX($I$10:$X$10,,MATCH($G17,$I$7:$X$7,0)))
/IF($E17=Nominal,J$10,INDEX($I$10:$X$10,,MATCH($E17,$I$7:$X$7,0)))
*IF($H17=Mid_Period,1/(1+IF($G17=Nominal,J$9,INDEX($I$9:$X$9,,MATCH($G17,$I$7:$X$7,0))))^INDEX(Timing_Adj,MATCH($H17,Cash_Timing,0)),1)
*IF($F17=Mid_Period,(1+IF($E17=Nominal,J$9,INDEX($I$9:$X$9,,MATCH($E17,$I$7:$X$7,0))))^INDEX(Timing_Adj,MATCH($F17,Cash_Timing,0)),1),"N/A")</f>
        <v>1.178597804532578</v>
      </c>
      <c r="K17" s="137" cm="1">
        <f t="array" ref="K17">IFERROR(IF($G17=Nominal,K$10:K$10,INDEX($I$10:$X$10,,MATCH($G17,$I$7:$X$7,0)))
/IF($E17=Nominal,K$10,INDEX($I$10:$X$10,,MATCH($E17,$I$7:$X$7,0)))
*IF($H17=Mid_Period,1/(1+IF($G17=Nominal,K$9,INDEX($I$9:$X$9,,MATCH($G17,$I$7:$X$7,0))))^INDEX(Timing_Adj,MATCH($H17,Cash_Timing,0)),1)
*IF($F17=Mid_Period,(1+IF($E17=Nominal,K$9,INDEX($I$9:$X$9,,MATCH($E17,$I$7:$X$7,0))))^INDEX(Timing_Adj,MATCH($F17,Cash_Timing,0)),1),"N/A")</f>
        <v>1.1610558837209304</v>
      </c>
      <c r="L17" s="137" cm="1">
        <f t="array" ref="L17">IFERROR(IF($G17=Nominal,L$10:L$10,INDEX($I$10:$X$10,,MATCH($G17,$I$7:$X$7,0)))
/IF($E17=Nominal,L$10,INDEX($I$10:$X$10,,MATCH($E17,$I$7:$X$7,0)))
*IF($H17=Mid_Period,1/(1+IF($G17=Nominal,L$9,INDEX($I$9:$X$9,,MATCH($G17,$I$7:$X$7,0))))^INDEX(Timing_Adj,MATCH($H17,Cash_Timing,0)),1)
*IF($F17=Mid_Period,(1+IF($E17=Nominal,L$9,INDEX($I$9:$X$9,,MATCH($E17,$I$7:$X$7,0))))^INDEX(Timing_Adj,MATCH($F17,Cash_Timing,0)),1),"N/A")</f>
        <v>1.1492956491712709</v>
      </c>
      <c r="M17" s="137" cm="1">
        <f t="array" ref="M17">IFERROR(IF($G17=Nominal,M$10:M$10,INDEX($I$10:$X$10,,MATCH($G17,$I$7:$X$7,0)))
/IF($E17=Nominal,M$10,INDEX($I$10:$X$10,,MATCH($E17,$I$7:$X$7,0)))
*IF($H17=Mid_Period,1/(1+IF($G17=Nominal,M$9,INDEX($I$9:$X$9,,MATCH($G17,$I$7:$X$7,0))))^INDEX(Timing_Adj,MATCH($H17,Cash_Timing,0)),1)
*IF($F17=Mid_Period,(1+IF($E17=Nominal,M$9,INDEX($I$9:$X$9,,MATCH($E17,$I$7:$X$7,0))))^INDEX(Timing_Adj,MATCH($F17,Cash_Timing,0)),1),"N/A")</f>
        <v>1.1274932926829271</v>
      </c>
      <c r="N17" s="137" cm="1">
        <f t="array" ref="N17">IFERROR(IF($G17=Nominal,N$10:N$10,INDEX($I$10:$X$10,,MATCH($G17,$I$7:$X$7,0)))
/IF($E17=Nominal,N$10,INDEX($I$10:$X$10,,MATCH($E17,$I$7:$X$7,0)))
*IF($H17=Mid_Period,1/(1+IF($G17=Nominal,N$9,INDEX($I$9:$X$9,,MATCH($G17,$I$7:$X$7,0))))^INDEX(Timing_Adj,MATCH($H17,Cash_Timing,0)),1)
*IF($F17=Mid_Period,(1+IF($E17=Nominal,N$9,INDEX($I$9:$X$9,,MATCH($E17,$I$7:$X$7,0))))^INDEX(Timing_Adj,MATCH($F17,Cash_Timing,0)),1),"N/A")</f>
        <v>1.1045443141592921</v>
      </c>
      <c r="O17" s="137" cm="1">
        <f t="array" ref="O17">IFERROR(IF($G17=Nominal,O$10:O$10,INDEX($I$10:$X$10,,MATCH($G17,$I$7:$X$7,0)))
/IF($E17=Nominal,O$10,INDEX($I$10:$X$10,,MATCH($E17,$I$7:$X$7,0)))
*IF($H17=Mid_Period,1/(1+IF($G17=Nominal,O$9,INDEX($I$9:$X$9,,MATCH($G17,$I$7:$X$7,0))))^INDEX(Timing_Adj,MATCH($H17,Cash_Timing,0)),1)
*IF($F17=Mid_Period,(1+IF($E17=Nominal,O$9,INDEX($I$9:$X$9,,MATCH($E17,$I$7:$X$7,0))))^INDEX(Timing_Adj,MATCH($F17,Cash_Timing,0)),1),"N/A")</f>
        <v>1.0872256750871079</v>
      </c>
      <c r="P17" s="137" cm="1">
        <f t="array" ref="P17">IFERROR(IF($G17=Nominal,P$10:P$10,INDEX($I$10:$X$10,,MATCH($G17,$I$7:$X$7,0)))
/IF($E17=Nominal,P$10,INDEX($I$10:$X$10,,MATCH($E17,$I$7:$X$7,0)))
*IF($H17=Mid_Period,1/(1+IF($G17=Nominal,P$9,INDEX($I$9:$X$9,,MATCH($G17,$I$7:$X$7,0))))^INDEX(Timing_Adj,MATCH($H17,Cash_Timing,0)),1)
*IF($F17=Mid_Period,(1+IF($E17=Nominal,P$9,INDEX($I$9:$X$9,,MATCH($E17,$I$7:$X$7,0))))^INDEX(Timing_Adj,MATCH($F17,Cash_Timing,0)),1),"N/A")</f>
        <v>1.0910271634615383</v>
      </c>
      <c r="Q17" s="137" cm="1">
        <f t="array" ref="Q17">IFERROR(IF($G17=Nominal,Q$10:Q$10,INDEX($I$10:$X$10,,MATCH($G17,$I$7:$X$7,0)))
/IF($E17=Nominal,Q$10,INDEX($I$10:$X$10,,MATCH($E17,$I$7:$X$7,0)))
*IF($H17=Mid_Period,1/(1+IF($G17=Nominal,Q$9,INDEX($I$9:$X$9,,MATCH($G17,$I$7:$X$7,0))))^INDEX(Timing_Adj,MATCH($H17,Cash_Timing,0)),1)
*IF($F17=Mid_Period,(1+IF($E17=Nominal,Q$9,INDEX($I$9:$X$9,,MATCH($E17,$I$7:$X$7,0))))^INDEX(Timing_Adj,MATCH($F17,Cash_Timing,0)),1),"N/A")</f>
        <v>1.0506187499999999</v>
      </c>
      <c r="R17" s="137" cm="1">
        <f t="array" ref="R17">IFERROR(IF($G17=Nominal,R$10:R$10,INDEX($I$10:$X$10,,MATCH($G17,$I$7:$X$7,0)))
/IF($E17=Nominal,R$10,INDEX($I$10:$X$10,,MATCH($E17,$I$7:$X$7,0)))
*IF($H17=Mid_Period,1/(1+IF($G17=Nominal,R$9,INDEX($I$9:$X$9,,MATCH($G17,$I$7:$X$7,0))))^INDEX(Timing_Adj,MATCH($H17,Cash_Timing,0)),1)
*IF($F17=Mid_Period,(1+IF($E17=Nominal,R$9,INDEX($I$9:$X$9,,MATCH($E17,$I$7:$X$7,0))))^INDEX(Timing_Adj,MATCH($F17,Cash_Timing,0)),1),"N/A")</f>
        <v>1.0225</v>
      </c>
      <c r="S17" s="137" cm="1">
        <f t="array" ref="S17">IFERROR(IF($G17=Nominal,S$10:S$10,INDEX($I$10:$X$10,,MATCH($G17,$I$7:$X$7,0)))
/IF($E17=Nominal,S$10,INDEX($I$10:$X$10,,MATCH($E17,$I$7:$X$7,0)))
*IF($H17=Mid_Period,1/(1+IF($G17=Nominal,S$9,INDEX($I$9:$X$9,,MATCH($G17,$I$7:$X$7,0))))^INDEX(Timing_Adj,MATCH($H17,Cash_Timing,0)),1)
*IF($F17=Mid_Period,(1+IF($E17=Nominal,S$9,INDEX($I$9:$X$9,,MATCH($E17,$I$7:$X$7,0))))^INDEX(Timing_Adj,MATCH($F17,Cash_Timing,0)),1),"N/A")</f>
        <v>1</v>
      </c>
      <c r="T17" s="137" cm="1">
        <f t="array" ref="T17">IFERROR(IF($G17=Nominal,T$10:T$10,INDEX($I$10:$X$10,,MATCH($G17,$I$7:$X$7,0)))
/IF($E17=Nominal,T$10,INDEX($I$10:$X$10,,MATCH($E17,$I$7:$X$7,0)))
*IF($H17=Mid_Period,1/(1+IF($G17=Nominal,T$9,INDEX($I$9:$X$9,,MATCH($G17,$I$7:$X$7,0))))^INDEX(Timing_Adj,MATCH($H17,Cash_Timing,0)),1)
*IF($F17=Mid_Period,(1+IF($E17=Nominal,T$9,INDEX($I$9:$X$9,,MATCH($E17,$I$7:$X$7,0))))^INDEX(Timing_Adj,MATCH($F17,Cash_Timing,0)),1),"N/A")</f>
        <v>0.97704001043782962</v>
      </c>
      <c r="U17" s="137" cm="1">
        <f t="array" ref="U17">IFERROR(IF($G17=Nominal,U$10:U$10,INDEX($I$10:$X$10,,MATCH($G17,$I$7:$X$7,0)))
/IF($E17=Nominal,U$10,INDEX($I$10:$X$10,,MATCH($E17,$I$7:$X$7,0)))
*IF($H17=Mid_Period,1/(1+IF($G17=Nominal,U$9,INDEX($I$9:$X$9,,MATCH($G17,$I$7:$X$7,0))))^INDEX(Timing_Adj,MATCH($H17,Cash_Timing,0)),1)
*IF($F17=Mid_Period,(1+IF($E17=Nominal,U$9,INDEX($I$9:$X$9,,MATCH($E17,$I$7:$X$7,0))))^INDEX(Timing_Adj,MATCH($F17,Cash_Timing,0)),1),"N/A")</f>
        <v>0.9546071819963543</v>
      </c>
      <c r="V17" s="137" cm="1">
        <f t="array" ref="V17">IFERROR(IF($G17=Nominal,V$10:V$10,INDEX($I$10:$X$10,,MATCH($G17,$I$7:$X$7,0)))
/IF($E17=Nominal,V$10,INDEX($I$10:$X$10,,MATCH($E17,$I$7:$X$7,0)))
*IF($H17=Mid_Period,1/(1+IF($G17=Nominal,V$9,INDEX($I$9:$X$9,,MATCH($G17,$I$7:$X$7,0))))^INDEX(Timing_Adj,MATCH($H17,Cash_Timing,0)),1)
*IF($F17=Mid_Period,(1+IF($E17=Nominal,V$9,INDEX($I$9:$X$9,,MATCH($E17,$I$7:$X$7,0))))^INDEX(Timing_Adj,MATCH($F17,Cash_Timing,0)),1),"N/A")</f>
        <v>0.93268941106174508</v>
      </c>
      <c r="W17" s="137" cm="1">
        <f t="array" ref="W17">IFERROR(IF($G17=Nominal,W$10:W$10,INDEX($I$10:$X$10,,MATCH($G17,$I$7:$X$7,0)))
/IF($E17=Nominal,W$10,INDEX($I$10:$X$10,,MATCH($E17,$I$7:$X$7,0)))
*IF($H17=Mid_Period,1/(1+IF($G17=Nominal,W$9,INDEX($I$9:$X$9,,MATCH($G17,$I$7:$X$7,0))))^INDEX(Timing_Adj,MATCH($H17,Cash_Timing,0)),1)
*IF($F17=Mid_Period,(1+IF($E17=Nominal,W$9,INDEX($I$9:$X$9,,MATCH($E17,$I$7:$X$7,0))))^INDEX(Timing_Adj,MATCH($F17,Cash_Timing,0)),1),"N/A")</f>
        <v>0.91127487191902057</v>
      </c>
      <c r="X17" s="137" cm="1">
        <f t="array" ref="X17">IFERROR(IF($G17=Nominal,X$10:X$10,INDEX($I$10:$X$10,,MATCH($G17,$I$7:$X$7,0)))
/IF($E17=Nominal,X$10,INDEX($I$10:$X$10,,MATCH($E17,$I$7:$X$7,0)))
*IF($H17=Mid_Period,1/(1+IF($G17=Nominal,X$9,INDEX($I$9:$X$9,,MATCH($G17,$I$7:$X$7,0))))^INDEX(Timing_Adj,MATCH($H17,Cash_Timing,0)),1)
*IF($F17=Mid_Period,(1+IF($E17=Nominal,X$9,INDEX($I$9:$X$9,,MATCH($E17,$I$7:$X$7,0))))^INDEX(Timing_Adj,MATCH($F17,Cash_Timing,0)),1),"N/A")</f>
        <v>0.8903520103714917</v>
      </c>
    </row>
    <row r="18" spans="2:24" ht="11.25" customHeight="1" x14ac:dyDescent="0.2">
      <c r="D18" s="6" t="str">
        <f t="shared" ref="D18" si="5">IF(E18=Nominal,"","Real ")&amp;E18&amp;" ("&amp;F18&amp;") to "
&amp;IF(G18=Nominal,"","Real ")&amp;G18&amp;" ("&amp;H18&amp;")"</f>
        <v>Real 2014 (End Period) to Real 2023 (End Period)</v>
      </c>
      <c r="E18" s="139">
        <v>2014</v>
      </c>
      <c r="F18" s="139" t="s">
        <v>90</v>
      </c>
      <c r="G18" s="139">
        <v>2023</v>
      </c>
      <c r="H18" s="139" t="s">
        <v>90</v>
      </c>
      <c r="I18" s="137" cm="1">
        <f t="array" ref="I18">IFERROR(IF($G18=Nominal,I$10:I$10,INDEX($I$10:$X$10,,MATCH($G18,$I$7:$X$7,0)))
/IF($E18=Nominal,I$10,INDEX($I$10:$X$10,,MATCH($E18,$I$7:$X$7,0)))
*IF($H18=Mid_Period,1/(1+IF($G18=Nominal,I$9,INDEX($I$9:$X$9,,MATCH($G18,$I$7:$X$7,0))))^INDEX(Timing_Adj,MATCH($H18,Cash_Timing,0)),1)
*IF($F18=Mid_Period,(1+IF($E18=Nominal,I$9,INDEX($I$9:$X$9,,MATCH($E18,$I$7:$X$7,0))))^INDEX(Timing_Adj,MATCH($F18,Cash_Timing,0)),1),"N/A")</f>
        <v>1.178597804532578</v>
      </c>
      <c r="J18" s="137" cm="1">
        <f t="array" ref="J18">IFERROR(IF($G18=Nominal,J$10:J$10,INDEX($I$10:$X$10,,MATCH($G18,$I$7:$X$7,0)))
/IF($E18=Nominal,J$10,INDEX($I$10:$X$10,,MATCH($E18,$I$7:$X$7,0)))
*IF($H18=Mid_Period,1/(1+IF($G18=Nominal,J$9,INDEX($I$9:$X$9,,MATCH($G18,$I$7:$X$7,0))))^INDEX(Timing_Adj,MATCH($H18,Cash_Timing,0)),1)
*IF($F18=Mid_Period,(1+IF($E18=Nominal,J$9,INDEX($I$9:$X$9,,MATCH($E18,$I$7:$X$7,0))))^INDEX(Timing_Adj,MATCH($F18,Cash_Timing,0)),1),"N/A")</f>
        <v>1.178597804532578</v>
      </c>
      <c r="K18" s="137" cm="1">
        <f t="array" ref="K18">IFERROR(IF($G18=Nominal,K$10:K$10,INDEX($I$10:$X$10,,MATCH($G18,$I$7:$X$7,0)))
/IF($E18=Nominal,K$10,INDEX($I$10:$X$10,,MATCH($E18,$I$7:$X$7,0)))
*IF($H18=Mid_Period,1/(1+IF($G18=Nominal,K$9,INDEX($I$9:$X$9,,MATCH($G18,$I$7:$X$7,0))))^INDEX(Timing_Adj,MATCH($H18,Cash_Timing,0)),1)
*IF($F18=Mid_Period,(1+IF($E18=Nominal,K$9,INDEX($I$9:$X$9,,MATCH($E18,$I$7:$X$7,0))))^INDEX(Timing_Adj,MATCH($F18,Cash_Timing,0)),1),"N/A")</f>
        <v>1.178597804532578</v>
      </c>
      <c r="L18" s="137" cm="1">
        <f t="array" ref="L18">IFERROR(IF($G18=Nominal,L$10:L$10,INDEX($I$10:$X$10,,MATCH($G18,$I$7:$X$7,0)))
/IF($E18=Nominal,L$10,INDEX($I$10:$X$10,,MATCH($E18,$I$7:$X$7,0)))
*IF($H18=Mid_Period,1/(1+IF($G18=Nominal,L$9,INDEX($I$9:$X$9,,MATCH($G18,$I$7:$X$7,0))))^INDEX(Timing_Adj,MATCH($H18,Cash_Timing,0)),1)
*IF($F18=Mid_Period,(1+IF($E18=Nominal,L$9,INDEX($I$9:$X$9,,MATCH($E18,$I$7:$X$7,0))))^INDEX(Timing_Adj,MATCH($F18,Cash_Timing,0)),1),"N/A")</f>
        <v>1.178597804532578</v>
      </c>
      <c r="M18" s="137" cm="1">
        <f t="array" ref="M18">IFERROR(IF($G18=Nominal,M$10:M$10,INDEX($I$10:$X$10,,MATCH($G18,$I$7:$X$7,0)))
/IF($E18=Nominal,M$10,INDEX($I$10:$X$10,,MATCH($E18,$I$7:$X$7,0)))
*IF($H18=Mid_Period,1/(1+IF($G18=Nominal,M$9,INDEX($I$9:$X$9,,MATCH($G18,$I$7:$X$7,0))))^INDEX(Timing_Adj,MATCH($H18,Cash_Timing,0)),1)
*IF($F18=Mid_Period,(1+IF($E18=Nominal,M$9,INDEX($I$9:$X$9,,MATCH($E18,$I$7:$X$7,0))))^INDEX(Timing_Adj,MATCH($F18,Cash_Timing,0)),1),"N/A")</f>
        <v>1.178597804532578</v>
      </c>
      <c r="N18" s="137" cm="1">
        <f t="array" ref="N18">IFERROR(IF($G18=Nominal,N$10:N$10,INDEX($I$10:$X$10,,MATCH($G18,$I$7:$X$7,0)))
/IF($E18=Nominal,N$10,INDEX($I$10:$X$10,,MATCH($E18,$I$7:$X$7,0)))
*IF($H18=Mid_Period,1/(1+IF($G18=Nominal,N$9,INDEX($I$9:$X$9,,MATCH($G18,$I$7:$X$7,0))))^INDEX(Timing_Adj,MATCH($H18,Cash_Timing,0)),1)
*IF($F18=Mid_Period,(1+IF($E18=Nominal,N$9,INDEX($I$9:$X$9,,MATCH($E18,$I$7:$X$7,0))))^INDEX(Timing_Adj,MATCH($F18,Cash_Timing,0)),1),"N/A")</f>
        <v>1.178597804532578</v>
      </c>
      <c r="O18" s="137" cm="1">
        <f t="array" ref="O18">IFERROR(IF($G18=Nominal,O$10:O$10,INDEX($I$10:$X$10,,MATCH($G18,$I$7:$X$7,0)))
/IF($E18=Nominal,O$10,INDEX($I$10:$X$10,,MATCH($E18,$I$7:$X$7,0)))
*IF($H18=Mid_Period,1/(1+IF($G18=Nominal,O$9,INDEX($I$9:$X$9,,MATCH($G18,$I$7:$X$7,0))))^INDEX(Timing_Adj,MATCH($H18,Cash_Timing,0)),1)
*IF($F18=Mid_Period,(1+IF($E18=Nominal,O$9,INDEX($I$9:$X$9,,MATCH($E18,$I$7:$X$7,0))))^INDEX(Timing_Adj,MATCH($F18,Cash_Timing,0)),1),"N/A")</f>
        <v>1.178597804532578</v>
      </c>
      <c r="P18" s="137" cm="1">
        <f t="array" ref="P18">IFERROR(IF($G18=Nominal,P$10:P$10,INDEX($I$10:$X$10,,MATCH($G18,$I$7:$X$7,0)))
/IF($E18=Nominal,P$10,INDEX($I$10:$X$10,,MATCH($E18,$I$7:$X$7,0)))
*IF($H18=Mid_Period,1/(1+IF($G18=Nominal,P$9,INDEX($I$9:$X$9,,MATCH($G18,$I$7:$X$7,0))))^INDEX(Timing_Adj,MATCH($H18,Cash_Timing,0)),1)
*IF($F18=Mid_Period,(1+IF($E18=Nominal,P$9,INDEX($I$9:$X$9,,MATCH($E18,$I$7:$X$7,0))))^INDEX(Timing_Adj,MATCH($F18,Cash_Timing,0)),1),"N/A")</f>
        <v>1.178597804532578</v>
      </c>
      <c r="Q18" s="137" cm="1">
        <f t="array" ref="Q18">IFERROR(IF($G18=Nominal,Q$10:Q$10,INDEX($I$10:$X$10,,MATCH($G18,$I$7:$X$7,0)))
/IF($E18=Nominal,Q$10,INDEX($I$10:$X$10,,MATCH($E18,$I$7:$X$7,0)))
*IF($H18=Mid_Period,1/(1+IF($G18=Nominal,Q$9,INDEX($I$9:$X$9,,MATCH($G18,$I$7:$X$7,0))))^INDEX(Timing_Adj,MATCH($H18,Cash_Timing,0)),1)
*IF($F18=Mid_Period,(1+IF($E18=Nominal,Q$9,INDEX($I$9:$X$9,,MATCH($E18,$I$7:$X$7,0))))^INDEX(Timing_Adj,MATCH($F18,Cash_Timing,0)),1),"N/A")</f>
        <v>1.178597804532578</v>
      </c>
      <c r="R18" s="137" cm="1">
        <f t="array" ref="R18">IFERROR(IF($G18=Nominal,R$10:R$10,INDEX($I$10:$X$10,,MATCH($G18,$I$7:$X$7,0)))
/IF($E18=Nominal,R$10,INDEX($I$10:$X$10,,MATCH($E18,$I$7:$X$7,0)))
*IF($H18=Mid_Period,1/(1+IF($G18=Nominal,R$9,INDEX($I$9:$X$9,,MATCH($G18,$I$7:$X$7,0))))^INDEX(Timing_Adj,MATCH($H18,Cash_Timing,0)),1)
*IF($F18=Mid_Period,(1+IF($E18=Nominal,R$9,INDEX($I$9:$X$9,,MATCH($E18,$I$7:$X$7,0))))^INDEX(Timing_Adj,MATCH($F18,Cash_Timing,0)),1),"N/A")</f>
        <v>1.178597804532578</v>
      </c>
      <c r="S18" s="137" cm="1">
        <f t="array" ref="S18">IFERROR(IF($G18=Nominal,S$10:S$10,INDEX($I$10:$X$10,,MATCH($G18,$I$7:$X$7,0)))
/IF($E18=Nominal,S$10,INDEX($I$10:$X$10,,MATCH($E18,$I$7:$X$7,0)))
*IF($H18=Mid_Period,1/(1+IF($G18=Nominal,S$9,INDEX($I$9:$X$9,,MATCH($G18,$I$7:$X$7,0))))^INDEX(Timing_Adj,MATCH($H18,Cash_Timing,0)),1)
*IF($F18=Mid_Period,(1+IF($E18=Nominal,S$9,INDEX($I$9:$X$9,,MATCH($E18,$I$7:$X$7,0))))^INDEX(Timing_Adj,MATCH($F18,Cash_Timing,0)),1),"N/A")</f>
        <v>1.178597804532578</v>
      </c>
      <c r="T18" s="137" cm="1">
        <f t="array" ref="T18">IFERROR(IF($G18=Nominal,T$10:T$10,INDEX($I$10:$X$10,,MATCH($G18,$I$7:$X$7,0)))
/IF($E18=Nominal,T$10,INDEX($I$10:$X$10,,MATCH($E18,$I$7:$X$7,0)))
*IF($H18=Mid_Period,1/(1+IF($G18=Nominal,T$9,INDEX($I$9:$X$9,,MATCH($G18,$I$7:$X$7,0))))^INDEX(Timing_Adj,MATCH($H18,Cash_Timing,0)),1)
*IF($F18=Mid_Period,(1+IF($E18=Nominal,T$9,INDEX($I$9:$X$9,,MATCH($E18,$I$7:$X$7,0))))^INDEX(Timing_Adj,MATCH($F18,Cash_Timing,0)),1),"N/A")</f>
        <v>1.178597804532578</v>
      </c>
      <c r="U18" s="137" cm="1">
        <f t="array" ref="U18">IFERROR(IF($G18=Nominal,U$10:U$10,INDEX($I$10:$X$10,,MATCH($G18,$I$7:$X$7,0)))
/IF($E18=Nominal,U$10,INDEX($I$10:$X$10,,MATCH($E18,$I$7:$X$7,0)))
*IF($H18=Mid_Period,1/(1+IF($G18=Nominal,U$9,INDEX($I$9:$X$9,,MATCH($G18,$I$7:$X$7,0))))^INDEX(Timing_Adj,MATCH($H18,Cash_Timing,0)),1)
*IF($F18=Mid_Period,(1+IF($E18=Nominal,U$9,INDEX($I$9:$X$9,,MATCH($E18,$I$7:$X$7,0))))^INDEX(Timing_Adj,MATCH($F18,Cash_Timing,0)),1),"N/A")</f>
        <v>1.178597804532578</v>
      </c>
      <c r="V18" s="137" cm="1">
        <f t="array" ref="V18">IFERROR(IF($G18=Nominal,V$10:V$10,INDEX($I$10:$X$10,,MATCH($G18,$I$7:$X$7,0)))
/IF($E18=Nominal,V$10,INDEX($I$10:$X$10,,MATCH($E18,$I$7:$X$7,0)))
*IF($H18=Mid_Period,1/(1+IF($G18=Nominal,V$9,INDEX($I$9:$X$9,,MATCH($G18,$I$7:$X$7,0))))^INDEX(Timing_Adj,MATCH($H18,Cash_Timing,0)),1)
*IF($F18=Mid_Period,(1+IF($E18=Nominal,V$9,INDEX($I$9:$X$9,,MATCH($E18,$I$7:$X$7,0))))^INDEX(Timing_Adj,MATCH($F18,Cash_Timing,0)),1),"N/A")</f>
        <v>1.178597804532578</v>
      </c>
      <c r="W18" s="137" cm="1">
        <f t="array" ref="W18">IFERROR(IF($G18=Nominal,W$10:W$10,INDEX($I$10:$X$10,,MATCH($G18,$I$7:$X$7,0)))
/IF($E18=Nominal,W$10,INDEX($I$10:$X$10,,MATCH($E18,$I$7:$X$7,0)))
*IF($H18=Mid_Period,1/(1+IF($G18=Nominal,W$9,INDEX($I$9:$X$9,,MATCH($G18,$I$7:$X$7,0))))^INDEX(Timing_Adj,MATCH($H18,Cash_Timing,0)),1)
*IF($F18=Mid_Period,(1+IF($E18=Nominal,W$9,INDEX($I$9:$X$9,,MATCH($E18,$I$7:$X$7,0))))^INDEX(Timing_Adj,MATCH($F18,Cash_Timing,0)),1),"N/A")</f>
        <v>1.178597804532578</v>
      </c>
      <c r="X18" s="137" cm="1">
        <f t="array" ref="X18">IFERROR(IF($G18=Nominal,X$10:X$10,INDEX($I$10:$X$10,,MATCH($G18,$I$7:$X$7,0)))
/IF($E18=Nominal,X$10,INDEX($I$10:$X$10,,MATCH($E18,$I$7:$X$7,0)))
*IF($H18=Mid_Period,1/(1+IF($G18=Nominal,X$9,INDEX($I$9:$X$9,,MATCH($G18,$I$7:$X$7,0))))^INDEX(Timing_Adj,MATCH($H18,Cash_Timing,0)),1)
*IF($F18=Mid_Period,(1+IF($E18=Nominal,X$9,INDEX($I$9:$X$9,,MATCH($E18,$I$7:$X$7,0))))^INDEX(Timing_Adj,MATCH($F18,Cash_Timing,0)),1),"N/A")</f>
        <v>1.178597804532578</v>
      </c>
    </row>
    <row r="19" spans="2:24" ht="11.25" customHeight="1" x14ac:dyDescent="0.2">
      <c r="D19" s="6" t="str">
        <f t="shared" ref="D19" si="6">IF(E19=Nominal,"","Real ")&amp;E19&amp;" ("&amp;F19&amp;") to "
&amp;IF(G19=Nominal,"","Real ")&amp;G19&amp;" ("&amp;H19&amp;")"</f>
        <v>Real 2018 (End Period) to Real 2023 (End Period)</v>
      </c>
      <c r="E19" s="139">
        <v>2018</v>
      </c>
      <c r="F19" s="139" t="s">
        <v>90</v>
      </c>
      <c r="G19" s="139">
        <v>2023</v>
      </c>
      <c r="H19" s="139" t="s">
        <v>90</v>
      </c>
      <c r="I19" s="137" cm="1">
        <f t="array" ref="I19">IFERROR(IF($G19=Nominal,I$10:I$10,INDEX($I$10:$X$10,,MATCH($G19,$I$7:$X$7,0)))
/IF($E19=Nominal,I$10,INDEX($I$10:$X$10,,MATCH($E19,$I$7:$X$7,0)))
*IF($H19=Mid_Period,1/(1+IF($G19=Nominal,I$9,INDEX($I$9:$X$9,,MATCH($G19,$I$7:$X$7,0))))^INDEX(Timing_Adj,MATCH($H19,Cash_Timing,0)),1)
*IF($F19=Mid_Period,(1+IF($E19=Nominal,I$9,INDEX($I$9:$X$9,,MATCH($E19,$I$7:$X$7,0))))^INDEX(Timing_Adj,MATCH($F19,Cash_Timing,0)),1),"N/A")</f>
        <v>1.1045443141592921</v>
      </c>
      <c r="J19" s="137" cm="1">
        <f t="array" ref="J19">IFERROR(IF($G19=Nominal,J$10:J$10,INDEX($I$10:$X$10,,MATCH($G19,$I$7:$X$7,0)))
/IF($E19=Nominal,J$10,INDEX($I$10:$X$10,,MATCH($E19,$I$7:$X$7,0)))
*IF($H19=Mid_Period,1/(1+IF($G19=Nominal,J$9,INDEX($I$9:$X$9,,MATCH($G19,$I$7:$X$7,0))))^INDEX(Timing_Adj,MATCH($H19,Cash_Timing,0)),1)
*IF($F19=Mid_Period,(1+IF($E19=Nominal,J$9,INDEX($I$9:$X$9,,MATCH($E19,$I$7:$X$7,0))))^INDEX(Timing_Adj,MATCH($F19,Cash_Timing,0)),1),"N/A")</f>
        <v>1.1045443141592921</v>
      </c>
      <c r="K19" s="137" cm="1">
        <f t="array" ref="K19">IFERROR(IF($G19=Nominal,K$10:K$10,INDEX($I$10:$X$10,,MATCH($G19,$I$7:$X$7,0)))
/IF($E19=Nominal,K$10,INDEX($I$10:$X$10,,MATCH($E19,$I$7:$X$7,0)))
*IF($H19=Mid_Period,1/(1+IF($G19=Nominal,K$9,INDEX($I$9:$X$9,,MATCH($G19,$I$7:$X$7,0))))^INDEX(Timing_Adj,MATCH($H19,Cash_Timing,0)),1)
*IF($F19=Mid_Period,(1+IF($E19=Nominal,K$9,INDEX($I$9:$X$9,,MATCH($E19,$I$7:$X$7,0))))^INDEX(Timing_Adj,MATCH($F19,Cash_Timing,0)),1),"N/A")</f>
        <v>1.1045443141592921</v>
      </c>
      <c r="L19" s="137" cm="1">
        <f t="array" ref="L19">IFERROR(IF($G19=Nominal,L$10:L$10,INDEX($I$10:$X$10,,MATCH($G19,$I$7:$X$7,0)))
/IF($E19=Nominal,L$10,INDEX($I$10:$X$10,,MATCH($E19,$I$7:$X$7,0)))
*IF($H19=Mid_Period,1/(1+IF($G19=Nominal,L$9,INDEX($I$9:$X$9,,MATCH($G19,$I$7:$X$7,0))))^INDEX(Timing_Adj,MATCH($H19,Cash_Timing,0)),1)
*IF($F19=Mid_Period,(1+IF($E19=Nominal,L$9,INDEX($I$9:$X$9,,MATCH($E19,$I$7:$X$7,0))))^INDEX(Timing_Adj,MATCH($F19,Cash_Timing,0)),1),"N/A")</f>
        <v>1.1045443141592921</v>
      </c>
      <c r="M19" s="137" cm="1">
        <f t="array" ref="M19">IFERROR(IF($G19=Nominal,M$10:M$10,INDEX($I$10:$X$10,,MATCH($G19,$I$7:$X$7,0)))
/IF($E19=Nominal,M$10,INDEX($I$10:$X$10,,MATCH($E19,$I$7:$X$7,0)))
*IF($H19=Mid_Period,1/(1+IF($G19=Nominal,M$9,INDEX($I$9:$X$9,,MATCH($G19,$I$7:$X$7,0))))^INDEX(Timing_Adj,MATCH($H19,Cash_Timing,0)),1)
*IF($F19=Mid_Period,(1+IF($E19=Nominal,M$9,INDEX($I$9:$X$9,,MATCH($E19,$I$7:$X$7,0))))^INDEX(Timing_Adj,MATCH($F19,Cash_Timing,0)),1),"N/A")</f>
        <v>1.1045443141592921</v>
      </c>
      <c r="N19" s="137" cm="1">
        <f t="array" ref="N19">IFERROR(IF($G19=Nominal,N$10:N$10,INDEX($I$10:$X$10,,MATCH($G19,$I$7:$X$7,0)))
/IF($E19=Nominal,N$10,INDEX($I$10:$X$10,,MATCH($E19,$I$7:$X$7,0)))
*IF($H19=Mid_Period,1/(1+IF($G19=Nominal,N$9,INDEX($I$9:$X$9,,MATCH($G19,$I$7:$X$7,0))))^INDEX(Timing_Adj,MATCH($H19,Cash_Timing,0)),1)
*IF($F19=Mid_Period,(1+IF($E19=Nominal,N$9,INDEX($I$9:$X$9,,MATCH($E19,$I$7:$X$7,0))))^INDEX(Timing_Adj,MATCH($F19,Cash_Timing,0)),1),"N/A")</f>
        <v>1.1045443141592921</v>
      </c>
      <c r="O19" s="137" cm="1">
        <f t="array" ref="O19">IFERROR(IF($G19=Nominal,O$10:O$10,INDEX($I$10:$X$10,,MATCH($G19,$I$7:$X$7,0)))
/IF($E19=Nominal,O$10,INDEX($I$10:$X$10,,MATCH($E19,$I$7:$X$7,0)))
*IF($H19=Mid_Period,1/(1+IF($G19=Nominal,O$9,INDEX($I$9:$X$9,,MATCH($G19,$I$7:$X$7,0))))^INDEX(Timing_Adj,MATCH($H19,Cash_Timing,0)),1)
*IF($F19=Mid_Period,(1+IF($E19=Nominal,O$9,INDEX($I$9:$X$9,,MATCH($E19,$I$7:$X$7,0))))^INDEX(Timing_Adj,MATCH($F19,Cash_Timing,0)),1),"N/A")</f>
        <v>1.1045443141592921</v>
      </c>
      <c r="P19" s="137" cm="1">
        <f t="array" ref="P19">IFERROR(IF($G19=Nominal,P$10:P$10,INDEX($I$10:$X$10,,MATCH($G19,$I$7:$X$7,0)))
/IF($E19=Nominal,P$10,INDEX($I$10:$X$10,,MATCH($E19,$I$7:$X$7,0)))
*IF($H19=Mid_Period,1/(1+IF($G19=Nominal,P$9,INDEX($I$9:$X$9,,MATCH($G19,$I$7:$X$7,0))))^INDEX(Timing_Adj,MATCH($H19,Cash_Timing,0)),1)
*IF($F19=Mid_Period,(1+IF($E19=Nominal,P$9,INDEX($I$9:$X$9,,MATCH($E19,$I$7:$X$7,0))))^INDEX(Timing_Adj,MATCH($F19,Cash_Timing,0)),1),"N/A")</f>
        <v>1.1045443141592921</v>
      </c>
      <c r="Q19" s="137" cm="1">
        <f t="array" ref="Q19">IFERROR(IF($G19=Nominal,Q$10:Q$10,INDEX($I$10:$X$10,,MATCH($G19,$I$7:$X$7,0)))
/IF($E19=Nominal,Q$10,INDEX($I$10:$X$10,,MATCH($E19,$I$7:$X$7,0)))
*IF($H19=Mid_Period,1/(1+IF($G19=Nominal,Q$9,INDEX($I$9:$X$9,,MATCH($G19,$I$7:$X$7,0))))^INDEX(Timing_Adj,MATCH($H19,Cash_Timing,0)),1)
*IF($F19=Mid_Period,(1+IF($E19=Nominal,Q$9,INDEX($I$9:$X$9,,MATCH($E19,$I$7:$X$7,0))))^INDEX(Timing_Adj,MATCH($F19,Cash_Timing,0)),1),"N/A")</f>
        <v>1.1045443141592921</v>
      </c>
      <c r="R19" s="137" cm="1">
        <f t="array" ref="R19">IFERROR(IF($G19=Nominal,R$10:R$10,INDEX($I$10:$X$10,,MATCH($G19,$I$7:$X$7,0)))
/IF($E19=Nominal,R$10,INDEX($I$10:$X$10,,MATCH($E19,$I$7:$X$7,0)))
*IF($H19=Mid_Period,1/(1+IF($G19=Nominal,R$9,INDEX($I$9:$X$9,,MATCH($G19,$I$7:$X$7,0))))^INDEX(Timing_Adj,MATCH($H19,Cash_Timing,0)),1)
*IF($F19=Mid_Period,(1+IF($E19=Nominal,R$9,INDEX($I$9:$X$9,,MATCH($E19,$I$7:$X$7,0))))^INDEX(Timing_Adj,MATCH($F19,Cash_Timing,0)),1),"N/A")</f>
        <v>1.1045443141592921</v>
      </c>
      <c r="S19" s="137" cm="1">
        <f t="array" ref="S19">IFERROR(IF($G19=Nominal,S$10:S$10,INDEX($I$10:$X$10,,MATCH($G19,$I$7:$X$7,0)))
/IF($E19=Nominal,S$10,INDEX($I$10:$X$10,,MATCH($E19,$I$7:$X$7,0)))
*IF($H19=Mid_Period,1/(1+IF($G19=Nominal,S$9,INDEX($I$9:$X$9,,MATCH($G19,$I$7:$X$7,0))))^INDEX(Timing_Adj,MATCH($H19,Cash_Timing,0)),1)
*IF($F19=Mid_Period,(1+IF($E19=Nominal,S$9,INDEX($I$9:$X$9,,MATCH($E19,$I$7:$X$7,0))))^INDEX(Timing_Adj,MATCH($F19,Cash_Timing,0)),1),"N/A")</f>
        <v>1.1045443141592921</v>
      </c>
      <c r="T19" s="137" cm="1">
        <f t="array" ref="T19">IFERROR(IF($G19=Nominal,T$10:T$10,INDEX($I$10:$X$10,,MATCH($G19,$I$7:$X$7,0)))
/IF($E19=Nominal,T$10,INDEX($I$10:$X$10,,MATCH($E19,$I$7:$X$7,0)))
*IF($H19=Mid_Period,1/(1+IF($G19=Nominal,T$9,INDEX($I$9:$X$9,,MATCH($G19,$I$7:$X$7,0))))^INDEX(Timing_Adj,MATCH($H19,Cash_Timing,0)),1)
*IF($F19=Mid_Period,(1+IF($E19=Nominal,T$9,INDEX($I$9:$X$9,,MATCH($E19,$I$7:$X$7,0))))^INDEX(Timing_Adj,MATCH($F19,Cash_Timing,0)),1),"N/A")</f>
        <v>1.1045443141592921</v>
      </c>
      <c r="U19" s="137" cm="1">
        <f t="array" ref="U19">IFERROR(IF($G19=Nominal,U$10:U$10,INDEX($I$10:$X$10,,MATCH($G19,$I$7:$X$7,0)))
/IF($E19=Nominal,U$10,INDEX($I$10:$X$10,,MATCH($E19,$I$7:$X$7,0)))
*IF($H19=Mid_Period,1/(1+IF($G19=Nominal,U$9,INDEX($I$9:$X$9,,MATCH($G19,$I$7:$X$7,0))))^INDEX(Timing_Adj,MATCH($H19,Cash_Timing,0)),1)
*IF($F19=Mid_Period,(1+IF($E19=Nominal,U$9,INDEX($I$9:$X$9,,MATCH($E19,$I$7:$X$7,0))))^INDEX(Timing_Adj,MATCH($F19,Cash_Timing,0)),1),"N/A")</f>
        <v>1.1045443141592921</v>
      </c>
      <c r="V19" s="137" cm="1">
        <f t="array" ref="V19">IFERROR(IF($G19=Nominal,V$10:V$10,INDEX($I$10:$X$10,,MATCH($G19,$I$7:$X$7,0)))
/IF($E19=Nominal,V$10,INDEX($I$10:$X$10,,MATCH($E19,$I$7:$X$7,0)))
*IF($H19=Mid_Period,1/(1+IF($G19=Nominal,V$9,INDEX($I$9:$X$9,,MATCH($G19,$I$7:$X$7,0))))^INDEX(Timing_Adj,MATCH($H19,Cash_Timing,0)),1)
*IF($F19=Mid_Period,(1+IF($E19=Nominal,V$9,INDEX($I$9:$X$9,,MATCH($E19,$I$7:$X$7,0))))^INDEX(Timing_Adj,MATCH($F19,Cash_Timing,0)),1),"N/A")</f>
        <v>1.1045443141592921</v>
      </c>
      <c r="W19" s="137" cm="1">
        <f t="array" ref="W19">IFERROR(IF($G19=Nominal,W$10:W$10,INDEX($I$10:$X$10,,MATCH($G19,$I$7:$X$7,0)))
/IF($E19=Nominal,W$10,INDEX($I$10:$X$10,,MATCH($E19,$I$7:$X$7,0)))
*IF($H19=Mid_Period,1/(1+IF($G19=Nominal,W$9,INDEX($I$9:$X$9,,MATCH($G19,$I$7:$X$7,0))))^INDEX(Timing_Adj,MATCH($H19,Cash_Timing,0)),1)
*IF($F19=Mid_Period,(1+IF($E19=Nominal,W$9,INDEX($I$9:$X$9,,MATCH($E19,$I$7:$X$7,0))))^INDEX(Timing_Adj,MATCH($F19,Cash_Timing,0)),1),"N/A")</f>
        <v>1.1045443141592921</v>
      </c>
      <c r="X19" s="137" cm="1">
        <f t="array" ref="X19">IFERROR(IF($G19=Nominal,X$10:X$10,INDEX($I$10:$X$10,,MATCH($G19,$I$7:$X$7,0)))
/IF($E19=Nominal,X$10,INDEX($I$10:$X$10,,MATCH($E19,$I$7:$X$7,0)))
*IF($H19=Mid_Period,1/(1+IF($G19=Nominal,X$9,INDEX($I$9:$X$9,,MATCH($G19,$I$7:$X$7,0))))^INDEX(Timing_Adj,MATCH($H19,Cash_Timing,0)),1)
*IF($F19=Mid_Period,(1+IF($E19=Nominal,X$9,INDEX($I$9:$X$9,,MATCH($E19,$I$7:$X$7,0))))^INDEX(Timing_Adj,MATCH($F19,Cash_Timing,0)),1),"N/A")</f>
        <v>1.1045443141592921</v>
      </c>
    </row>
    <row r="20" spans="2:24" ht="11.25" customHeight="1" x14ac:dyDescent="0.2">
      <c r="D20" s="6" t="str">
        <f t="shared" ref="D20" si="7">IF(E20=Nominal,"","Real ")&amp;E20&amp;" ("&amp;F20&amp;") to "
&amp;IF(G20=Nominal,"","Real ")&amp;G20&amp;" ("&amp;H20&amp;")"</f>
        <v>Real 2014 (End Period) to Nominal (Mid Period)</v>
      </c>
      <c r="E20" s="139">
        <v>2014</v>
      </c>
      <c r="F20" s="139" t="s">
        <v>90</v>
      </c>
      <c r="G20" s="139" t="s">
        <v>67</v>
      </c>
      <c r="H20" s="139" t="s">
        <v>91</v>
      </c>
      <c r="I20" s="137" cm="1">
        <f t="array" ref="I20">IFERROR(IF($G20=Nominal,I$10:I$10,INDEX($I$10:$X$10,,MATCH($G20,$I$7:$X$7,0)))
/IF($E20=Nominal,I$10,INDEX($I$10:$X$10,,MATCH($E20,$I$7:$X$7,0)))
*IF($H20=Mid_Period,1/(1+IF($G20=Nominal,I$9,INDEX($I$9:$X$9,,MATCH($G20,$I$7:$X$7,0))))^INDEX(Timing_Adj,MATCH($H20,Cash_Timing,0)),1)
*IF($F20=Mid_Period,(1+IF($E20=Nominal,I$9,INDEX($I$9:$X$9,,MATCH($E20,$I$7:$X$7,0))))^INDEX(Timing_Adj,MATCH($F20,Cash_Timing,0)),1),"N/A")</f>
        <v>0.95932873596471524</v>
      </c>
      <c r="J20" s="137" cm="1">
        <f t="array" ref="J20">IFERROR(IF($G20=Nominal,J$10:J$10,INDEX($I$10:$X$10,,MATCH($G20,$I$7:$X$7,0)))
/IF($E20=Nominal,J$10,INDEX($I$10:$X$10,,MATCH($E20,$I$7:$X$7,0)))
*IF($H20=Mid_Period,1/(1+IF($G20=Nominal,J$9,INDEX($I$9:$X$9,,MATCH($G20,$I$7:$X$7,0))))^INDEX(Timing_Adj,MATCH($H20,Cash_Timing,0)),1)
*IF($F20=Mid_Period,(1+IF($E20=Nominal,J$9,INDEX($I$9:$X$9,,MATCH($E20,$I$7:$X$7,0))))^INDEX(Timing_Adj,MATCH($F20,Cash_Timing,0)),1),"N/A")</f>
        <v>0.98525484065733759</v>
      </c>
      <c r="K20" s="137" cm="1">
        <f t="array" ref="K20">IFERROR(IF($G20=Nominal,K$10:K$10,INDEX($I$10:$X$10,,MATCH($G20,$I$7:$X$7,0)))
/IF($E20=Nominal,K$10,INDEX($I$10:$X$10,,MATCH($E20,$I$7:$X$7,0)))
*IF($H20=Mid_Period,1/(1+IF($G20=Nominal,K$9,INDEX($I$9:$X$9,,MATCH($G20,$I$7:$X$7,0))))^INDEX(Timing_Adj,MATCH($H20,Cash_Timing,0)),1)
*IF($F20=Mid_Period,(1+IF($E20=Nominal,K$9,INDEX($I$9:$X$9,,MATCH($E20,$I$7:$X$7,0))))^INDEX(Timing_Adj,MATCH($F20,Cash_Timing,0)),1),"N/A")</f>
        <v>1.0075259763461564</v>
      </c>
      <c r="L20" s="137" cm="1">
        <f t="array" ref="L20">IFERROR(IF($G20=Nominal,L$10:L$10,INDEX($I$10:$X$10,,MATCH($G20,$I$7:$X$7,0)))
/IF($E20=Nominal,L$10,INDEX($I$10:$X$10,,MATCH($E20,$I$7:$X$7,0)))
*IF($H20=Mid_Period,1/(1+IF($G20=Nominal,L$9,INDEX($I$9:$X$9,,MATCH($G20,$I$7:$X$7,0))))^INDEX(Timing_Adj,MATCH($H20,Cash_Timing,0)),1)
*IF($F20=Mid_Period,(1+IF($E20=Nominal,L$9,INDEX($I$9:$X$9,,MATCH($E20,$I$7:$X$7,0))))^INDEX(Timing_Adj,MATCH($F20,Cash_Timing,0)),1),"N/A")</f>
        <v>1.0202889535036062</v>
      </c>
      <c r="M20" s="137" cm="1">
        <f t="array" ref="M20">IFERROR(IF($G20=Nominal,M$10:M$10,INDEX($I$10:$X$10,,MATCH($G20,$I$7:$X$7,0)))
/IF($E20=Nominal,M$10,INDEX($I$10:$X$10,,MATCH($E20,$I$7:$X$7,0)))
*IF($H20=Mid_Period,1/(1+IF($G20=Nominal,M$9,INDEX($I$9:$X$9,,MATCH($G20,$I$7:$X$7,0))))^INDEX(Timing_Adj,MATCH($H20,Cash_Timing,0)),1)
*IF($F20=Mid_Period,(1+IF($E20=Nominal,M$9,INDEX($I$9:$X$9,,MATCH($E20,$I$7:$X$7,0))))^INDEX(Timing_Adj,MATCH($F20,Cash_Timing,0)),1),"N/A")</f>
        <v>1.0353632910761426</v>
      </c>
      <c r="N20" s="137" cm="1">
        <f t="array" ref="N20">IFERROR(IF($G20=Nominal,N$10:N$10,INDEX($I$10:$X$10,,MATCH($G20,$I$7:$X$7,0)))
/IF($E20=Nominal,N$10,INDEX($I$10:$X$10,,MATCH($E20,$I$7:$X$7,0)))
*IF($H20=Mid_Period,1/(1+IF($G20=Nominal,N$9,INDEX($I$9:$X$9,,MATCH($G20,$I$7:$X$7,0))))^INDEX(Timing_Adj,MATCH($H20,Cash_Timing,0)),1)
*IF($F20=Mid_Period,(1+IF($E20=Nominal,N$9,INDEX($I$9:$X$9,,MATCH($E20,$I$7:$X$7,0))))^INDEX(Timing_Adj,MATCH($F20,Cash_Timing,0)),1),"N/A")</f>
        <v>1.0561292531456397</v>
      </c>
      <c r="O20" s="137" cm="1">
        <f t="array" ref="O20">IFERROR(IF($G20=Nominal,O$10:O$10,INDEX($I$10:$X$10,,MATCH($G20,$I$7:$X$7,0)))
/IF($E20=Nominal,O$10,INDEX($I$10:$X$10,,MATCH($E20,$I$7:$X$7,0)))
*IF($H20=Mid_Period,1/(1+IF($G20=Nominal,O$9,INDEX($I$9:$X$9,,MATCH($G20,$I$7:$X$7,0))))^INDEX(Timing_Adj,MATCH($H20,Cash_Timing,0)),1)
*IF($F20=Mid_Period,(1+IF($E20=Nominal,O$9,INDEX($I$9:$X$9,,MATCH($E20,$I$7:$X$7,0))))^INDEX(Timing_Adj,MATCH($F20,Cash_Timing,0)),1),"N/A")</f>
        <v>1.075509388043794</v>
      </c>
      <c r="P20" s="137" cm="1">
        <f t="array" ref="P20">IFERROR(IF($G20=Nominal,P$10:P$10,INDEX($I$10:$X$10,,MATCH($G20,$I$7:$X$7,0)))
/IF($E20=Nominal,P$10,INDEX($I$10:$X$10,,MATCH($E20,$I$7:$X$7,0)))
*IF($H20=Mid_Period,1/(1+IF($G20=Nominal,P$9,INDEX($I$9:$X$9,,MATCH($G20,$I$7:$X$7,0))))^INDEX(Timing_Adj,MATCH($H20,Cash_Timing,0)),1)
*IF($F20=Mid_Period,(1+IF($E20=Nominal,P$9,INDEX($I$9:$X$9,,MATCH($E20,$I$7:$X$7,0))))^INDEX(Timing_Adj,MATCH($F20,Cash_Timing,0)),1),"N/A")</f>
        <v>1.0821513265325526</v>
      </c>
      <c r="Q20" s="137" cm="1">
        <f t="array" ref="Q20">IFERROR(IF($G20=Nominal,Q$10:Q$10,INDEX($I$10:$X$10,,MATCH($G20,$I$7:$X$7,0)))
/IF($E20=Nominal,Q$10,INDEX($I$10:$X$10,,MATCH($E20,$I$7:$X$7,0)))
*IF($H20=Mid_Period,1/(1+IF($G20=Nominal,Q$9,INDEX($I$9:$X$9,,MATCH($G20,$I$7:$X$7,0))))^INDEX(Timing_Adj,MATCH($H20,Cash_Timing,0)),1)
*IF($F20=Mid_Period,(1+IF($E20=Nominal,Q$9,INDEX($I$9:$X$9,,MATCH($E20,$I$7:$X$7,0))))^INDEX(Timing_Adj,MATCH($F20,Cash_Timing,0)),1),"N/A")</f>
        <v>1.1008427142165025</v>
      </c>
      <c r="R20" s="137" cm="1">
        <f t="array" ref="R20">IFERROR(IF($G20=Nominal,R$10:R$10,INDEX($I$10:$X$10,,MATCH($G20,$I$7:$X$7,0)))
/IF($E20=Nominal,R$10,INDEX($I$10:$X$10,,MATCH($E20,$I$7:$X$7,0)))
*IF($H20=Mid_Period,1/(1+IF($G20=Nominal,R$9,INDEX($I$9:$X$9,,MATCH($G20,$I$7:$X$7,0))))^INDEX(Timing_Adj,MATCH($H20,Cash_Timing,0)),1)
*IF($F20=Mid_Period,(1+IF($E20=Nominal,R$9,INDEX($I$9:$X$9,,MATCH($E20,$I$7:$X$7,0))))^INDEX(Timing_Adj,MATCH($F20,Cash_Timing,0)),1),"N/A")</f>
        <v>1.1371333475006322</v>
      </c>
      <c r="S20" s="137" cm="1">
        <f t="array" ref="S20">IFERROR(IF($G20=Nominal,S$10:S$10,INDEX($I$10:$X$10,,MATCH($G20,$I$7:$X$7,0)))
/IF($E20=Nominal,S$10,INDEX($I$10:$X$10,,MATCH($E20,$I$7:$X$7,0)))
*IF($H20=Mid_Period,1/(1+IF($G20=Nominal,S$9,INDEX($I$9:$X$9,,MATCH($G20,$I$7:$X$7,0))))^INDEX(Timing_Adj,MATCH($H20,Cash_Timing,0)),1)
*IF($F20=Mid_Period,(1+IF($E20=Nominal,S$9,INDEX($I$9:$X$9,,MATCH($E20,$I$7:$X$7,0))))^INDEX(Timing_Adj,MATCH($F20,Cash_Timing,0)),1),"N/A")</f>
        <v>1.1655582143130303</v>
      </c>
      <c r="T20" s="137" cm="1">
        <f t="array" ref="T20">IFERROR(IF($G20=Nominal,T$10:T$10,INDEX($I$10:$X$10,,MATCH($G20,$I$7:$X$7,0)))
/IF($E20=Nominal,T$10,INDEX($I$10:$X$10,,MATCH($E20,$I$7:$X$7,0)))
*IF($H20=Mid_Period,1/(1+IF($G20=Nominal,T$9,INDEX($I$9:$X$9,,MATCH($G20,$I$7:$X$7,0))))^INDEX(Timing_Adj,MATCH($H20,Cash_Timing,0)),1)
*IF($F20=Mid_Period,(1+IF($E20=Nominal,T$9,INDEX($I$9:$X$9,,MATCH($E20,$I$7:$X$7,0))))^INDEX(Timing_Adj,MATCH($F20,Cash_Timing,0)),1),"N/A")</f>
        <v>1.192365642133582</v>
      </c>
      <c r="U20" s="137" cm="1">
        <f t="array" ref="U20">IFERROR(IF($G20=Nominal,U$10:U$10,INDEX($I$10:$X$10,,MATCH($G20,$I$7:$X$7,0)))
/IF($E20=Nominal,U$10,INDEX($I$10:$X$10,,MATCH($E20,$I$7:$X$7,0)))
*IF($H20=Mid_Period,1/(1+IF($G20=Nominal,U$9,INDEX($I$9:$X$9,,MATCH($G20,$I$7:$X$7,0))))^INDEX(Timing_Adj,MATCH($H20,Cash_Timing,0)),1)
*IF($F20=Mid_Period,(1+IF($E20=Nominal,U$9,INDEX($I$9:$X$9,,MATCH($E20,$I$7:$X$7,0))))^INDEX(Timing_Adj,MATCH($F20,Cash_Timing,0)),1),"N/A")</f>
        <v>1.2203856847164949</v>
      </c>
      <c r="V20" s="137" cm="1">
        <f t="array" ref="V20">IFERROR(IF($G20=Nominal,V$10:V$10,INDEX($I$10:$X$10,,MATCH($G20,$I$7:$X$7,0)))
/IF($E20=Nominal,V$10,INDEX($I$10:$X$10,,MATCH($E20,$I$7:$X$7,0)))
*IF($H20=Mid_Period,1/(1+IF($G20=Nominal,V$9,INDEX($I$9:$X$9,,MATCH($G20,$I$7:$X$7,0))))^INDEX(Timing_Adj,MATCH($H20,Cash_Timing,0)),1)
*IF($F20=Mid_Period,(1+IF($E20=Nominal,V$9,INDEX($I$9:$X$9,,MATCH($E20,$I$7:$X$7,0))))^INDEX(Timing_Adj,MATCH($F20,Cash_Timing,0)),1),"N/A")</f>
        <v>1.2490641853751898</v>
      </c>
      <c r="W20" s="137" cm="1">
        <f t="array" ref="W20">IFERROR(IF($G20=Nominal,W$10:W$10,INDEX($I$10:$X$10,,MATCH($G20,$I$7:$X$7,0)))
/IF($E20=Nominal,W$10,INDEX($I$10:$X$10,,MATCH($E20,$I$7:$X$7,0)))
*IF($H20=Mid_Period,1/(1+IF($G20=Nominal,W$9,INDEX($I$9:$X$9,,MATCH($G20,$I$7:$X$7,0))))^INDEX(Timing_Adj,MATCH($H20,Cash_Timing,0)),1)
*IF($F20=Mid_Period,(1+IF($E20=Nominal,W$9,INDEX($I$9:$X$9,,MATCH($E20,$I$7:$X$7,0))))^INDEX(Timing_Adj,MATCH($F20,Cash_Timing,0)),1),"N/A")</f>
        <v>1.2784166175707188</v>
      </c>
      <c r="X20" s="137" cm="1">
        <f t="array" ref="X20">IFERROR(IF($G20=Nominal,X$10:X$10,INDEX($I$10:$X$10,,MATCH($G20,$I$7:$X$7,0)))
/IF($E20=Nominal,X$10,INDEX($I$10:$X$10,,MATCH($E20,$I$7:$X$7,0)))
*IF($H20=Mid_Period,1/(1+IF($G20=Nominal,X$9,INDEX($I$9:$X$9,,MATCH($G20,$I$7:$X$7,0))))^INDEX(Timing_Adj,MATCH($H20,Cash_Timing,0)),1)
*IF($F20=Mid_Period,(1+IF($E20=Nominal,X$9,INDEX($I$9:$X$9,,MATCH($E20,$I$7:$X$7,0))))^INDEX(Timing_Adj,MATCH($F20,Cash_Timing,0)),1),"N/A")</f>
        <v>1.3084588183833299</v>
      </c>
    </row>
    <row r="21" spans="2:24" ht="11.25" customHeight="1" x14ac:dyDescent="0.2">
      <c r="D21" s="6" t="str">
        <f t="shared" ref="D21" si="8">IF(E21=Nominal,"","Real ")&amp;E21&amp;" ("&amp;F21&amp;") to "
&amp;IF(G21=Nominal,"","Real ")&amp;G21&amp;" ("&amp;H21&amp;")"</f>
        <v>Real 2018 (End Period) to Nominal (Mid Period)</v>
      </c>
      <c r="E21" s="139">
        <v>2018</v>
      </c>
      <c r="F21" s="139" t="s">
        <v>90</v>
      </c>
      <c r="G21" s="139" t="s">
        <v>67</v>
      </c>
      <c r="H21" s="139" t="s">
        <v>91</v>
      </c>
      <c r="I21" s="137" cm="1">
        <f t="array" ref="I21">IFERROR(IF($G21=Nominal,I$10:I$10,INDEX($I$10:$X$10,,MATCH($G21,$I$7:$X$7,0)))
/IF($E21=Nominal,I$10,INDEX($I$10:$X$10,,MATCH($E21,$I$7:$X$7,0)))
*IF($H21=Mid_Period,1/(1+IF($G21=Nominal,I$9,INDEX($I$9:$X$9,,MATCH($G21,$I$7:$X$7,0))))^INDEX(Timing_Adj,MATCH($H21,Cash_Timing,0)),1)
*IF($F21=Mid_Period,(1+IF($E21=Nominal,I$9,INDEX($I$9:$X$9,,MATCH($E21,$I$7:$X$7,0))))^INDEX(Timing_Adj,MATCH($F21,Cash_Timing,0)),1),"N/A")</f>
        <v>0.89905232866073759</v>
      </c>
      <c r="J21" s="137" cm="1">
        <f t="array" ref="J21">IFERROR(IF($G21=Nominal,J$10:J$10,INDEX($I$10:$X$10,,MATCH($G21,$I$7:$X$7,0)))
/IF($E21=Nominal,J$10,INDEX($I$10:$X$10,,MATCH($E21,$I$7:$X$7,0)))
*IF($H21=Mid_Period,1/(1+IF($G21=Nominal,J$9,INDEX($I$9:$X$9,,MATCH($G21,$I$7:$X$7,0))))^INDEX(Timing_Adj,MATCH($H21,Cash_Timing,0)),1)
*IF($F21=Mid_Period,(1+IF($E21=Nominal,J$9,INDEX($I$9:$X$9,,MATCH($E21,$I$7:$X$7,0))))^INDEX(Timing_Adj,MATCH($F21,Cash_Timing,0)),1),"N/A")</f>
        <v>0.92334944801426599</v>
      </c>
      <c r="K21" s="137" cm="1">
        <f t="array" ref="K21">IFERROR(IF($G21=Nominal,K$10:K$10,INDEX($I$10:$X$10,,MATCH($G21,$I$7:$X$7,0)))
/IF($E21=Nominal,K$10,INDEX($I$10:$X$10,,MATCH($E21,$I$7:$X$7,0)))
*IF($H21=Mid_Period,1/(1+IF($G21=Nominal,K$9,INDEX($I$9:$X$9,,MATCH($G21,$I$7:$X$7,0))))^INDEX(Timing_Adj,MATCH($H21,Cash_Timing,0)),1)
*IF($F21=Mid_Period,(1+IF($E21=Nominal,K$9,INDEX($I$9:$X$9,,MATCH($E21,$I$7:$X$7,0))))^INDEX(Timing_Adj,MATCH($F21,Cash_Timing,0)),1),"N/A")</f>
        <v>0.94422124685891995</v>
      </c>
      <c r="L21" s="137" cm="1">
        <f t="array" ref="L21">IFERROR(IF($G21=Nominal,L$10:L$10,INDEX($I$10:$X$10,,MATCH($G21,$I$7:$X$7,0)))
/IF($E21=Nominal,L$10,INDEX($I$10:$X$10,,MATCH($E21,$I$7:$X$7,0)))
*IF($H21=Mid_Period,1/(1+IF($G21=Nominal,L$9,INDEX($I$9:$X$9,,MATCH($G21,$I$7:$X$7,0))))^INDEX(Timing_Adj,MATCH($H21,Cash_Timing,0)),1)
*IF($F21=Mid_Period,(1+IF($E21=Nominal,L$9,INDEX($I$9:$X$9,,MATCH($E21,$I$7:$X$7,0))))^INDEX(Timing_Adj,MATCH($F21,Cash_Timing,0)),1),"N/A")</f>
        <v>0.95618230244276003</v>
      </c>
      <c r="M21" s="137" cm="1">
        <f t="array" ref="M21">IFERROR(IF($G21=Nominal,M$10:M$10,INDEX($I$10:$X$10,,MATCH($G21,$I$7:$X$7,0)))
/IF($E21=Nominal,M$10,INDEX($I$10:$X$10,,MATCH($E21,$I$7:$X$7,0)))
*IF($H21=Mid_Period,1/(1+IF($G21=Nominal,M$9,INDEX($I$9:$X$9,,MATCH($G21,$I$7:$X$7,0))))^INDEX(Timing_Adj,MATCH($H21,Cash_Timing,0)),1)
*IF($F21=Mid_Period,(1+IF($E21=Nominal,M$9,INDEX($I$9:$X$9,,MATCH($E21,$I$7:$X$7,0))))^INDEX(Timing_Adj,MATCH($F21,Cash_Timing,0)),1),"N/A")</f>
        <v>0.97030949137135836</v>
      </c>
      <c r="N21" s="137" cm="1">
        <f t="array" ref="N21">IFERROR(IF($G21=Nominal,N$10:N$10,INDEX($I$10:$X$10,,MATCH($G21,$I$7:$X$7,0)))
/IF($E21=Nominal,N$10,INDEX($I$10:$X$10,,MATCH($E21,$I$7:$X$7,0)))
*IF($H21=Mid_Period,1/(1+IF($G21=Nominal,N$9,INDEX($I$9:$X$9,,MATCH($G21,$I$7:$X$7,0))))^INDEX(Timing_Adj,MATCH($H21,Cash_Timing,0)),1)
*IF($F21=Mid_Period,(1+IF($E21=Nominal,N$9,INDEX($I$9:$X$9,,MATCH($E21,$I$7:$X$7,0))))^INDEX(Timing_Adj,MATCH($F21,Cash_Timing,0)),1),"N/A")</f>
        <v>0.98977068945241808</v>
      </c>
      <c r="O21" s="137" cm="1">
        <f t="array" ref="O21">IFERROR(IF($G21=Nominal,O$10:O$10,INDEX($I$10:$X$10,,MATCH($G21,$I$7:$X$7,0)))
/IF($E21=Nominal,O$10,INDEX($I$10:$X$10,,MATCH($E21,$I$7:$X$7,0)))
*IF($H21=Mid_Period,1/(1+IF($G21=Nominal,O$9,INDEX($I$9:$X$9,,MATCH($G21,$I$7:$X$7,0))))^INDEX(Timing_Adj,MATCH($H21,Cash_Timing,0)),1)
*IF($F21=Mid_Period,(1+IF($E21=Nominal,O$9,INDEX($I$9:$X$9,,MATCH($E21,$I$7:$X$7,0))))^INDEX(Timing_Adj,MATCH($F21,Cash_Timing,0)),1),"N/A")</f>
        <v>1.0079331344587414</v>
      </c>
      <c r="P21" s="137" cm="1">
        <f t="array" ref="P21">IFERROR(IF($G21=Nominal,P$10:P$10,INDEX($I$10:$X$10,,MATCH($G21,$I$7:$X$7,0)))
/IF($E21=Nominal,P$10,INDEX($I$10:$X$10,,MATCH($E21,$I$7:$X$7,0)))
*IF($H21=Mid_Period,1/(1+IF($G21=Nominal,P$9,INDEX($I$9:$X$9,,MATCH($G21,$I$7:$X$7,0))))^INDEX(Timing_Adj,MATCH($H21,Cash_Timing,0)),1)
*IF($F21=Mid_Period,(1+IF($E21=Nominal,P$9,INDEX($I$9:$X$9,,MATCH($E21,$I$7:$X$7,0))))^INDEX(Timing_Adj,MATCH($F21,Cash_Timing,0)),1),"N/A")</f>
        <v>1.0141577476088259</v>
      </c>
      <c r="Q21" s="137" cm="1">
        <f t="array" ref="Q21">IFERROR(IF($G21=Nominal,Q$10:Q$10,INDEX($I$10:$X$10,,MATCH($G21,$I$7:$X$7,0)))
/IF($E21=Nominal,Q$10,INDEX($I$10:$X$10,,MATCH($E21,$I$7:$X$7,0)))
*IF($H21=Mid_Period,1/(1+IF($G21=Nominal,Q$9,INDEX($I$9:$X$9,,MATCH($G21,$I$7:$X$7,0))))^INDEX(Timing_Adj,MATCH($H21,Cash_Timing,0)),1)
*IF($F21=Mid_Period,(1+IF($E21=Nominal,Q$9,INDEX($I$9:$X$9,,MATCH($E21,$I$7:$X$7,0))))^INDEX(Timing_Adj,MATCH($F21,Cash_Timing,0)),1),"N/A")</f>
        <v>1.0316747206683861</v>
      </c>
      <c r="R21" s="137" cm="1">
        <f t="array" ref="R21">IFERROR(IF($G21=Nominal,R$10:R$10,INDEX($I$10:$X$10,,MATCH($G21,$I$7:$X$7,0)))
/IF($E21=Nominal,R$10,INDEX($I$10:$X$10,,MATCH($E21,$I$7:$X$7,0)))
*IF($H21=Mid_Period,1/(1+IF($G21=Nominal,R$9,INDEX($I$9:$X$9,,MATCH($G21,$I$7:$X$7,0))))^INDEX(Timing_Adj,MATCH($H21,Cash_Timing,0)),1)
*IF($F21=Mid_Period,(1+IF($E21=Nominal,R$9,INDEX($I$9:$X$9,,MATCH($E21,$I$7:$X$7,0))))^INDEX(Timing_Adj,MATCH($F21,Cash_Timing,0)),1),"N/A")</f>
        <v>1.0656851460205041</v>
      </c>
      <c r="S21" s="137" cm="1">
        <f t="array" ref="S21">IFERROR(IF($G21=Nominal,S$10:S$10,INDEX($I$10:$X$10,,MATCH($G21,$I$7:$X$7,0)))
/IF($E21=Nominal,S$10,INDEX($I$10:$X$10,,MATCH($E21,$I$7:$X$7,0)))
*IF($H21=Mid_Period,1/(1+IF($G21=Nominal,S$9,INDEX($I$9:$X$9,,MATCH($G21,$I$7:$X$7,0))))^INDEX(Timing_Adj,MATCH($H21,Cash_Timing,0)),1)
*IF($F21=Mid_Period,(1+IF($E21=Nominal,S$9,INDEX($I$9:$X$9,,MATCH($E21,$I$7:$X$7,0))))^INDEX(Timing_Adj,MATCH($F21,Cash_Timing,0)),1),"N/A")</f>
        <v>1.0923240256261053</v>
      </c>
      <c r="T21" s="137" cm="1">
        <f t="array" ref="T21">IFERROR(IF($G21=Nominal,T$10:T$10,INDEX($I$10:$X$10,,MATCH($G21,$I$7:$X$7,0)))
/IF($E21=Nominal,T$10,INDEX($I$10:$X$10,,MATCH($E21,$I$7:$X$7,0)))
*IF($H21=Mid_Period,1/(1+IF($G21=Nominal,T$9,INDEX($I$9:$X$9,,MATCH($G21,$I$7:$X$7,0))))^INDEX(Timing_Adj,MATCH($H21,Cash_Timing,0)),1)
*IF($F21=Mid_Period,(1+IF($E21=Nominal,T$9,INDEX($I$9:$X$9,,MATCH($E21,$I$7:$X$7,0))))^INDEX(Timing_Adj,MATCH($F21,Cash_Timing,0)),1),"N/A")</f>
        <v>1.1174470929375782</v>
      </c>
      <c r="U21" s="137" cm="1">
        <f t="array" ref="U21">IFERROR(IF($G21=Nominal,U$10:U$10,INDEX($I$10:$X$10,,MATCH($G21,$I$7:$X$7,0)))
/IF($E21=Nominal,U$10,INDEX($I$10:$X$10,,MATCH($E21,$I$7:$X$7,0)))
*IF($H21=Mid_Period,1/(1+IF($G21=Nominal,U$9,INDEX($I$9:$X$9,,MATCH($G21,$I$7:$X$7,0))))^INDEX(Timing_Adj,MATCH($H21,Cash_Timing,0)),1)
*IF($F21=Mid_Period,(1+IF($E21=Nominal,U$9,INDEX($I$9:$X$9,,MATCH($E21,$I$7:$X$7,0))))^INDEX(Timing_Adj,MATCH($F21,Cash_Timing,0)),1),"N/A")</f>
        <v>1.143706584172361</v>
      </c>
      <c r="V21" s="137" cm="1">
        <f t="array" ref="V21">IFERROR(IF($G21=Nominal,V$10:V$10,INDEX($I$10:$X$10,,MATCH($G21,$I$7:$X$7,0)))
/IF($E21=Nominal,V$10,INDEX($I$10:$X$10,,MATCH($E21,$I$7:$X$7,0)))
*IF($H21=Mid_Period,1/(1+IF($G21=Nominal,V$9,INDEX($I$9:$X$9,,MATCH($G21,$I$7:$X$7,0))))^INDEX(Timing_Adj,MATCH($H21,Cash_Timing,0)),1)
*IF($F21=Mid_Period,(1+IF($E21=Nominal,V$9,INDEX($I$9:$X$9,,MATCH($E21,$I$7:$X$7,0))))^INDEX(Timing_Adj,MATCH($F21,Cash_Timing,0)),1),"N/A")</f>
        <v>1.1705831613383419</v>
      </c>
      <c r="W21" s="137" cm="1">
        <f t="array" ref="W21">IFERROR(IF($G21=Nominal,W$10:W$10,INDEX($I$10:$X$10,,MATCH($G21,$I$7:$X$7,0)))
/IF($E21=Nominal,W$10,INDEX($I$10:$X$10,,MATCH($E21,$I$7:$X$7,0)))
*IF($H21=Mid_Period,1/(1+IF($G21=Nominal,W$9,INDEX($I$9:$X$9,,MATCH($G21,$I$7:$X$7,0))))^INDEX(Timing_Adj,MATCH($H21,Cash_Timing,0)),1)
*IF($F21=Mid_Period,(1+IF($E21=Nominal,W$9,INDEX($I$9:$X$9,,MATCH($E21,$I$7:$X$7,0))))^INDEX(Timing_Adj,MATCH($F21,Cash_Timing,0)),1),"N/A")</f>
        <v>1.1980913256702579</v>
      </c>
      <c r="X21" s="137" cm="1">
        <f t="array" ref="X21">IFERROR(IF($G21=Nominal,X$10:X$10,INDEX($I$10:$X$10,,MATCH($G21,$I$7:$X$7,0)))
/IF($E21=Nominal,X$10,INDEX($I$10:$X$10,,MATCH($E21,$I$7:$X$7,0)))
*IF($H21=Mid_Period,1/(1+IF($G21=Nominal,X$9,INDEX($I$9:$X$9,,MATCH($G21,$I$7:$X$7,0))))^INDEX(Timing_Adj,MATCH($H21,Cash_Timing,0)),1)
*IF($F21=Mid_Period,(1+IF($E21=Nominal,X$9,INDEX($I$9:$X$9,,MATCH($E21,$I$7:$X$7,0))))^INDEX(Timing_Adj,MATCH($F21,Cash_Timing,0)),1),"N/A")</f>
        <v>1.2262459191751738</v>
      </c>
    </row>
    <row r="22" spans="2:24" ht="11.25" customHeight="1" x14ac:dyDescent="0.2">
      <c r="D22" s="6" t="str">
        <f t="shared" ref="D22" si="9">IF(E22=Nominal,"","Real ")&amp;E22&amp;" ("&amp;F22&amp;") to "
&amp;IF(G22=Nominal,"","Real ")&amp;G22&amp;" ("&amp;H22&amp;")"</f>
        <v>Real 2023 (End Period) to Nominal (Mid Period)</v>
      </c>
      <c r="E22" s="139">
        <v>2023</v>
      </c>
      <c r="F22" s="139" t="s">
        <v>90</v>
      </c>
      <c r="G22" s="139" t="s">
        <v>67</v>
      </c>
      <c r="H22" s="139" t="s">
        <v>91</v>
      </c>
      <c r="I22" s="137" cm="1">
        <f t="array" ref="I22">IFERROR(IF($G22=Nominal,I$10:I$10,INDEX($I$10:$X$10,,MATCH($G22,$I$7:$X$7,0)))
/IF($E22=Nominal,I$10,INDEX($I$10:$X$10,,MATCH($E22,$I$7:$X$7,0)))
*IF($H22=Mid_Period,1/(1+IF($G22=Nominal,I$9,INDEX($I$9:$X$9,,MATCH($G22,$I$7:$X$7,0))))^INDEX(Timing_Adj,MATCH($H22,Cash_Timing,0)),1)
*IF($F22=Mid_Period,(1+IF($E22=Nominal,I$9,INDEX($I$9:$X$9,,MATCH($E22,$I$7:$X$7,0))))^INDEX(Timing_Adj,MATCH($F22,Cash_Timing,0)),1),"N/A")</f>
        <v>0.81395768113209488</v>
      </c>
      <c r="J22" s="137" cm="1">
        <f t="array" ref="J22">IFERROR(IF($G22=Nominal,J$10:J$10,INDEX($I$10:$X$10,,MATCH($G22,$I$7:$X$7,0)))
/IF($E22=Nominal,J$10,INDEX($I$10:$X$10,,MATCH($E22,$I$7:$X$7,0)))
*IF($H22=Mid_Period,1/(1+IF($G22=Nominal,J$9,INDEX($I$9:$X$9,,MATCH($G22,$I$7:$X$7,0))))^INDEX(Timing_Adj,MATCH($H22,Cash_Timing,0)),1)
*IF($F22=Mid_Period,(1+IF($E22=Nominal,J$9,INDEX($I$9:$X$9,,MATCH($E22,$I$7:$X$7,0))))^INDEX(Timing_Adj,MATCH($F22,Cash_Timing,0)),1),"N/A")</f>
        <v>0.83595509585059979</v>
      </c>
      <c r="K22" s="137" cm="1">
        <f t="array" ref="K22">IFERROR(IF($G22=Nominal,K$10:K$10,INDEX($I$10:$X$10,,MATCH($G22,$I$7:$X$7,0)))
/IF($E22=Nominal,K$10,INDEX($I$10:$X$10,,MATCH($E22,$I$7:$X$7,0)))
*IF($H22=Mid_Period,1/(1+IF($G22=Nominal,K$9,INDEX($I$9:$X$9,,MATCH($G22,$I$7:$X$7,0))))^INDEX(Timing_Adj,MATCH($H22,Cash_Timing,0)),1)
*IF($F22=Mid_Period,(1+IF($E22=Nominal,K$9,INDEX($I$9:$X$9,,MATCH($E22,$I$7:$X$7,0))))^INDEX(Timing_Adj,MATCH($F22,Cash_Timing,0)),1),"N/A")</f>
        <v>0.85485139414945099</v>
      </c>
      <c r="L22" s="137" cm="1">
        <f t="array" ref="L22">IFERROR(IF($G22=Nominal,L$10:L$10,INDEX($I$10:$X$10,,MATCH($G22,$I$7:$X$7,0)))
/IF($E22=Nominal,L$10,INDEX($I$10:$X$10,,MATCH($E22,$I$7:$X$7,0)))
*IF($H22=Mid_Period,1/(1+IF($G22=Nominal,L$9,INDEX($I$9:$X$9,,MATCH($G22,$I$7:$X$7,0))))^INDEX(Timing_Adj,MATCH($H22,Cash_Timing,0)),1)
*IF($F22=Mid_Period,(1+IF($E22=Nominal,L$9,INDEX($I$9:$X$9,,MATCH($E22,$I$7:$X$7,0))))^INDEX(Timing_Adj,MATCH($F22,Cash_Timing,0)),1),"N/A")</f>
        <v>0.86568034454149023</v>
      </c>
      <c r="M22" s="137" cm="1">
        <f t="array" ref="M22">IFERROR(IF($G22=Nominal,M$10:M$10,INDEX($I$10:$X$10,,MATCH($G22,$I$7:$X$7,0)))
/IF($E22=Nominal,M$10,INDEX($I$10:$X$10,,MATCH($E22,$I$7:$X$7,0)))
*IF($H22=Mid_Period,1/(1+IF($G22=Nominal,M$9,INDEX($I$9:$X$9,,MATCH($G22,$I$7:$X$7,0))))^INDEX(Timing_Adj,MATCH($H22,Cash_Timing,0)),1)
*IF($F22=Mid_Period,(1+IF($E22=Nominal,M$9,INDEX($I$9:$X$9,,MATCH($E22,$I$7:$X$7,0))))^INDEX(Timing_Adj,MATCH($F22,Cash_Timing,0)),1),"N/A")</f>
        <v>0.87847040533624532</v>
      </c>
      <c r="N22" s="137" cm="1">
        <f t="array" ref="N22">IFERROR(IF($G22=Nominal,N$10:N$10,INDEX($I$10:$X$10,,MATCH($G22,$I$7:$X$7,0)))
/IF($E22=Nominal,N$10,INDEX($I$10:$X$10,,MATCH($E22,$I$7:$X$7,0)))
*IF($H22=Mid_Period,1/(1+IF($G22=Nominal,N$9,INDEX($I$9:$X$9,,MATCH($G22,$I$7:$X$7,0))))^INDEX(Timing_Adj,MATCH($H22,Cash_Timing,0)),1)
*IF($F22=Mid_Period,(1+IF($E22=Nominal,N$9,INDEX($I$9:$X$9,,MATCH($E22,$I$7:$X$7,0))))^INDEX(Timing_Adj,MATCH($F22,Cash_Timing,0)),1),"N/A")</f>
        <v>0.89608961520549557</v>
      </c>
      <c r="O22" s="137" cm="1">
        <f t="array" ref="O22">IFERROR(IF($G22=Nominal,O$10:O$10,INDEX($I$10:$X$10,,MATCH($G22,$I$7:$X$7,0)))
/IF($E22=Nominal,O$10,INDEX($I$10:$X$10,,MATCH($E22,$I$7:$X$7,0)))
*IF($H22=Mid_Period,1/(1+IF($G22=Nominal,O$9,INDEX($I$9:$X$9,,MATCH($G22,$I$7:$X$7,0))))^INDEX(Timing_Adj,MATCH($H22,Cash_Timing,0)),1)
*IF($F22=Mid_Period,(1+IF($E22=Nominal,O$9,INDEX($I$9:$X$9,,MATCH($E22,$I$7:$X$7,0))))^INDEX(Timing_Adj,MATCH($F22,Cash_Timing,0)),1),"N/A")</f>
        <v>0.91253299803178578</v>
      </c>
      <c r="P22" s="137" cm="1">
        <f t="array" ref="P22">IFERROR(IF($G22=Nominal,P$10:P$10,INDEX($I$10:$X$10,,MATCH($G22,$I$7:$X$7,0)))
/IF($E22=Nominal,P$10,INDEX($I$10:$X$10,,MATCH($E22,$I$7:$X$7,0)))
*IF($H22=Mid_Period,1/(1+IF($G22=Nominal,P$9,INDEX($I$9:$X$9,,MATCH($G22,$I$7:$X$7,0))))^INDEX(Timing_Adj,MATCH($H22,Cash_Timing,0)),1)
*IF($F22=Mid_Period,(1+IF($E22=Nominal,P$9,INDEX($I$9:$X$9,,MATCH($E22,$I$7:$X$7,0))))^INDEX(Timing_Adj,MATCH($F22,Cash_Timing,0)),1),"N/A")</f>
        <v>0.91816845608474973</v>
      </c>
      <c r="Q22" s="137" cm="1">
        <f t="array" ref="Q22">IFERROR(IF($G22=Nominal,Q$10:Q$10,INDEX($I$10:$X$10,,MATCH($G22,$I$7:$X$7,0)))
/IF($E22=Nominal,Q$10,INDEX($I$10:$X$10,,MATCH($E22,$I$7:$X$7,0)))
*IF($H22=Mid_Period,1/(1+IF($G22=Nominal,Q$9,INDEX($I$9:$X$9,,MATCH($G22,$I$7:$X$7,0))))^INDEX(Timing_Adj,MATCH($H22,Cash_Timing,0)),1)
*IF($F22=Mid_Period,(1+IF($E22=Nominal,Q$9,INDEX($I$9:$X$9,,MATCH($E22,$I$7:$X$7,0))))^INDEX(Timing_Adj,MATCH($F22,Cash_Timing,0)),1),"N/A")</f>
        <v>0.93402746041351004</v>
      </c>
      <c r="R22" s="137" cm="1">
        <f t="array" ref="R22">IFERROR(IF($G22=Nominal,R$10:R$10,INDEX($I$10:$X$10,,MATCH($G22,$I$7:$X$7,0)))
/IF($E22=Nominal,R$10,INDEX($I$10:$X$10,,MATCH($E22,$I$7:$X$7,0)))
*IF($H22=Mid_Period,1/(1+IF($G22=Nominal,R$9,INDEX($I$9:$X$9,,MATCH($G22,$I$7:$X$7,0))))^INDEX(Timing_Adj,MATCH($H22,Cash_Timing,0)),1)
*IF($F22=Mid_Period,(1+IF($E22=Nominal,R$9,INDEX($I$9:$X$9,,MATCH($E22,$I$7:$X$7,0))))^INDEX(Timing_Adj,MATCH($F22,Cash_Timing,0)),1),"N/A")</f>
        <v>0.96481882379851358</v>
      </c>
      <c r="S22" s="137" cm="1">
        <f t="array" ref="S22">IFERROR(IF($G22=Nominal,S$10:S$10,INDEX($I$10:$X$10,,MATCH($G22,$I$7:$X$7,0)))
/IF($E22=Nominal,S$10,INDEX($I$10:$X$10,,MATCH($E22,$I$7:$X$7,0)))
*IF($H22=Mid_Period,1/(1+IF($G22=Nominal,S$9,INDEX($I$9:$X$9,,MATCH($G22,$I$7:$X$7,0))))^INDEX(Timing_Adj,MATCH($H22,Cash_Timing,0)),1)
*IF($F22=Mid_Period,(1+IF($E22=Nominal,S$9,INDEX($I$9:$X$9,,MATCH($E22,$I$7:$X$7,0))))^INDEX(Timing_Adj,MATCH($F22,Cash_Timing,0)),1),"N/A")</f>
        <v>0.98893635286829751</v>
      </c>
      <c r="T22" s="137" cm="1">
        <f t="array" ref="T22">IFERROR(IF($G22=Nominal,T$10:T$10,INDEX($I$10:$X$10,,MATCH($G22,$I$7:$X$7,0)))
/IF($E22=Nominal,T$10,INDEX($I$10:$X$10,,MATCH($E22,$I$7:$X$7,0)))
*IF($H22=Mid_Period,1/(1+IF($G22=Nominal,T$9,INDEX($I$9:$X$9,,MATCH($G22,$I$7:$X$7,0))))^INDEX(Timing_Adj,MATCH($H22,Cash_Timing,0)),1)
*IF($F22=Mid_Period,(1+IF($E22=Nominal,T$9,INDEX($I$9:$X$9,,MATCH($E22,$I$7:$X$7,0))))^INDEX(Timing_Adj,MATCH($F22,Cash_Timing,0)),1),"N/A")</f>
        <v>1.0116815401726158</v>
      </c>
      <c r="U22" s="137" cm="1">
        <f t="array" ref="U22">IFERROR(IF($G22=Nominal,U$10:U$10,INDEX($I$10:$X$10,,MATCH($G22,$I$7:$X$7,0)))
/IF($E22=Nominal,U$10,INDEX($I$10:$X$10,,MATCH($E22,$I$7:$X$7,0)))
*IF($H22=Mid_Period,1/(1+IF($G22=Nominal,U$9,INDEX($I$9:$X$9,,MATCH($G22,$I$7:$X$7,0))))^INDEX(Timing_Adj,MATCH($H22,Cash_Timing,0)),1)
*IF($F22=Mid_Period,(1+IF($E22=Nominal,U$9,INDEX($I$9:$X$9,,MATCH($E22,$I$7:$X$7,0))))^INDEX(Timing_Adj,MATCH($F22,Cash_Timing,0)),1),"N/A")</f>
        <v>1.0354555897043178</v>
      </c>
      <c r="V22" s="137" cm="1">
        <f t="array" ref="V22">IFERROR(IF($G22=Nominal,V$10:V$10,INDEX($I$10:$X$10,,MATCH($G22,$I$7:$X$7,0)))
/IF($E22=Nominal,V$10,INDEX($I$10:$X$10,,MATCH($E22,$I$7:$X$7,0)))
*IF($H22=Mid_Period,1/(1+IF($G22=Nominal,V$9,INDEX($I$9:$X$9,,MATCH($G22,$I$7:$X$7,0))))^INDEX(Timing_Adj,MATCH($H22,Cash_Timing,0)),1)
*IF($F22=Mid_Period,(1+IF($E22=Nominal,V$9,INDEX($I$9:$X$9,,MATCH($E22,$I$7:$X$7,0))))^INDEX(Timing_Adj,MATCH($F22,Cash_Timing,0)),1),"N/A")</f>
        <v>1.0597883184336649</v>
      </c>
      <c r="W22" s="137" cm="1">
        <f t="array" ref="W22">IFERROR(IF($G22=Nominal,W$10:W$10,INDEX($I$10:$X$10,,MATCH($G22,$I$7:$X$7,0)))
/IF($E22=Nominal,W$10,INDEX($I$10:$X$10,,MATCH($E22,$I$7:$X$7,0)))
*IF($H22=Mid_Period,1/(1+IF($G22=Nominal,W$9,INDEX($I$9:$X$9,,MATCH($G22,$I$7:$X$7,0))))^INDEX(Timing_Adj,MATCH($H22,Cash_Timing,0)),1)
*IF($F22=Mid_Period,(1+IF($E22=Nominal,W$9,INDEX($I$9:$X$9,,MATCH($E22,$I$7:$X$7,0))))^INDEX(Timing_Adj,MATCH($F22,Cash_Timing,0)),1),"N/A")</f>
        <v>1.0846928550640973</v>
      </c>
      <c r="X22" s="137" cm="1">
        <f t="array" ref="X22">IFERROR(IF($G22=Nominal,X$10:X$10,INDEX($I$10:$X$10,,MATCH($G22,$I$7:$X$7,0)))
/IF($E22=Nominal,X$10,INDEX($I$10:$X$10,,MATCH($E22,$I$7:$X$7,0)))
*IF($H22=Mid_Period,1/(1+IF($G22=Nominal,X$9,INDEX($I$9:$X$9,,MATCH($G22,$I$7:$X$7,0))))^INDEX(Timing_Adj,MATCH($H22,Cash_Timing,0)),1)
*IF($F22=Mid_Period,(1+IF($E22=Nominal,X$9,INDEX($I$9:$X$9,,MATCH($E22,$I$7:$X$7,0))))^INDEX(Timing_Adj,MATCH($F22,Cash_Timing,0)),1),"N/A")</f>
        <v>1.1101826368175305</v>
      </c>
    </row>
    <row r="23" spans="2:24" ht="11.25" customHeight="1" x14ac:dyDescent="0.2">
      <c r="D23" s="6" t="str">
        <f t="shared" ref="D23" si="10">IF(E23=Nominal,"","Real ")&amp;E23&amp;" ("&amp;F23&amp;") to "
&amp;IF(G23=Nominal,"","Real ")&amp;G23&amp;" ("&amp;H23&amp;")"</f>
        <v>Real 2021 (End Period) to Real 2023 (End Period)</v>
      </c>
      <c r="E23" s="139">
        <v>2021</v>
      </c>
      <c r="F23" s="139" t="s">
        <v>90</v>
      </c>
      <c r="G23" s="139">
        <v>2023</v>
      </c>
      <c r="H23" s="139" t="s">
        <v>90</v>
      </c>
      <c r="I23" s="137" cm="1">
        <f t="array" ref="I23">IFERROR(IF($G23=Nominal,I$10:I$10,INDEX($I$10:$X$10,,MATCH($G23,$I$7:$X$7,0)))
/IF($E23=Nominal,I$10,INDEX($I$10:$X$10,,MATCH($E23,$I$7:$X$7,0)))
*IF($H23=Mid_Period,1/(1+IF($G23=Nominal,I$9,INDEX($I$9:$X$9,,MATCH($G23,$I$7:$X$7,0))))^INDEX(Timing_Adj,MATCH($H23,Cash_Timing,0)),1)
*IF($F23=Mid_Period,(1+IF($E23=Nominal,I$9,INDEX($I$9:$X$9,,MATCH($E23,$I$7:$X$7,0))))^INDEX(Timing_Adj,MATCH($F23,Cash_Timing,0)),1),"N/A")</f>
        <v>1.0506187499999999</v>
      </c>
      <c r="J23" s="137" cm="1">
        <f t="array" ref="J23">IFERROR(IF($G23=Nominal,J$10:J$10,INDEX($I$10:$X$10,,MATCH($G23,$I$7:$X$7,0)))
/IF($E23=Nominal,J$10,INDEX($I$10:$X$10,,MATCH($E23,$I$7:$X$7,0)))
*IF($H23=Mid_Period,1/(1+IF($G23=Nominal,J$9,INDEX($I$9:$X$9,,MATCH($G23,$I$7:$X$7,0))))^INDEX(Timing_Adj,MATCH($H23,Cash_Timing,0)),1)
*IF($F23=Mid_Period,(1+IF($E23=Nominal,J$9,INDEX($I$9:$X$9,,MATCH($E23,$I$7:$X$7,0))))^INDEX(Timing_Adj,MATCH($F23,Cash_Timing,0)),1),"N/A")</f>
        <v>1.0506187499999999</v>
      </c>
      <c r="K23" s="137" cm="1">
        <f t="array" ref="K23">IFERROR(IF($G23=Nominal,K$10:K$10,INDEX($I$10:$X$10,,MATCH($G23,$I$7:$X$7,0)))
/IF($E23=Nominal,K$10,INDEX($I$10:$X$10,,MATCH($E23,$I$7:$X$7,0)))
*IF($H23=Mid_Period,1/(1+IF($G23=Nominal,K$9,INDEX($I$9:$X$9,,MATCH($G23,$I$7:$X$7,0))))^INDEX(Timing_Adj,MATCH($H23,Cash_Timing,0)),1)
*IF($F23=Mid_Period,(1+IF($E23=Nominal,K$9,INDEX($I$9:$X$9,,MATCH($E23,$I$7:$X$7,0))))^INDEX(Timing_Adj,MATCH($F23,Cash_Timing,0)),1),"N/A")</f>
        <v>1.0506187499999999</v>
      </c>
      <c r="L23" s="137" cm="1">
        <f t="array" ref="L23">IFERROR(IF($G23=Nominal,L$10:L$10,INDEX($I$10:$X$10,,MATCH($G23,$I$7:$X$7,0)))
/IF($E23=Nominal,L$10,INDEX($I$10:$X$10,,MATCH($E23,$I$7:$X$7,0)))
*IF($H23=Mid_Period,1/(1+IF($G23=Nominal,L$9,INDEX($I$9:$X$9,,MATCH($G23,$I$7:$X$7,0))))^INDEX(Timing_Adj,MATCH($H23,Cash_Timing,0)),1)
*IF($F23=Mid_Period,(1+IF($E23=Nominal,L$9,INDEX($I$9:$X$9,,MATCH($E23,$I$7:$X$7,0))))^INDEX(Timing_Adj,MATCH($F23,Cash_Timing,0)),1),"N/A")</f>
        <v>1.0506187499999999</v>
      </c>
      <c r="M23" s="137" cm="1">
        <f t="array" ref="M23">IFERROR(IF($G23=Nominal,M$10:M$10,INDEX($I$10:$X$10,,MATCH($G23,$I$7:$X$7,0)))
/IF($E23=Nominal,M$10,INDEX($I$10:$X$10,,MATCH($E23,$I$7:$X$7,0)))
*IF($H23=Mid_Period,1/(1+IF($G23=Nominal,M$9,INDEX($I$9:$X$9,,MATCH($G23,$I$7:$X$7,0))))^INDEX(Timing_Adj,MATCH($H23,Cash_Timing,0)),1)
*IF($F23=Mid_Period,(1+IF($E23=Nominal,M$9,INDEX($I$9:$X$9,,MATCH($E23,$I$7:$X$7,0))))^INDEX(Timing_Adj,MATCH($F23,Cash_Timing,0)),1),"N/A")</f>
        <v>1.0506187499999999</v>
      </c>
      <c r="N23" s="137" cm="1">
        <f t="array" ref="N23">IFERROR(IF($G23=Nominal,N$10:N$10,INDEX($I$10:$X$10,,MATCH($G23,$I$7:$X$7,0)))
/IF($E23=Nominal,N$10,INDEX($I$10:$X$10,,MATCH($E23,$I$7:$X$7,0)))
*IF($H23=Mid_Period,1/(1+IF($G23=Nominal,N$9,INDEX($I$9:$X$9,,MATCH($G23,$I$7:$X$7,0))))^INDEX(Timing_Adj,MATCH($H23,Cash_Timing,0)),1)
*IF($F23=Mid_Period,(1+IF($E23=Nominal,N$9,INDEX($I$9:$X$9,,MATCH($E23,$I$7:$X$7,0))))^INDEX(Timing_Adj,MATCH($F23,Cash_Timing,0)),1),"N/A")</f>
        <v>1.0506187499999999</v>
      </c>
      <c r="O23" s="137" cm="1">
        <f t="array" ref="O23">IFERROR(IF($G23=Nominal,O$10:O$10,INDEX($I$10:$X$10,,MATCH($G23,$I$7:$X$7,0)))
/IF($E23=Nominal,O$10,INDEX($I$10:$X$10,,MATCH($E23,$I$7:$X$7,0)))
*IF($H23=Mid_Period,1/(1+IF($G23=Nominal,O$9,INDEX($I$9:$X$9,,MATCH($G23,$I$7:$X$7,0))))^INDEX(Timing_Adj,MATCH($H23,Cash_Timing,0)),1)
*IF($F23=Mid_Period,(1+IF($E23=Nominal,O$9,INDEX($I$9:$X$9,,MATCH($E23,$I$7:$X$7,0))))^INDEX(Timing_Adj,MATCH($F23,Cash_Timing,0)),1),"N/A")</f>
        <v>1.0506187499999999</v>
      </c>
      <c r="P23" s="137" cm="1">
        <f t="array" ref="P23">IFERROR(IF($G23=Nominal,P$10:P$10,INDEX($I$10:$X$10,,MATCH($G23,$I$7:$X$7,0)))
/IF($E23=Nominal,P$10,INDEX($I$10:$X$10,,MATCH($E23,$I$7:$X$7,0)))
*IF($H23=Mid_Period,1/(1+IF($G23=Nominal,P$9,INDEX($I$9:$X$9,,MATCH($G23,$I$7:$X$7,0))))^INDEX(Timing_Adj,MATCH($H23,Cash_Timing,0)),1)
*IF($F23=Mid_Period,(1+IF($E23=Nominal,P$9,INDEX($I$9:$X$9,,MATCH($E23,$I$7:$X$7,0))))^INDEX(Timing_Adj,MATCH($F23,Cash_Timing,0)),1),"N/A")</f>
        <v>1.0506187499999999</v>
      </c>
      <c r="Q23" s="137" cm="1">
        <f t="array" ref="Q23">IFERROR(IF($G23=Nominal,Q$10:Q$10,INDEX($I$10:$X$10,,MATCH($G23,$I$7:$X$7,0)))
/IF($E23=Nominal,Q$10,INDEX($I$10:$X$10,,MATCH($E23,$I$7:$X$7,0)))
*IF($H23=Mid_Period,1/(1+IF($G23=Nominal,Q$9,INDEX($I$9:$X$9,,MATCH($G23,$I$7:$X$7,0))))^INDEX(Timing_Adj,MATCH($H23,Cash_Timing,0)),1)
*IF($F23=Mid_Period,(1+IF($E23=Nominal,Q$9,INDEX($I$9:$X$9,,MATCH($E23,$I$7:$X$7,0))))^INDEX(Timing_Adj,MATCH($F23,Cash_Timing,0)),1),"N/A")</f>
        <v>1.0506187499999999</v>
      </c>
      <c r="R23" s="137" cm="1">
        <f t="array" ref="R23">IFERROR(IF($G23=Nominal,R$10:R$10,INDEX($I$10:$X$10,,MATCH($G23,$I$7:$X$7,0)))
/IF($E23=Nominal,R$10,INDEX($I$10:$X$10,,MATCH($E23,$I$7:$X$7,0)))
*IF($H23=Mid_Period,1/(1+IF($G23=Nominal,R$9,INDEX($I$9:$X$9,,MATCH($G23,$I$7:$X$7,0))))^INDEX(Timing_Adj,MATCH($H23,Cash_Timing,0)),1)
*IF($F23=Mid_Period,(1+IF($E23=Nominal,R$9,INDEX($I$9:$X$9,,MATCH($E23,$I$7:$X$7,0))))^INDEX(Timing_Adj,MATCH($F23,Cash_Timing,0)),1),"N/A")</f>
        <v>1.0506187499999999</v>
      </c>
      <c r="S23" s="137" cm="1">
        <f t="array" ref="S23">IFERROR(IF($G23=Nominal,S$10:S$10,INDEX($I$10:$X$10,,MATCH($G23,$I$7:$X$7,0)))
/IF($E23=Nominal,S$10,INDEX($I$10:$X$10,,MATCH($E23,$I$7:$X$7,0)))
*IF($H23=Mid_Period,1/(1+IF($G23=Nominal,S$9,INDEX($I$9:$X$9,,MATCH($G23,$I$7:$X$7,0))))^INDEX(Timing_Adj,MATCH($H23,Cash_Timing,0)),1)
*IF($F23=Mid_Period,(1+IF($E23=Nominal,S$9,INDEX($I$9:$X$9,,MATCH($E23,$I$7:$X$7,0))))^INDEX(Timing_Adj,MATCH($F23,Cash_Timing,0)),1),"N/A")</f>
        <v>1.0506187499999999</v>
      </c>
      <c r="T23" s="137" cm="1">
        <f t="array" ref="T23">IFERROR(IF($G23=Nominal,T$10:T$10,INDEX($I$10:$X$10,,MATCH($G23,$I$7:$X$7,0)))
/IF($E23=Nominal,T$10,INDEX($I$10:$X$10,,MATCH($E23,$I$7:$X$7,0)))
*IF($H23=Mid_Period,1/(1+IF($G23=Nominal,T$9,INDEX($I$9:$X$9,,MATCH($G23,$I$7:$X$7,0))))^INDEX(Timing_Adj,MATCH($H23,Cash_Timing,0)),1)
*IF($F23=Mid_Period,(1+IF($E23=Nominal,T$9,INDEX($I$9:$X$9,,MATCH($E23,$I$7:$X$7,0))))^INDEX(Timing_Adj,MATCH($F23,Cash_Timing,0)),1),"N/A")</f>
        <v>1.0506187499999999</v>
      </c>
      <c r="U23" s="137" cm="1">
        <f t="array" ref="U23">IFERROR(IF($G23=Nominal,U$10:U$10,INDEX($I$10:$X$10,,MATCH($G23,$I$7:$X$7,0)))
/IF($E23=Nominal,U$10,INDEX($I$10:$X$10,,MATCH($E23,$I$7:$X$7,0)))
*IF($H23=Mid_Period,1/(1+IF($G23=Nominal,U$9,INDEX($I$9:$X$9,,MATCH($G23,$I$7:$X$7,0))))^INDEX(Timing_Adj,MATCH($H23,Cash_Timing,0)),1)
*IF($F23=Mid_Period,(1+IF($E23=Nominal,U$9,INDEX($I$9:$X$9,,MATCH($E23,$I$7:$X$7,0))))^INDEX(Timing_Adj,MATCH($F23,Cash_Timing,0)),1),"N/A")</f>
        <v>1.0506187499999999</v>
      </c>
      <c r="V23" s="137" cm="1">
        <f t="array" ref="V23">IFERROR(IF($G23=Nominal,V$10:V$10,INDEX($I$10:$X$10,,MATCH($G23,$I$7:$X$7,0)))
/IF($E23=Nominal,V$10,INDEX($I$10:$X$10,,MATCH($E23,$I$7:$X$7,0)))
*IF($H23=Mid_Period,1/(1+IF($G23=Nominal,V$9,INDEX($I$9:$X$9,,MATCH($G23,$I$7:$X$7,0))))^INDEX(Timing_Adj,MATCH($H23,Cash_Timing,0)),1)
*IF($F23=Mid_Period,(1+IF($E23=Nominal,V$9,INDEX($I$9:$X$9,,MATCH($E23,$I$7:$X$7,0))))^INDEX(Timing_Adj,MATCH($F23,Cash_Timing,0)),1),"N/A")</f>
        <v>1.0506187499999999</v>
      </c>
      <c r="W23" s="137" cm="1">
        <f t="array" ref="W23">IFERROR(IF($G23=Nominal,W$10:W$10,INDEX($I$10:$X$10,,MATCH($G23,$I$7:$X$7,0)))
/IF($E23=Nominal,W$10,INDEX($I$10:$X$10,,MATCH($E23,$I$7:$X$7,0)))
*IF($H23=Mid_Period,1/(1+IF($G23=Nominal,W$9,INDEX($I$9:$X$9,,MATCH($G23,$I$7:$X$7,0))))^INDEX(Timing_Adj,MATCH($H23,Cash_Timing,0)),1)
*IF($F23=Mid_Period,(1+IF($E23=Nominal,W$9,INDEX($I$9:$X$9,,MATCH($E23,$I$7:$X$7,0))))^INDEX(Timing_Adj,MATCH($F23,Cash_Timing,0)),1),"N/A")</f>
        <v>1.0506187499999999</v>
      </c>
      <c r="X23" s="137" cm="1">
        <f t="array" ref="X23">IFERROR(IF($G23=Nominal,X$10:X$10,INDEX($I$10:$X$10,,MATCH($G23,$I$7:$X$7,0)))
/IF($E23=Nominal,X$10,INDEX($I$10:$X$10,,MATCH($E23,$I$7:$X$7,0)))
*IF($H23=Mid_Period,1/(1+IF($G23=Nominal,X$9,INDEX($I$9:$X$9,,MATCH($G23,$I$7:$X$7,0))))^INDEX(Timing_Adj,MATCH($H23,Cash_Timing,0)),1)
*IF($F23=Mid_Period,(1+IF($E23=Nominal,X$9,INDEX($I$9:$X$9,,MATCH($E23,$I$7:$X$7,0))))^INDEX(Timing_Adj,MATCH($F23,Cash_Timing,0)),1),"N/A")</f>
        <v>1.0506187499999999</v>
      </c>
    </row>
    <row r="24" spans="2:24" ht="11.25" customHeight="1" x14ac:dyDescent="0.2">
      <c r="D24" s="6" t="str">
        <f t="shared" ref="D24" si="11">IF(E24=Nominal,"","Real ")&amp;E24&amp;" ("&amp;F24&amp;") to "
&amp;IF(G24=Nominal,"","Real ")&amp;G24&amp;" ("&amp;H24&amp;")"</f>
        <v>Real 2021 (End Period) to Nominal (Mid Period)</v>
      </c>
      <c r="E24" s="139">
        <v>2021</v>
      </c>
      <c r="F24" s="139" t="s">
        <v>90</v>
      </c>
      <c r="G24" s="139" t="s">
        <v>67</v>
      </c>
      <c r="H24" s="139" t="s">
        <v>91</v>
      </c>
      <c r="I24" s="137" cm="1">
        <f t="array" ref="I24">IFERROR(IF($G24=Nominal,I$10:I$10,INDEX($I$10:$X$10,,MATCH($G24,$I$7:$X$7,0)))
/IF($E24=Nominal,I$10,INDEX($I$10:$X$10,,MATCH($E24,$I$7:$X$7,0)))
*IF($H24=Mid_Period,1/(1+IF($G24=Nominal,I$9,INDEX($I$9:$X$9,,MATCH($G24,$I$7:$X$7,0))))^INDEX(Timing_Adj,MATCH($H24,Cash_Timing,0)),1)
*IF($F24=Mid_Period,(1+IF($E24=Nominal,I$9,INDEX($I$9:$X$9,,MATCH($E24,$I$7:$X$7,0))))^INDEX(Timing_Adj,MATCH($F24,Cash_Timing,0)),1),"N/A")</f>
        <v>0.85515920150390023</v>
      </c>
      <c r="J24" s="137" cm="1">
        <f t="array" ref="J24">IFERROR(IF($G24=Nominal,J$10:J$10,INDEX($I$10:$X$10,,MATCH($G24,$I$7:$X$7,0)))
/IF($E24=Nominal,J$10,INDEX($I$10:$X$10,,MATCH($E24,$I$7:$X$7,0)))
*IF($H24=Mid_Period,1/(1+IF($G24=Nominal,J$9,INDEX($I$9:$X$9,,MATCH($G24,$I$7:$X$7,0))))^INDEX(Timing_Adj,MATCH($H24,Cash_Timing,0)),1)
*IF($F24=Mid_Period,(1+IF($E24=Nominal,J$9,INDEX($I$9:$X$9,,MATCH($E24,$I$7:$X$7,0))))^INDEX(Timing_Adj,MATCH($F24,Cash_Timing,0)),1),"N/A")</f>
        <v>0.87827009785868737</v>
      </c>
      <c r="K24" s="137" cm="1">
        <f t="array" ref="K24">IFERROR(IF($G24=Nominal,K$10:K$10,INDEX($I$10:$X$10,,MATCH($G24,$I$7:$X$7,0)))
/IF($E24=Nominal,K$10,INDEX($I$10:$X$10,,MATCH($E24,$I$7:$X$7,0)))
*IF($H24=Mid_Period,1/(1+IF($G24=Nominal,K$9,INDEX($I$9:$X$9,,MATCH($G24,$I$7:$X$7,0))))^INDEX(Timing_Adj,MATCH($H24,Cash_Timing,0)),1)
*IF($F24=Mid_Period,(1+IF($E24=Nominal,K$9,INDEX($I$9:$X$9,,MATCH($E24,$I$7:$X$7,0))))^INDEX(Timing_Adj,MATCH($F24,Cash_Timing,0)),1),"N/A")</f>
        <v>0.89812290315705356</v>
      </c>
      <c r="L24" s="137" cm="1">
        <f t="array" ref="L24">IFERROR(IF($G24=Nominal,L$10:L$10,INDEX($I$10:$X$10,,MATCH($G24,$I$7:$X$7,0)))
/IF($E24=Nominal,L$10,INDEX($I$10:$X$10,,MATCH($E24,$I$7:$X$7,0)))
*IF($H24=Mid_Period,1/(1+IF($G24=Nominal,L$9,INDEX($I$9:$X$9,,MATCH($G24,$I$7:$X$7,0))))^INDEX(Timing_Adj,MATCH($H24,Cash_Timing,0)),1)
*IF($F24=Mid_Period,(1+IF($E24=Nominal,L$9,INDEX($I$9:$X$9,,MATCH($E24,$I$7:$X$7,0))))^INDEX(Timing_Adj,MATCH($F24,Cash_Timing,0)),1),"N/A")</f>
        <v>0.90950000148174981</v>
      </c>
      <c r="M24" s="137" cm="1">
        <f t="array" ref="M24">IFERROR(IF($G24=Nominal,M$10:M$10,INDEX($I$10:$X$10,,MATCH($G24,$I$7:$X$7,0)))
/IF($E24=Nominal,M$10,INDEX($I$10:$X$10,,MATCH($E24,$I$7:$X$7,0)))
*IF($H24=Mid_Period,1/(1+IF($G24=Nominal,M$9,INDEX($I$9:$X$9,,MATCH($G24,$I$7:$X$7,0))))^INDEX(Timing_Adj,MATCH($H24,Cash_Timing,0)),1)
*IF($F24=Mid_Period,(1+IF($E24=Nominal,M$9,INDEX($I$9:$X$9,,MATCH($E24,$I$7:$X$7,0))))^INDEX(Timing_Adj,MATCH($F24,Cash_Timing,0)),1),"N/A")</f>
        <v>0.92293747916635938</v>
      </c>
      <c r="N24" s="137" cm="1">
        <f t="array" ref="N24">IFERROR(IF($G24=Nominal,N$10:N$10,INDEX($I$10:$X$10,,MATCH($G24,$I$7:$X$7,0)))
/IF($E24=Nominal,N$10,INDEX($I$10:$X$10,,MATCH($E24,$I$7:$X$7,0)))
*IF($H24=Mid_Period,1/(1+IF($G24=Nominal,N$9,INDEX($I$9:$X$9,,MATCH($G24,$I$7:$X$7,0))))^INDEX(Timing_Adj,MATCH($H24,Cash_Timing,0)),1)
*IF($F24=Mid_Period,(1+IF($E24=Nominal,N$9,INDEX($I$9:$X$9,,MATCH($E24,$I$7:$X$7,0))))^INDEX(Timing_Adj,MATCH($F24,Cash_Timing,0)),1),"N/A")</f>
        <v>0.9414485514151788</v>
      </c>
      <c r="O24" s="137" cm="1">
        <f t="array" ref="O24">IFERROR(IF($G24=Nominal,O$10:O$10,INDEX($I$10:$X$10,,MATCH($G24,$I$7:$X$7,0)))
/IF($E24=Nominal,O$10,INDEX($I$10:$X$10,,MATCH($E24,$I$7:$X$7,0)))
*IF($H24=Mid_Period,1/(1+IF($G24=Nominal,O$9,INDEX($I$9:$X$9,,MATCH($G24,$I$7:$X$7,0))))^INDEX(Timing_Adj,MATCH($H24,Cash_Timing,0)),1)
*IF($F24=Mid_Period,(1+IF($E24=Nominal,O$9,INDEX($I$9:$X$9,,MATCH($E24,$I$7:$X$7,0))))^INDEX(Timing_Adj,MATCH($F24,Cash_Timing,0)),1),"N/A")</f>
        <v>0.95872427772590729</v>
      </c>
      <c r="P24" s="137" cm="1">
        <f t="array" ref="P24">IFERROR(IF($G24=Nominal,P$10:P$10,INDEX($I$10:$X$10,,MATCH($G24,$I$7:$X$7,0)))
/IF($E24=Nominal,P$10,INDEX($I$10:$X$10,,MATCH($E24,$I$7:$X$7,0)))
*IF($H24=Mid_Period,1/(1+IF($G24=Nominal,P$9,INDEX($I$9:$X$9,,MATCH($G24,$I$7:$X$7,0))))^INDEX(Timing_Adj,MATCH($H24,Cash_Timing,0)),1)
*IF($F24=Mid_Period,(1+IF($E24=Nominal,P$9,INDEX($I$9:$X$9,,MATCH($E24,$I$7:$X$7,0))))^INDEX(Timing_Adj,MATCH($F24,Cash_Timing,0)),1),"N/A")</f>
        <v>0.96464499562118977</v>
      </c>
      <c r="Q24" s="137" cm="1">
        <f t="array" ref="Q24">IFERROR(IF($G24=Nominal,Q$10:Q$10,INDEX($I$10:$X$10,,MATCH($G24,$I$7:$X$7,0)))
/IF($E24=Nominal,Q$10,INDEX($I$10:$X$10,,MATCH($E24,$I$7:$X$7,0)))
*IF($H24=Mid_Period,1/(1+IF($G24=Nominal,Q$9,INDEX($I$9:$X$9,,MATCH($G24,$I$7:$X$7,0))))^INDEX(Timing_Adj,MATCH($H24,Cash_Timing,0)),1)
*IF($F24=Mid_Period,(1+IF($E24=Nominal,Q$9,INDEX($I$9:$X$9,,MATCH($E24,$I$7:$X$7,0))))^INDEX(Timing_Adj,MATCH($F24,Cash_Timing,0)),1),"N/A")</f>
        <v>0.98130676292531649</v>
      </c>
      <c r="R24" s="137" cm="1">
        <f t="array" ref="R24">IFERROR(IF($G24=Nominal,R$10:R$10,INDEX($I$10:$X$10,,MATCH($G24,$I$7:$X$7,0)))
/IF($E24=Nominal,R$10,INDEX($I$10:$X$10,,MATCH($E24,$I$7:$X$7,0)))
*IF($H24=Mid_Period,1/(1+IF($G24=Nominal,R$9,INDEX($I$9:$X$9,,MATCH($G24,$I$7:$X$7,0))))^INDEX(Timing_Adj,MATCH($H24,Cash_Timing,0)),1)
*IF($F24=Mid_Period,(1+IF($E24=Nominal,R$9,INDEX($I$9:$X$9,,MATCH($E24,$I$7:$X$7,0))))^INDEX(Timing_Adj,MATCH($F24,Cash_Timing,0)),1),"N/A")</f>
        <v>1.0136567466356647</v>
      </c>
      <c r="S24" s="137" cm="1">
        <f t="array" ref="S24">IFERROR(IF($G24=Nominal,S$10:S$10,INDEX($I$10:$X$10,,MATCH($G24,$I$7:$X$7,0)))
/IF($E24=Nominal,S$10,INDEX($I$10:$X$10,,MATCH($E24,$I$7:$X$7,0)))
*IF($H24=Mid_Period,1/(1+IF($G24=Nominal,S$9,INDEX($I$9:$X$9,,MATCH($G24,$I$7:$X$7,0))))^INDEX(Timing_Adj,MATCH($H24,Cash_Timing,0)),1)
*IF($F24=Mid_Period,(1+IF($E24=Nominal,S$9,INDEX($I$9:$X$9,,MATCH($E24,$I$7:$X$7,0))))^INDEX(Timing_Adj,MATCH($F24,Cash_Timing,0)),1),"N/A")</f>
        <v>1.0389950748800496</v>
      </c>
      <c r="T24" s="137" cm="1">
        <f t="array" ref="T24">IFERROR(IF($G24=Nominal,T$10:T$10,INDEX($I$10:$X$10,,MATCH($G24,$I$7:$X$7,0)))
/IF($E24=Nominal,T$10,INDEX($I$10:$X$10,,MATCH($E24,$I$7:$X$7,0)))
*IF($H24=Mid_Period,1/(1+IF($G24=Nominal,T$9,INDEX($I$9:$X$9,,MATCH($G24,$I$7:$X$7,0))))^INDEX(Timing_Adj,MATCH($H24,Cash_Timing,0)),1)
*IF($F24=Mid_Period,(1+IF($E24=Nominal,T$9,INDEX($I$9:$X$9,,MATCH($E24,$I$7:$X$7,0))))^INDEX(Timing_Adj,MATCH($F24,Cash_Timing,0)),1),"N/A")</f>
        <v>1.0628915951342284</v>
      </c>
      <c r="U24" s="137" cm="1">
        <f t="array" ref="U24">IFERROR(IF($G24=Nominal,U$10:U$10,INDEX($I$10:$X$10,,MATCH($G24,$I$7:$X$7,0)))
/IF($E24=Nominal,U$10,INDEX($I$10:$X$10,,MATCH($E24,$I$7:$X$7,0)))
*IF($H24=Mid_Period,1/(1+IF($G24=Nominal,U$9,INDEX($I$9:$X$9,,MATCH($G24,$I$7:$X$7,0))))^INDEX(Timing_Adj,MATCH($H24,Cash_Timing,0)),1)
*IF($F24=Mid_Period,(1+IF($E24=Nominal,U$9,INDEX($I$9:$X$9,,MATCH($E24,$I$7:$X$7,0))))^INDEX(Timing_Adj,MATCH($F24,Cash_Timing,0)),1),"N/A")</f>
        <v>1.0878690573356633</v>
      </c>
      <c r="V24" s="137" cm="1">
        <f t="array" ref="V24">IFERROR(IF($G24=Nominal,V$10:V$10,INDEX($I$10:$X$10,,MATCH($G24,$I$7:$X$7,0)))
/IF($E24=Nominal,V$10,INDEX($I$10:$X$10,,MATCH($E24,$I$7:$X$7,0)))
*IF($H24=Mid_Period,1/(1+IF($G24=Nominal,V$9,INDEX($I$9:$X$9,,MATCH($G24,$I$7:$X$7,0))))^INDEX(Timing_Adj,MATCH($H24,Cash_Timing,0)),1)
*IF($F24=Mid_Period,(1+IF($E24=Nominal,V$9,INDEX($I$9:$X$9,,MATCH($E24,$I$7:$X$7,0))))^INDEX(Timing_Adj,MATCH($F24,Cash_Timing,0)),1),"N/A")</f>
        <v>1.1134334783773792</v>
      </c>
      <c r="W24" s="137" cm="1">
        <f t="array" ref="W24">IFERROR(IF($G24=Nominal,W$10:W$10,INDEX($I$10:$X$10,,MATCH($G24,$I$7:$X$7,0)))
/IF($E24=Nominal,W$10,INDEX($I$10:$X$10,,MATCH($E24,$I$7:$X$7,0)))
*IF($H24=Mid_Period,1/(1+IF($G24=Nominal,W$9,INDEX($I$9:$X$9,,MATCH($G24,$I$7:$X$7,0))))^INDEX(Timing_Adj,MATCH($H24,Cash_Timing,0)),1)
*IF($F24=Mid_Period,(1+IF($E24=Nominal,W$9,INDEX($I$9:$X$9,,MATCH($E24,$I$7:$X$7,0))))^INDEX(Timing_Adj,MATCH($F24,Cash_Timing,0)),1),"N/A")</f>
        <v>1.1395986515213732</v>
      </c>
      <c r="X24" s="137" cm="1">
        <f t="array" ref="X24">IFERROR(IF($G24=Nominal,X$10:X$10,INDEX($I$10:$X$10,,MATCH($G24,$I$7:$X$7,0)))
/IF($E24=Nominal,X$10,INDEX($I$10:$X$10,,MATCH($E24,$I$7:$X$7,0)))
*IF($H24=Mid_Period,1/(1+IF($G24=Nominal,X$9,INDEX($I$9:$X$9,,MATCH($G24,$I$7:$X$7,0))))^INDEX(Timing_Adj,MATCH($H24,Cash_Timing,0)),1)
*IF($F24=Mid_Period,(1+IF($E24=Nominal,X$9,INDEX($I$9:$X$9,,MATCH($E24,$I$7:$X$7,0))))^INDEX(Timing_Adj,MATCH($F24,Cash_Timing,0)),1),"N/A")</f>
        <v>1.1663786941649381</v>
      </c>
    </row>
    <row r="25" spans="2:24" ht="11.25" customHeight="1" x14ac:dyDescent="0.2">
      <c r="D25" s="6" t="str">
        <f t="shared" ref="D25" si="12">IF(E25=Nominal,"","Real ")&amp;E25&amp;" ("&amp;F25&amp;") to "
&amp;IF(G25=Nominal,"","Real ")&amp;G25&amp;" ("&amp;H25&amp;")"</f>
        <v>Nominal (End Period) to Nominal (End Period)</v>
      </c>
      <c r="E25" s="139" t="s">
        <v>67</v>
      </c>
      <c r="F25" s="139" t="s">
        <v>90</v>
      </c>
      <c r="G25" s="139" t="s">
        <v>67</v>
      </c>
      <c r="H25" s="139" t="s">
        <v>90</v>
      </c>
      <c r="I25" s="137" cm="1">
        <f t="array" ref="I25">IFERROR(IF($G25=Nominal,I$10:I$10,INDEX($I$10:$X$10,,MATCH($G25,$I$7:$X$7,0)))
/IF($E25=Nominal,I$10,INDEX($I$10:$X$10,,MATCH($E25,$I$7:$X$7,0)))
*IF($H25=Mid_Period,1/(1+IF($G25=Nominal,I$9,INDEX($I$9:$X$9,,MATCH($G25,$I$7:$X$7,0))))^INDEX(Timing_Adj,MATCH($H25,Cash_Timing,0)),1)
*IF($F25=Mid_Period,(1+IF($E25=Nominal,I$9,INDEX($I$9:$X$9,,MATCH($E25,$I$7:$X$7,0))))^INDEX(Timing_Adj,MATCH($F25,Cash_Timing,0)),1),"N/A")</f>
        <v>1</v>
      </c>
      <c r="J25" s="137" cm="1">
        <f t="array" ref="J25">IFERROR(IF($G25=Nominal,J$10:J$10,INDEX($I$10:$X$10,,MATCH($G25,$I$7:$X$7,0)))
/IF($E25=Nominal,J$10,INDEX($I$10:$X$10,,MATCH($E25,$I$7:$X$7,0)))
*IF($H25=Mid_Period,1/(1+IF($G25=Nominal,J$9,INDEX($I$9:$X$9,,MATCH($G25,$I$7:$X$7,0))))^INDEX(Timing_Adj,MATCH($H25,Cash_Timing,0)),1)
*IF($F25=Mid_Period,(1+IF($E25=Nominal,J$9,INDEX($I$9:$X$9,,MATCH($E25,$I$7:$X$7,0))))^INDEX(Timing_Adj,MATCH($F25,Cash_Timing,0)),1),"N/A")</f>
        <v>1</v>
      </c>
      <c r="K25" s="137" cm="1">
        <f t="array" ref="K25">IFERROR(IF($G25=Nominal,K$10:K$10,INDEX($I$10:$X$10,,MATCH($G25,$I$7:$X$7,0)))
/IF($E25=Nominal,K$10,INDEX($I$10:$X$10,,MATCH($E25,$I$7:$X$7,0)))
*IF($H25=Mid_Period,1/(1+IF($G25=Nominal,K$9,INDEX($I$9:$X$9,,MATCH($G25,$I$7:$X$7,0))))^INDEX(Timing_Adj,MATCH($H25,Cash_Timing,0)),1)
*IF($F25=Mid_Period,(1+IF($E25=Nominal,K$9,INDEX($I$9:$X$9,,MATCH($E25,$I$7:$X$7,0))))^INDEX(Timing_Adj,MATCH($F25,Cash_Timing,0)),1),"N/A")</f>
        <v>1</v>
      </c>
      <c r="L25" s="137" cm="1">
        <f t="array" ref="L25">IFERROR(IF($G25=Nominal,L$10:L$10,INDEX($I$10:$X$10,,MATCH($G25,$I$7:$X$7,0)))
/IF($E25=Nominal,L$10,INDEX($I$10:$X$10,,MATCH($E25,$I$7:$X$7,0)))
*IF($H25=Mid_Period,1/(1+IF($G25=Nominal,L$9,INDEX($I$9:$X$9,,MATCH($G25,$I$7:$X$7,0))))^INDEX(Timing_Adj,MATCH($H25,Cash_Timing,0)),1)
*IF($F25=Mid_Period,(1+IF($E25=Nominal,L$9,INDEX($I$9:$X$9,,MATCH($E25,$I$7:$X$7,0))))^INDEX(Timing_Adj,MATCH($F25,Cash_Timing,0)),1),"N/A")</f>
        <v>1</v>
      </c>
      <c r="M25" s="137" cm="1">
        <f t="array" ref="M25">IFERROR(IF($G25=Nominal,M$10:M$10,INDEX($I$10:$X$10,,MATCH($G25,$I$7:$X$7,0)))
/IF($E25=Nominal,M$10,INDEX($I$10:$X$10,,MATCH($E25,$I$7:$X$7,0)))
*IF($H25=Mid_Period,1/(1+IF($G25=Nominal,M$9,INDEX($I$9:$X$9,,MATCH($G25,$I$7:$X$7,0))))^INDEX(Timing_Adj,MATCH($H25,Cash_Timing,0)),1)
*IF($F25=Mid_Period,(1+IF($E25=Nominal,M$9,INDEX($I$9:$X$9,,MATCH($E25,$I$7:$X$7,0))))^INDEX(Timing_Adj,MATCH($F25,Cash_Timing,0)),1),"N/A")</f>
        <v>1</v>
      </c>
      <c r="N25" s="137" cm="1">
        <f t="array" ref="N25">IFERROR(IF($G25=Nominal,N$10:N$10,INDEX($I$10:$X$10,,MATCH($G25,$I$7:$X$7,0)))
/IF($E25=Nominal,N$10,INDEX($I$10:$X$10,,MATCH($E25,$I$7:$X$7,0)))
*IF($H25=Mid_Period,1/(1+IF($G25=Nominal,N$9,INDEX($I$9:$X$9,,MATCH($G25,$I$7:$X$7,0))))^INDEX(Timing_Adj,MATCH($H25,Cash_Timing,0)),1)
*IF($F25=Mid_Period,(1+IF($E25=Nominal,N$9,INDEX($I$9:$X$9,,MATCH($E25,$I$7:$X$7,0))))^INDEX(Timing_Adj,MATCH($F25,Cash_Timing,0)),1),"N/A")</f>
        <v>1</v>
      </c>
      <c r="O25" s="137" cm="1">
        <f t="array" ref="O25">IFERROR(IF($G25=Nominal,O$10:O$10,INDEX($I$10:$X$10,,MATCH($G25,$I$7:$X$7,0)))
/IF($E25=Nominal,O$10,INDEX($I$10:$X$10,,MATCH($E25,$I$7:$X$7,0)))
*IF($H25=Mid_Period,1/(1+IF($G25=Nominal,O$9,INDEX($I$9:$X$9,,MATCH($G25,$I$7:$X$7,0))))^INDEX(Timing_Adj,MATCH($H25,Cash_Timing,0)),1)
*IF($F25=Mid_Period,(1+IF($E25=Nominal,O$9,INDEX($I$9:$X$9,,MATCH($E25,$I$7:$X$7,0))))^INDEX(Timing_Adj,MATCH($F25,Cash_Timing,0)),1),"N/A")</f>
        <v>1</v>
      </c>
      <c r="P25" s="137" cm="1">
        <f t="array" ref="P25">IFERROR(IF($G25=Nominal,P$10:P$10,INDEX($I$10:$X$10,,MATCH($G25,$I$7:$X$7,0)))
/IF($E25=Nominal,P$10,INDEX($I$10:$X$10,,MATCH($E25,$I$7:$X$7,0)))
*IF($H25=Mid_Period,1/(1+IF($G25=Nominal,P$9,INDEX($I$9:$X$9,,MATCH($G25,$I$7:$X$7,0))))^INDEX(Timing_Adj,MATCH($H25,Cash_Timing,0)),1)
*IF($F25=Mid_Period,(1+IF($E25=Nominal,P$9,INDEX($I$9:$X$9,,MATCH($E25,$I$7:$X$7,0))))^INDEX(Timing_Adj,MATCH($F25,Cash_Timing,0)),1),"N/A")</f>
        <v>1</v>
      </c>
      <c r="Q25" s="137" cm="1">
        <f t="array" ref="Q25">IFERROR(IF($G25=Nominal,Q$10:Q$10,INDEX($I$10:$X$10,,MATCH($G25,$I$7:$X$7,0)))
/IF($E25=Nominal,Q$10,INDEX($I$10:$X$10,,MATCH($E25,$I$7:$X$7,0)))
*IF($H25=Mid_Period,1/(1+IF($G25=Nominal,Q$9,INDEX($I$9:$X$9,,MATCH($G25,$I$7:$X$7,0))))^INDEX(Timing_Adj,MATCH($H25,Cash_Timing,0)),1)
*IF($F25=Mid_Period,(1+IF($E25=Nominal,Q$9,INDEX($I$9:$X$9,,MATCH($E25,$I$7:$X$7,0))))^INDEX(Timing_Adj,MATCH($F25,Cash_Timing,0)),1),"N/A")</f>
        <v>1</v>
      </c>
      <c r="R25" s="137" cm="1">
        <f t="array" ref="R25">IFERROR(IF($G25=Nominal,R$10:R$10,INDEX($I$10:$X$10,,MATCH($G25,$I$7:$X$7,0)))
/IF($E25=Nominal,R$10,INDEX($I$10:$X$10,,MATCH($E25,$I$7:$X$7,0)))
*IF($H25=Mid_Period,1/(1+IF($G25=Nominal,R$9,INDEX($I$9:$X$9,,MATCH($G25,$I$7:$X$7,0))))^INDEX(Timing_Adj,MATCH($H25,Cash_Timing,0)),1)
*IF($F25=Mid_Period,(1+IF($E25=Nominal,R$9,INDEX($I$9:$X$9,,MATCH($E25,$I$7:$X$7,0))))^INDEX(Timing_Adj,MATCH($F25,Cash_Timing,0)),1),"N/A")</f>
        <v>1</v>
      </c>
      <c r="S25" s="137" cm="1">
        <f t="array" ref="S25">IFERROR(IF($G25=Nominal,S$10:S$10,INDEX($I$10:$X$10,,MATCH($G25,$I$7:$X$7,0)))
/IF($E25=Nominal,S$10,INDEX($I$10:$X$10,,MATCH($E25,$I$7:$X$7,0)))
*IF($H25=Mid_Period,1/(1+IF($G25=Nominal,S$9,INDEX($I$9:$X$9,,MATCH($G25,$I$7:$X$7,0))))^INDEX(Timing_Adj,MATCH($H25,Cash_Timing,0)),1)
*IF($F25=Mid_Period,(1+IF($E25=Nominal,S$9,INDEX($I$9:$X$9,,MATCH($E25,$I$7:$X$7,0))))^INDEX(Timing_Adj,MATCH($F25,Cash_Timing,0)),1),"N/A")</f>
        <v>1</v>
      </c>
      <c r="T25" s="137" cm="1">
        <f t="array" ref="T25">IFERROR(IF($G25=Nominal,T$10:T$10,INDEX($I$10:$X$10,,MATCH($G25,$I$7:$X$7,0)))
/IF($E25=Nominal,T$10,INDEX($I$10:$X$10,,MATCH($E25,$I$7:$X$7,0)))
*IF($H25=Mid_Period,1/(1+IF($G25=Nominal,T$9,INDEX($I$9:$X$9,,MATCH($G25,$I$7:$X$7,0))))^INDEX(Timing_Adj,MATCH($H25,Cash_Timing,0)),1)
*IF($F25=Mid_Period,(1+IF($E25=Nominal,T$9,INDEX($I$9:$X$9,,MATCH($E25,$I$7:$X$7,0))))^INDEX(Timing_Adj,MATCH($F25,Cash_Timing,0)),1),"N/A")</f>
        <v>1</v>
      </c>
      <c r="U25" s="137" cm="1">
        <f t="array" ref="U25">IFERROR(IF($G25=Nominal,U$10:U$10,INDEX($I$10:$X$10,,MATCH($G25,$I$7:$X$7,0)))
/IF($E25=Nominal,U$10,INDEX($I$10:$X$10,,MATCH($E25,$I$7:$X$7,0)))
*IF($H25=Mid_Period,1/(1+IF($G25=Nominal,U$9,INDEX($I$9:$X$9,,MATCH($G25,$I$7:$X$7,0))))^INDEX(Timing_Adj,MATCH($H25,Cash_Timing,0)),1)
*IF($F25=Mid_Period,(1+IF($E25=Nominal,U$9,INDEX($I$9:$X$9,,MATCH($E25,$I$7:$X$7,0))))^INDEX(Timing_Adj,MATCH($F25,Cash_Timing,0)),1),"N/A")</f>
        <v>1</v>
      </c>
      <c r="V25" s="137" cm="1">
        <f t="array" ref="V25">IFERROR(IF($G25=Nominal,V$10:V$10,INDEX($I$10:$X$10,,MATCH($G25,$I$7:$X$7,0)))
/IF($E25=Nominal,V$10,INDEX($I$10:$X$10,,MATCH($E25,$I$7:$X$7,0)))
*IF($H25=Mid_Period,1/(1+IF($G25=Nominal,V$9,INDEX($I$9:$X$9,,MATCH($G25,$I$7:$X$7,0))))^INDEX(Timing_Adj,MATCH($H25,Cash_Timing,0)),1)
*IF($F25=Mid_Period,(1+IF($E25=Nominal,V$9,INDEX($I$9:$X$9,,MATCH($E25,$I$7:$X$7,0))))^INDEX(Timing_Adj,MATCH($F25,Cash_Timing,0)),1),"N/A")</f>
        <v>1</v>
      </c>
      <c r="W25" s="137" cm="1">
        <f t="array" ref="W25">IFERROR(IF($G25=Nominal,W$10:W$10,INDEX($I$10:$X$10,,MATCH($G25,$I$7:$X$7,0)))
/IF($E25=Nominal,W$10,INDEX($I$10:$X$10,,MATCH($E25,$I$7:$X$7,0)))
*IF($H25=Mid_Period,1/(1+IF($G25=Nominal,W$9,INDEX($I$9:$X$9,,MATCH($G25,$I$7:$X$7,0))))^INDEX(Timing_Adj,MATCH($H25,Cash_Timing,0)),1)
*IF($F25=Mid_Period,(1+IF($E25=Nominal,W$9,INDEX($I$9:$X$9,,MATCH($E25,$I$7:$X$7,0))))^INDEX(Timing_Adj,MATCH($F25,Cash_Timing,0)),1),"N/A")</f>
        <v>1</v>
      </c>
      <c r="X25" s="137" cm="1">
        <f t="array" ref="X25">IFERROR(IF($G25=Nominal,X$10:X$10,INDEX($I$10:$X$10,,MATCH($G25,$I$7:$X$7,0)))
/IF($E25=Nominal,X$10,INDEX($I$10:$X$10,,MATCH($E25,$I$7:$X$7,0)))
*IF($H25=Mid_Period,1/(1+IF($G25=Nominal,X$9,INDEX($I$9:$X$9,,MATCH($G25,$I$7:$X$7,0))))^INDEX(Timing_Adj,MATCH($H25,Cash_Timing,0)),1)
*IF($F25=Mid_Period,(1+IF($E25=Nominal,X$9,INDEX($I$9:$X$9,,MATCH($E25,$I$7:$X$7,0))))^INDEX(Timing_Adj,MATCH($F25,Cash_Timing,0)),1),"N/A")</f>
        <v>1</v>
      </c>
    </row>
    <row r="26" spans="2:24" ht="11.25" customHeight="1" x14ac:dyDescent="0.2">
      <c r="D26" s="6" t="str">
        <f t="shared" ref="D26" si="13">IF(E26=Nominal,"","Real ")&amp;E26&amp;" ("&amp;F26&amp;") to "
&amp;IF(G26=Nominal,"","Real ")&amp;G26&amp;" ("&amp;H26&amp;")"</f>
        <v>Nominal (End Period) to Nominal (End Period)</v>
      </c>
      <c r="E26" s="139" t="s">
        <v>67</v>
      </c>
      <c r="F26" s="139" t="s">
        <v>90</v>
      </c>
      <c r="G26" s="139" t="s">
        <v>67</v>
      </c>
      <c r="H26" s="139" t="s">
        <v>90</v>
      </c>
      <c r="I26" s="137" cm="1">
        <f t="array" ref="I26">IFERROR(IF($G26=Nominal,I$10:I$10,INDEX($I$10:$X$10,,MATCH($G26,$I$7:$X$7,0)))
/IF($E26=Nominal,I$10,INDEX($I$10:$X$10,,MATCH($E26,$I$7:$X$7,0)))
*IF($H26=Mid_Period,1/(1+IF($G26=Nominal,I$9,INDEX($I$9:$X$9,,MATCH($G26,$I$7:$X$7,0))))^INDEX(Timing_Adj,MATCH($H26,Cash_Timing,0)),1)
*IF($F26=Mid_Period,(1+IF($E26=Nominal,I$9,INDEX($I$9:$X$9,,MATCH($E26,$I$7:$X$7,0))))^INDEX(Timing_Adj,MATCH($F26,Cash_Timing,0)),1),"N/A")</f>
        <v>1</v>
      </c>
      <c r="J26" s="137" cm="1">
        <f t="array" ref="J26">IFERROR(IF($G26=Nominal,J$10:J$10,INDEX($I$10:$X$10,,MATCH($G26,$I$7:$X$7,0)))
/IF($E26=Nominal,J$10,INDEX($I$10:$X$10,,MATCH($E26,$I$7:$X$7,0)))
*IF($H26=Mid_Period,1/(1+IF($G26=Nominal,J$9,INDEX($I$9:$X$9,,MATCH($G26,$I$7:$X$7,0))))^INDEX(Timing_Adj,MATCH($H26,Cash_Timing,0)),1)
*IF($F26=Mid_Period,(1+IF($E26=Nominal,J$9,INDEX($I$9:$X$9,,MATCH($E26,$I$7:$X$7,0))))^INDEX(Timing_Adj,MATCH($F26,Cash_Timing,0)),1),"N/A")</f>
        <v>1</v>
      </c>
      <c r="K26" s="137" cm="1">
        <f t="array" ref="K26">IFERROR(IF($G26=Nominal,K$10:K$10,INDEX($I$10:$X$10,,MATCH($G26,$I$7:$X$7,0)))
/IF($E26=Nominal,K$10,INDEX($I$10:$X$10,,MATCH($E26,$I$7:$X$7,0)))
*IF($H26=Mid_Period,1/(1+IF($G26=Nominal,K$9,INDEX($I$9:$X$9,,MATCH($G26,$I$7:$X$7,0))))^INDEX(Timing_Adj,MATCH($H26,Cash_Timing,0)),1)
*IF($F26=Mid_Period,(1+IF($E26=Nominal,K$9,INDEX($I$9:$X$9,,MATCH($E26,$I$7:$X$7,0))))^INDEX(Timing_Adj,MATCH($F26,Cash_Timing,0)),1),"N/A")</f>
        <v>1</v>
      </c>
      <c r="L26" s="137" cm="1">
        <f t="array" ref="L26">IFERROR(IF($G26=Nominal,L$10:L$10,INDEX($I$10:$X$10,,MATCH($G26,$I$7:$X$7,0)))
/IF($E26=Nominal,L$10,INDEX($I$10:$X$10,,MATCH($E26,$I$7:$X$7,0)))
*IF($H26=Mid_Period,1/(1+IF($G26=Nominal,L$9,INDEX($I$9:$X$9,,MATCH($G26,$I$7:$X$7,0))))^INDEX(Timing_Adj,MATCH($H26,Cash_Timing,0)),1)
*IF($F26=Mid_Period,(1+IF($E26=Nominal,L$9,INDEX($I$9:$X$9,,MATCH($E26,$I$7:$X$7,0))))^INDEX(Timing_Adj,MATCH($F26,Cash_Timing,0)),1),"N/A")</f>
        <v>1</v>
      </c>
      <c r="M26" s="137" cm="1">
        <f t="array" ref="M26">IFERROR(IF($G26=Nominal,M$10:M$10,INDEX($I$10:$X$10,,MATCH($G26,$I$7:$X$7,0)))
/IF($E26=Nominal,M$10,INDEX($I$10:$X$10,,MATCH($E26,$I$7:$X$7,0)))
*IF($H26=Mid_Period,1/(1+IF($G26=Nominal,M$9,INDEX($I$9:$X$9,,MATCH($G26,$I$7:$X$7,0))))^INDEX(Timing_Adj,MATCH($H26,Cash_Timing,0)),1)
*IF($F26=Mid_Period,(1+IF($E26=Nominal,M$9,INDEX($I$9:$X$9,,MATCH($E26,$I$7:$X$7,0))))^INDEX(Timing_Adj,MATCH($F26,Cash_Timing,0)),1),"N/A")</f>
        <v>1</v>
      </c>
      <c r="N26" s="137" cm="1">
        <f t="array" ref="N26">IFERROR(IF($G26=Nominal,N$10:N$10,INDEX($I$10:$X$10,,MATCH($G26,$I$7:$X$7,0)))
/IF($E26=Nominal,N$10,INDEX($I$10:$X$10,,MATCH($E26,$I$7:$X$7,0)))
*IF($H26=Mid_Period,1/(1+IF($G26=Nominal,N$9,INDEX($I$9:$X$9,,MATCH($G26,$I$7:$X$7,0))))^INDEX(Timing_Adj,MATCH($H26,Cash_Timing,0)),1)
*IF($F26=Mid_Period,(1+IF($E26=Nominal,N$9,INDEX($I$9:$X$9,,MATCH($E26,$I$7:$X$7,0))))^INDEX(Timing_Adj,MATCH($F26,Cash_Timing,0)),1),"N/A")</f>
        <v>1</v>
      </c>
      <c r="O26" s="137" cm="1">
        <f t="array" ref="O26">IFERROR(IF($G26=Nominal,O$10:O$10,INDEX($I$10:$X$10,,MATCH($G26,$I$7:$X$7,0)))
/IF($E26=Nominal,O$10,INDEX($I$10:$X$10,,MATCH($E26,$I$7:$X$7,0)))
*IF($H26=Mid_Period,1/(1+IF($G26=Nominal,O$9,INDEX($I$9:$X$9,,MATCH($G26,$I$7:$X$7,0))))^INDEX(Timing_Adj,MATCH($H26,Cash_Timing,0)),1)
*IF($F26=Mid_Period,(1+IF($E26=Nominal,O$9,INDEX($I$9:$X$9,,MATCH($E26,$I$7:$X$7,0))))^INDEX(Timing_Adj,MATCH($F26,Cash_Timing,0)),1),"N/A")</f>
        <v>1</v>
      </c>
      <c r="P26" s="137" cm="1">
        <f t="array" ref="P26">IFERROR(IF($G26=Nominal,P$10:P$10,INDEX($I$10:$X$10,,MATCH($G26,$I$7:$X$7,0)))
/IF($E26=Nominal,P$10,INDEX($I$10:$X$10,,MATCH($E26,$I$7:$X$7,0)))
*IF($H26=Mid_Period,1/(1+IF($G26=Nominal,P$9,INDEX($I$9:$X$9,,MATCH($G26,$I$7:$X$7,0))))^INDEX(Timing_Adj,MATCH($H26,Cash_Timing,0)),1)
*IF($F26=Mid_Period,(1+IF($E26=Nominal,P$9,INDEX($I$9:$X$9,,MATCH($E26,$I$7:$X$7,0))))^INDEX(Timing_Adj,MATCH($F26,Cash_Timing,0)),1),"N/A")</f>
        <v>1</v>
      </c>
      <c r="Q26" s="137" cm="1">
        <f t="array" ref="Q26">IFERROR(IF($G26=Nominal,Q$10:Q$10,INDEX($I$10:$X$10,,MATCH($G26,$I$7:$X$7,0)))
/IF($E26=Nominal,Q$10,INDEX($I$10:$X$10,,MATCH($E26,$I$7:$X$7,0)))
*IF($H26=Mid_Period,1/(1+IF($G26=Nominal,Q$9,INDEX($I$9:$X$9,,MATCH($G26,$I$7:$X$7,0))))^INDEX(Timing_Adj,MATCH($H26,Cash_Timing,0)),1)
*IF($F26=Mid_Period,(1+IF($E26=Nominal,Q$9,INDEX($I$9:$X$9,,MATCH($E26,$I$7:$X$7,0))))^INDEX(Timing_Adj,MATCH($F26,Cash_Timing,0)),1),"N/A")</f>
        <v>1</v>
      </c>
      <c r="R26" s="137" cm="1">
        <f t="array" ref="R26">IFERROR(IF($G26=Nominal,R$10:R$10,INDEX($I$10:$X$10,,MATCH($G26,$I$7:$X$7,0)))
/IF($E26=Nominal,R$10,INDEX($I$10:$X$10,,MATCH($E26,$I$7:$X$7,0)))
*IF($H26=Mid_Period,1/(1+IF($G26=Nominal,R$9,INDEX($I$9:$X$9,,MATCH($G26,$I$7:$X$7,0))))^INDEX(Timing_Adj,MATCH($H26,Cash_Timing,0)),1)
*IF($F26=Mid_Period,(1+IF($E26=Nominal,R$9,INDEX($I$9:$X$9,,MATCH($E26,$I$7:$X$7,0))))^INDEX(Timing_Adj,MATCH($F26,Cash_Timing,0)),1),"N/A")</f>
        <v>1</v>
      </c>
      <c r="S26" s="137" cm="1">
        <f t="array" ref="S26">IFERROR(IF($G26=Nominal,S$10:S$10,INDEX($I$10:$X$10,,MATCH($G26,$I$7:$X$7,0)))
/IF($E26=Nominal,S$10,INDEX($I$10:$X$10,,MATCH($E26,$I$7:$X$7,0)))
*IF($H26=Mid_Period,1/(1+IF($G26=Nominal,S$9,INDEX($I$9:$X$9,,MATCH($G26,$I$7:$X$7,0))))^INDEX(Timing_Adj,MATCH($H26,Cash_Timing,0)),1)
*IF($F26=Mid_Period,(1+IF($E26=Nominal,S$9,INDEX($I$9:$X$9,,MATCH($E26,$I$7:$X$7,0))))^INDEX(Timing_Adj,MATCH($F26,Cash_Timing,0)),1),"N/A")</f>
        <v>1</v>
      </c>
      <c r="T26" s="137" cm="1">
        <f t="array" ref="T26">IFERROR(IF($G26=Nominal,T$10:T$10,INDEX($I$10:$X$10,,MATCH($G26,$I$7:$X$7,0)))
/IF($E26=Nominal,T$10,INDEX($I$10:$X$10,,MATCH($E26,$I$7:$X$7,0)))
*IF($H26=Mid_Period,1/(1+IF($G26=Nominal,T$9,INDEX($I$9:$X$9,,MATCH($G26,$I$7:$X$7,0))))^INDEX(Timing_Adj,MATCH($H26,Cash_Timing,0)),1)
*IF($F26=Mid_Period,(1+IF($E26=Nominal,T$9,INDEX($I$9:$X$9,,MATCH($E26,$I$7:$X$7,0))))^INDEX(Timing_Adj,MATCH($F26,Cash_Timing,0)),1),"N/A")</f>
        <v>1</v>
      </c>
      <c r="U26" s="137" cm="1">
        <f t="array" ref="U26">IFERROR(IF($G26=Nominal,U$10:U$10,INDEX($I$10:$X$10,,MATCH($G26,$I$7:$X$7,0)))
/IF($E26=Nominal,U$10,INDEX($I$10:$X$10,,MATCH($E26,$I$7:$X$7,0)))
*IF($H26=Mid_Period,1/(1+IF($G26=Nominal,U$9,INDEX($I$9:$X$9,,MATCH($G26,$I$7:$X$7,0))))^INDEX(Timing_Adj,MATCH($H26,Cash_Timing,0)),1)
*IF($F26=Mid_Period,(1+IF($E26=Nominal,U$9,INDEX($I$9:$X$9,,MATCH($E26,$I$7:$X$7,0))))^INDEX(Timing_Adj,MATCH($F26,Cash_Timing,0)),1),"N/A")</f>
        <v>1</v>
      </c>
      <c r="V26" s="137" cm="1">
        <f t="array" ref="V26">IFERROR(IF($G26=Nominal,V$10:V$10,INDEX($I$10:$X$10,,MATCH($G26,$I$7:$X$7,0)))
/IF($E26=Nominal,V$10,INDEX($I$10:$X$10,,MATCH($E26,$I$7:$X$7,0)))
*IF($H26=Mid_Period,1/(1+IF($G26=Nominal,V$9,INDEX($I$9:$X$9,,MATCH($G26,$I$7:$X$7,0))))^INDEX(Timing_Adj,MATCH($H26,Cash_Timing,0)),1)
*IF($F26=Mid_Period,(1+IF($E26=Nominal,V$9,INDEX($I$9:$X$9,,MATCH($E26,$I$7:$X$7,0))))^INDEX(Timing_Adj,MATCH($F26,Cash_Timing,0)),1),"N/A")</f>
        <v>1</v>
      </c>
      <c r="W26" s="137" cm="1">
        <f t="array" ref="W26">IFERROR(IF($G26=Nominal,W$10:W$10,INDEX($I$10:$X$10,,MATCH($G26,$I$7:$X$7,0)))
/IF($E26=Nominal,W$10,INDEX($I$10:$X$10,,MATCH($E26,$I$7:$X$7,0)))
*IF($H26=Mid_Period,1/(1+IF($G26=Nominal,W$9,INDEX($I$9:$X$9,,MATCH($G26,$I$7:$X$7,0))))^INDEX(Timing_Adj,MATCH($H26,Cash_Timing,0)),1)
*IF($F26=Mid_Period,(1+IF($E26=Nominal,W$9,INDEX($I$9:$X$9,,MATCH($E26,$I$7:$X$7,0))))^INDEX(Timing_Adj,MATCH($F26,Cash_Timing,0)),1),"N/A")</f>
        <v>1</v>
      </c>
      <c r="X26" s="137" cm="1">
        <f t="array" ref="X26">IFERROR(IF($G26=Nominal,X$10:X$10,INDEX($I$10:$X$10,,MATCH($G26,$I$7:$X$7,0)))
/IF($E26=Nominal,X$10,INDEX($I$10:$X$10,,MATCH($E26,$I$7:$X$7,0)))
*IF($H26=Mid_Period,1/(1+IF($G26=Nominal,X$9,INDEX($I$9:$X$9,,MATCH($G26,$I$7:$X$7,0))))^INDEX(Timing_Adj,MATCH($H26,Cash_Timing,0)),1)
*IF($F26=Mid_Period,(1+IF($E26=Nominal,X$9,INDEX($I$9:$X$9,,MATCH($E26,$I$7:$X$7,0))))^INDEX(Timing_Adj,MATCH($F26,Cash_Timing,0)),1),"N/A")</f>
        <v>1</v>
      </c>
    </row>
    <row r="27" spans="2:24" ht="11.25" customHeight="1" x14ac:dyDescent="0.2">
      <c r="D27" s="6" t="str">
        <f t="shared" ref="D27" si="14">IF(E27=Nominal,"","Real ")&amp;E27&amp;" ("&amp;F27&amp;") to "
&amp;IF(G27=Nominal,"","Real ")&amp;G27&amp;" ("&amp;H27&amp;")"</f>
        <v>Nominal (End Period) to Nominal (End Period)</v>
      </c>
      <c r="E27" s="139" t="s">
        <v>67</v>
      </c>
      <c r="F27" s="139" t="s">
        <v>90</v>
      </c>
      <c r="G27" s="139" t="s">
        <v>67</v>
      </c>
      <c r="H27" s="139" t="s">
        <v>90</v>
      </c>
      <c r="I27" s="137" cm="1">
        <f t="array" ref="I27">IFERROR(IF($G27=Nominal,I$10:I$10,INDEX($I$10:$X$10,,MATCH($G27,$I$7:$X$7,0)))
/IF($E27=Nominal,I$10,INDEX($I$10:$X$10,,MATCH($E27,$I$7:$X$7,0)))
*IF($H27=Mid_Period,1/(1+IF($G27=Nominal,I$9,INDEX($I$9:$X$9,,MATCH($G27,$I$7:$X$7,0))))^INDEX(Timing_Adj,MATCH($H27,Cash_Timing,0)),1)
*IF($F27=Mid_Period,(1+IF($E27=Nominal,I$9,INDEX($I$9:$X$9,,MATCH($E27,$I$7:$X$7,0))))^INDEX(Timing_Adj,MATCH($F27,Cash_Timing,0)),1),"N/A")</f>
        <v>1</v>
      </c>
      <c r="J27" s="137" cm="1">
        <f t="array" ref="J27">IFERROR(IF($G27=Nominal,J$10:J$10,INDEX($I$10:$X$10,,MATCH($G27,$I$7:$X$7,0)))
/IF($E27=Nominal,J$10,INDEX($I$10:$X$10,,MATCH($E27,$I$7:$X$7,0)))
*IF($H27=Mid_Period,1/(1+IF($G27=Nominal,J$9,INDEX($I$9:$X$9,,MATCH($G27,$I$7:$X$7,0))))^INDEX(Timing_Adj,MATCH($H27,Cash_Timing,0)),1)
*IF($F27=Mid_Period,(1+IF($E27=Nominal,J$9,INDEX($I$9:$X$9,,MATCH($E27,$I$7:$X$7,0))))^INDEX(Timing_Adj,MATCH($F27,Cash_Timing,0)),1),"N/A")</f>
        <v>1</v>
      </c>
      <c r="K27" s="137" cm="1">
        <f t="array" ref="K27">IFERROR(IF($G27=Nominal,K$10:K$10,INDEX($I$10:$X$10,,MATCH($G27,$I$7:$X$7,0)))
/IF($E27=Nominal,K$10,INDEX($I$10:$X$10,,MATCH($E27,$I$7:$X$7,0)))
*IF($H27=Mid_Period,1/(1+IF($G27=Nominal,K$9,INDEX($I$9:$X$9,,MATCH($G27,$I$7:$X$7,0))))^INDEX(Timing_Adj,MATCH($H27,Cash_Timing,0)),1)
*IF($F27=Mid_Period,(1+IF($E27=Nominal,K$9,INDEX($I$9:$X$9,,MATCH($E27,$I$7:$X$7,0))))^INDEX(Timing_Adj,MATCH($F27,Cash_Timing,0)),1),"N/A")</f>
        <v>1</v>
      </c>
      <c r="L27" s="137" cm="1">
        <f t="array" ref="L27">IFERROR(IF($G27=Nominal,L$10:L$10,INDEX($I$10:$X$10,,MATCH($G27,$I$7:$X$7,0)))
/IF($E27=Nominal,L$10,INDEX($I$10:$X$10,,MATCH($E27,$I$7:$X$7,0)))
*IF($H27=Mid_Period,1/(1+IF($G27=Nominal,L$9,INDEX($I$9:$X$9,,MATCH($G27,$I$7:$X$7,0))))^INDEX(Timing_Adj,MATCH($H27,Cash_Timing,0)),1)
*IF($F27=Mid_Period,(1+IF($E27=Nominal,L$9,INDEX($I$9:$X$9,,MATCH($E27,$I$7:$X$7,0))))^INDEX(Timing_Adj,MATCH($F27,Cash_Timing,0)),1),"N/A")</f>
        <v>1</v>
      </c>
      <c r="M27" s="137" cm="1">
        <f t="array" ref="M27">IFERROR(IF($G27=Nominal,M$10:M$10,INDEX($I$10:$X$10,,MATCH($G27,$I$7:$X$7,0)))
/IF($E27=Nominal,M$10,INDEX($I$10:$X$10,,MATCH($E27,$I$7:$X$7,0)))
*IF($H27=Mid_Period,1/(1+IF($G27=Nominal,M$9,INDEX($I$9:$X$9,,MATCH($G27,$I$7:$X$7,0))))^INDEX(Timing_Adj,MATCH($H27,Cash_Timing,0)),1)
*IF($F27=Mid_Period,(1+IF($E27=Nominal,M$9,INDEX($I$9:$X$9,,MATCH($E27,$I$7:$X$7,0))))^INDEX(Timing_Adj,MATCH($F27,Cash_Timing,0)),1),"N/A")</f>
        <v>1</v>
      </c>
      <c r="N27" s="137" cm="1">
        <f t="array" ref="N27">IFERROR(IF($G27=Nominal,N$10:N$10,INDEX($I$10:$X$10,,MATCH($G27,$I$7:$X$7,0)))
/IF($E27=Nominal,N$10,INDEX($I$10:$X$10,,MATCH($E27,$I$7:$X$7,0)))
*IF($H27=Mid_Period,1/(1+IF($G27=Nominal,N$9,INDEX($I$9:$X$9,,MATCH($G27,$I$7:$X$7,0))))^INDEX(Timing_Adj,MATCH($H27,Cash_Timing,0)),1)
*IF($F27=Mid_Period,(1+IF($E27=Nominal,N$9,INDEX($I$9:$X$9,,MATCH($E27,$I$7:$X$7,0))))^INDEX(Timing_Adj,MATCH($F27,Cash_Timing,0)),1),"N/A")</f>
        <v>1</v>
      </c>
      <c r="O27" s="137" cm="1">
        <f t="array" ref="O27">IFERROR(IF($G27=Nominal,O$10:O$10,INDEX($I$10:$X$10,,MATCH($G27,$I$7:$X$7,0)))
/IF($E27=Nominal,O$10,INDEX($I$10:$X$10,,MATCH($E27,$I$7:$X$7,0)))
*IF($H27=Mid_Period,1/(1+IF($G27=Nominal,O$9,INDEX($I$9:$X$9,,MATCH($G27,$I$7:$X$7,0))))^INDEX(Timing_Adj,MATCH($H27,Cash_Timing,0)),1)
*IF($F27=Mid_Period,(1+IF($E27=Nominal,O$9,INDEX($I$9:$X$9,,MATCH($E27,$I$7:$X$7,0))))^INDEX(Timing_Adj,MATCH($F27,Cash_Timing,0)),1),"N/A")</f>
        <v>1</v>
      </c>
      <c r="P27" s="137" cm="1">
        <f t="array" ref="P27">IFERROR(IF($G27=Nominal,P$10:P$10,INDEX($I$10:$X$10,,MATCH($G27,$I$7:$X$7,0)))
/IF($E27=Nominal,P$10,INDEX($I$10:$X$10,,MATCH($E27,$I$7:$X$7,0)))
*IF($H27=Mid_Period,1/(1+IF($G27=Nominal,P$9,INDEX($I$9:$X$9,,MATCH($G27,$I$7:$X$7,0))))^INDEX(Timing_Adj,MATCH($H27,Cash_Timing,0)),1)
*IF($F27=Mid_Period,(1+IF($E27=Nominal,P$9,INDEX($I$9:$X$9,,MATCH($E27,$I$7:$X$7,0))))^INDEX(Timing_Adj,MATCH($F27,Cash_Timing,0)),1),"N/A")</f>
        <v>1</v>
      </c>
      <c r="Q27" s="137" cm="1">
        <f t="array" ref="Q27">IFERROR(IF($G27=Nominal,Q$10:Q$10,INDEX($I$10:$X$10,,MATCH($G27,$I$7:$X$7,0)))
/IF($E27=Nominal,Q$10,INDEX($I$10:$X$10,,MATCH($E27,$I$7:$X$7,0)))
*IF($H27=Mid_Period,1/(1+IF($G27=Nominal,Q$9,INDEX($I$9:$X$9,,MATCH($G27,$I$7:$X$7,0))))^INDEX(Timing_Adj,MATCH($H27,Cash_Timing,0)),1)
*IF($F27=Mid_Period,(1+IF($E27=Nominal,Q$9,INDEX($I$9:$X$9,,MATCH($E27,$I$7:$X$7,0))))^INDEX(Timing_Adj,MATCH($F27,Cash_Timing,0)),1),"N/A")</f>
        <v>1</v>
      </c>
      <c r="R27" s="137" cm="1">
        <f t="array" ref="R27">IFERROR(IF($G27=Nominal,R$10:R$10,INDEX($I$10:$X$10,,MATCH($G27,$I$7:$X$7,0)))
/IF($E27=Nominal,R$10,INDEX($I$10:$X$10,,MATCH($E27,$I$7:$X$7,0)))
*IF($H27=Mid_Period,1/(1+IF($G27=Nominal,R$9,INDEX($I$9:$X$9,,MATCH($G27,$I$7:$X$7,0))))^INDEX(Timing_Adj,MATCH($H27,Cash_Timing,0)),1)
*IF($F27=Mid_Period,(1+IF($E27=Nominal,R$9,INDEX($I$9:$X$9,,MATCH($E27,$I$7:$X$7,0))))^INDEX(Timing_Adj,MATCH($F27,Cash_Timing,0)),1),"N/A")</f>
        <v>1</v>
      </c>
      <c r="S27" s="137" cm="1">
        <f t="array" ref="S27">IFERROR(IF($G27=Nominal,S$10:S$10,INDEX($I$10:$X$10,,MATCH($G27,$I$7:$X$7,0)))
/IF($E27=Nominal,S$10,INDEX($I$10:$X$10,,MATCH($E27,$I$7:$X$7,0)))
*IF($H27=Mid_Period,1/(1+IF($G27=Nominal,S$9,INDEX($I$9:$X$9,,MATCH($G27,$I$7:$X$7,0))))^INDEX(Timing_Adj,MATCH($H27,Cash_Timing,0)),1)
*IF($F27=Mid_Period,(1+IF($E27=Nominal,S$9,INDEX($I$9:$X$9,,MATCH($E27,$I$7:$X$7,0))))^INDEX(Timing_Adj,MATCH($F27,Cash_Timing,0)),1),"N/A")</f>
        <v>1</v>
      </c>
      <c r="T27" s="137" cm="1">
        <f t="array" ref="T27">IFERROR(IF($G27=Nominal,T$10:T$10,INDEX($I$10:$X$10,,MATCH($G27,$I$7:$X$7,0)))
/IF($E27=Nominal,T$10,INDEX($I$10:$X$10,,MATCH($E27,$I$7:$X$7,0)))
*IF($H27=Mid_Period,1/(1+IF($G27=Nominal,T$9,INDEX($I$9:$X$9,,MATCH($G27,$I$7:$X$7,0))))^INDEX(Timing_Adj,MATCH($H27,Cash_Timing,0)),1)
*IF($F27=Mid_Period,(1+IF($E27=Nominal,T$9,INDEX($I$9:$X$9,,MATCH($E27,$I$7:$X$7,0))))^INDEX(Timing_Adj,MATCH($F27,Cash_Timing,0)),1),"N/A")</f>
        <v>1</v>
      </c>
      <c r="U27" s="137" cm="1">
        <f t="array" ref="U27">IFERROR(IF($G27=Nominal,U$10:U$10,INDEX($I$10:$X$10,,MATCH($G27,$I$7:$X$7,0)))
/IF($E27=Nominal,U$10,INDEX($I$10:$X$10,,MATCH($E27,$I$7:$X$7,0)))
*IF($H27=Mid_Period,1/(1+IF($G27=Nominal,U$9,INDEX($I$9:$X$9,,MATCH($G27,$I$7:$X$7,0))))^INDEX(Timing_Adj,MATCH($H27,Cash_Timing,0)),1)
*IF($F27=Mid_Period,(1+IF($E27=Nominal,U$9,INDEX($I$9:$X$9,,MATCH($E27,$I$7:$X$7,0))))^INDEX(Timing_Adj,MATCH($F27,Cash_Timing,0)),1),"N/A")</f>
        <v>1</v>
      </c>
      <c r="V27" s="137" cm="1">
        <f t="array" ref="V27">IFERROR(IF($G27=Nominal,V$10:V$10,INDEX($I$10:$X$10,,MATCH($G27,$I$7:$X$7,0)))
/IF($E27=Nominal,V$10,INDEX($I$10:$X$10,,MATCH($E27,$I$7:$X$7,0)))
*IF($H27=Mid_Period,1/(1+IF($G27=Nominal,V$9,INDEX($I$9:$X$9,,MATCH($G27,$I$7:$X$7,0))))^INDEX(Timing_Adj,MATCH($H27,Cash_Timing,0)),1)
*IF($F27=Mid_Period,(1+IF($E27=Nominal,V$9,INDEX($I$9:$X$9,,MATCH($E27,$I$7:$X$7,0))))^INDEX(Timing_Adj,MATCH($F27,Cash_Timing,0)),1),"N/A")</f>
        <v>1</v>
      </c>
      <c r="W27" s="137" cm="1">
        <f t="array" ref="W27">IFERROR(IF($G27=Nominal,W$10:W$10,INDEX($I$10:$X$10,,MATCH($G27,$I$7:$X$7,0)))
/IF($E27=Nominal,W$10,INDEX($I$10:$X$10,,MATCH($E27,$I$7:$X$7,0)))
*IF($H27=Mid_Period,1/(1+IF($G27=Nominal,W$9,INDEX($I$9:$X$9,,MATCH($G27,$I$7:$X$7,0))))^INDEX(Timing_Adj,MATCH($H27,Cash_Timing,0)),1)
*IF($F27=Mid_Period,(1+IF($E27=Nominal,W$9,INDEX($I$9:$X$9,,MATCH($E27,$I$7:$X$7,0))))^INDEX(Timing_Adj,MATCH($F27,Cash_Timing,0)),1),"N/A")</f>
        <v>1</v>
      </c>
      <c r="X27" s="137" cm="1">
        <f t="array" ref="X27">IFERROR(IF($G27=Nominal,X$10:X$10,INDEX($I$10:$X$10,,MATCH($G27,$I$7:$X$7,0)))
/IF($E27=Nominal,X$10,INDEX($I$10:$X$10,,MATCH($E27,$I$7:$X$7,0)))
*IF($H27=Mid_Period,1/(1+IF($G27=Nominal,X$9,INDEX($I$9:$X$9,,MATCH($G27,$I$7:$X$7,0))))^INDEX(Timing_Adj,MATCH($H27,Cash_Timing,0)),1)
*IF($F27=Mid_Period,(1+IF($E27=Nominal,X$9,INDEX($I$9:$X$9,,MATCH($E27,$I$7:$X$7,0))))^INDEX(Timing_Adj,MATCH($F27,Cash_Timing,0)),1),"N/A")</f>
        <v>1</v>
      </c>
    </row>
    <row r="28" spans="2:24" ht="11.25" customHeight="1" x14ac:dyDescent="0.2">
      <c r="D28" s="6" t="str">
        <f t="shared" ref="D28" si="15">IF(E28=Nominal,"","Real ")&amp;E28&amp;" ("&amp;F28&amp;") to "
&amp;IF(G28=Nominal,"","Real ")&amp;G28&amp;" ("&amp;H28&amp;")"</f>
        <v>Nominal (End Period) to Nominal (End Period)</v>
      </c>
      <c r="E28" s="139" t="s">
        <v>67</v>
      </c>
      <c r="F28" s="139" t="s">
        <v>90</v>
      </c>
      <c r="G28" s="139" t="s">
        <v>67</v>
      </c>
      <c r="H28" s="139" t="s">
        <v>90</v>
      </c>
      <c r="I28" s="137" cm="1">
        <f t="array" ref="I28">IFERROR(IF($G28=Nominal,I$10:I$10,INDEX($I$10:$X$10,,MATCH($G28,$I$7:$X$7,0)))
/IF($E28=Nominal,I$10,INDEX($I$10:$X$10,,MATCH($E28,$I$7:$X$7,0)))
*IF($H28=Mid_Period,1/(1+IF($G28=Nominal,I$9,INDEX($I$9:$X$9,,MATCH($G28,$I$7:$X$7,0))))^INDEX(Timing_Adj,MATCH($H28,Cash_Timing,0)),1)
*IF($F28=Mid_Period,(1+IF($E28=Nominal,I$9,INDEX($I$9:$X$9,,MATCH($E28,$I$7:$X$7,0))))^INDEX(Timing_Adj,MATCH($F28,Cash_Timing,0)),1),"N/A")</f>
        <v>1</v>
      </c>
      <c r="J28" s="137" cm="1">
        <f t="array" ref="J28">IFERROR(IF($G28=Nominal,J$10:J$10,INDEX($I$10:$X$10,,MATCH($G28,$I$7:$X$7,0)))
/IF($E28=Nominal,J$10,INDEX($I$10:$X$10,,MATCH($E28,$I$7:$X$7,0)))
*IF($H28=Mid_Period,1/(1+IF($G28=Nominal,J$9,INDEX($I$9:$X$9,,MATCH($G28,$I$7:$X$7,0))))^INDEX(Timing_Adj,MATCH($H28,Cash_Timing,0)),1)
*IF($F28=Mid_Period,(1+IF($E28=Nominal,J$9,INDEX($I$9:$X$9,,MATCH($E28,$I$7:$X$7,0))))^INDEX(Timing_Adj,MATCH($F28,Cash_Timing,0)),1),"N/A")</f>
        <v>1</v>
      </c>
      <c r="K28" s="137" cm="1">
        <f t="array" ref="K28">IFERROR(IF($G28=Nominal,K$10:K$10,INDEX($I$10:$X$10,,MATCH($G28,$I$7:$X$7,0)))
/IF($E28=Nominal,K$10,INDEX($I$10:$X$10,,MATCH($E28,$I$7:$X$7,0)))
*IF($H28=Mid_Period,1/(1+IF($G28=Nominal,K$9,INDEX($I$9:$X$9,,MATCH($G28,$I$7:$X$7,0))))^INDEX(Timing_Adj,MATCH($H28,Cash_Timing,0)),1)
*IF($F28=Mid_Period,(1+IF($E28=Nominal,K$9,INDEX($I$9:$X$9,,MATCH($E28,$I$7:$X$7,0))))^INDEX(Timing_Adj,MATCH($F28,Cash_Timing,0)),1),"N/A")</f>
        <v>1</v>
      </c>
      <c r="L28" s="137" cm="1">
        <f t="array" ref="L28">IFERROR(IF($G28=Nominal,L$10:L$10,INDEX($I$10:$X$10,,MATCH($G28,$I$7:$X$7,0)))
/IF($E28=Nominal,L$10,INDEX($I$10:$X$10,,MATCH($E28,$I$7:$X$7,0)))
*IF($H28=Mid_Period,1/(1+IF($G28=Nominal,L$9,INDEX($I$9:$X$9,,MATCH($G28,$I$7:$X$7,0))))^INDEX(Timing_Adj,MATCH($H28,Cash_Timing,0)),1)
*IF($F28=Mid_Period,(1+IF($E28=Nominal,L$9,INDEX($I$9:$X$9,,MATCH($E28,$I$7:$X$7,0))))^INDEX(Timing_Adj,MATCH($F28,Cash_Timing,0)),1),"N/A")</f>
        <v>1</v>
      </c>
      <c r="M28" s="137" cm="1">
        <f t="array" ref="M28">IFERROR(IF($G28=Nominal,M$10:M$10,INDEX($I$10:$X$10,,MATCH($G28,$I$7:$X$7,0)))
/IF($E28=Nominal,M$10,INDEX($I$10:$X$10,,MATCH($E28,$I$7:$X$7,0)))
*IF($H28=Mid_Period,1/(1+IF($G28=Nominal,M$9,INDEX($I$9:$X$9,,MATCH($G28,$I$7:$X$7,0))))^INDEX(Timing_Adj,MATCH($H28,Cash_Timing,0)),1)
*IF($F28=Mid_Period,(1+IF($E28=Nominal,M$9,INDEX($I$9:$X$9,,MATCH($E28,$I$7:$X$7,0))))^INDEX(Timing_Adj,MATCH($F28,Cash_Timing,0)),1),"N/A")</f>
        <v>1</v>
      </c>
      <c r="N28" s="137" cm="1">
        <f t="array" ref="N28">IFERROR(IF($G28=Nominal,N$10:N$10,INDEX($I$10:$X$10,,MATCH($G28,$I$7:$X$7,0)))
/IF($E28=Nominal,N$10,INDEX($I$10:$X$10,,MATCH($E28,$I$7:$X$7,0)))
*IF($H28=Mid_Period,1/(1+IF($G28=Nominal,N$9,INDEX($I$9:$X$9,,MATCH($G28,$I$7:$X$7,0))))^INDEX(Timing_Adj,MATCH($H28,Cash_Timing,0)),1)
*IF($F28=Mid_Period,(1+IF($E28=Nominal,N$9,INDEX($I$9:$X$9,,MATCH($E28,$I$7:$X$7,0))))^INDEX(Timing_Adj,MATCH($F28,Cash_Timing,0)),1),"N/A")</f>
        <v>1</v>
      </c>
      <c r="O28" s="137" cm="1">
        <f t="array" ref="O28">IFERROR(IF($G28=Nominal,O$10:O$10,INDEX($I$10:$X$10,,MATCH($G28,$I$7:$X$7,0)))
/IF($E28=Nominal,O$10,INDEX($I$10:$X$10,,MATCH($E28,$I$7:$X$7,0)))
*IF($H28=Mid_Period,1/(1+IF($G28=Nominal,O$9,INDEX($I$9:$X$9,,MATCH($G28,$I$7:$X$7,0))))^INDEX(Timing_Adj,MATCH($H28,Cash_Timing,0)),1)
*IF($F28=Mid_Period,(1+IF($E28=Nominal,O$9,INDEX($I$9:$X$9,,MATCH($E28,$I$7:$X$7,0))))^INDEX(Timing_Adj,MATCH($F28,Cash_Timing,0)),1),"N/A")</f>
        <v>1</v>
      </c>
      <c r="P28" s="137" cm="1">
        <f t="array" ref="P28">IFERROR(IF($G28=Nominal,P$10:P$10,INDEX($I$10:$X$10,,MATCH($G28,$I$7:$X$7,0)))
/IF($E28=Nominal,P$10,INDEX($I$10:$X$10,,MATCH($E28,$I$7:$X$7,0)))
*IF($H28=Mid_Period,1/(1+IF($G28=Nominal,P$9,INDEX($I$9:$X$9,,MATCH($G28,$I$7:$X$7,0))))^INDEX(Timing_Adj,MATCH($H28,Cash_Timing,0)),1)
*IF($F28=Mid_Period,(1+IF($E28=Nominal,P$9,INDEX($I$9:$X$9,,MATCH($E28,$I$7:$X$7,0))))^INDEX(Timing_Adj,MATCH($F28,Cash_Timing,0)),1),"N/A")</f>
        <v>1</v>
      </c>
      <c r="Q28" s="137" cm="1">
        <f t="array" ref="Q28">IFERROR(IF($G28=Nominal,Q$10:Q$10,INDEX($I$10:$X$10,,MATCH($G28,$I$7:$X$7,0)))
/IF($E28=Nominal,Q$10,INDEX($I$10:$X$10,,MATCH($E28,$I$7:$X$7,0)))
*IF($H28=Mid_Period,1/(1+IF($G28=Nominal,Q$9,INDEX($I$9:$X$9,,MATCH($G28,$I$7:$X$7,0))))^INDEX(Timing_Adj,MATCH($H28,Cash_Timing,0)),1)
*IF($F28=Mid_Period,(1+IF($E28=Nominal,Q$9,INDEX($I$9:$X$9,,MATCH($E28,$I$7:$X$7,0))))^INDEX(Timing_Adj,MATCH($F28,Cash_Timing,0)),1),"N/A")</f>
        <v>1</v>
      </c>
      <c r="R28" s="137" cm="1">
        <f t="array" ref="R28">IFERROR(IF($G28=Nominal,R$10:R$10,INDEX($I$10:$X$10,,MATCH($G28,$I$7:$X$7,0)))
/IF($E28=Nominal,R$10,INDEX($I$10:$X$10,,MATCH($E28,$I$7:$X$7,0)))
*IF($H28=Mid_Period,1/(1+IF($G28=Nominal,R$9,INDEX($I$9:$X$9,,MATCH($G28,$I$7:$X$7,0))))^INDEX(Timing_Adj,MATCH($H28,Cash_Timing,0)),1)
*IF($F28=Mid_Period,(1+IF($E28=Nominal,R$9,INDEX($I$9:$X$9,,MATCH($E28,$I$7:$X$7,0))))^INDEX(Timing_Adj,MATCH($F28,Cash_Timing,0)),1),"N/A")</f>
        <v>1</v>
      </c>
      <c r="S28" s="137" cm="1">
        <f t="array" ref="S28">IFERROR(IF($G28=Nominal,S$10:S$10,INDEX($I$10:$X$10,,MATCH($G28,$I$7:$X$7,0)))
/IF($E28=Nominal,S$10,INDEX($I$10:$X$10,,MATCH($E28,$I$7:$X$7,0)))
*IF($H28=Mid_Period,1/(1+IF($G28=Nominal,S$9,INDEX($I$9:$X$9,,MATCH($G28,$I$7:$X$7,0))))^INDEX(Timing_Adj,MATCH($H28,Cash_Timing,0)),1)
*IF($F28=Mid_Period,(1+IF($E28=Nominal,S$9,INDEX($I$9:$X$9,,MATCH($E28,$I$7:$X$7,0))))^INDEX(Timing_Adj,MATCH($F28,Cash_Timing,0)),1),"N/A")</f>
        <v>1</v>
      </c>
      <c r="T28" s="137" cm="1">
        <f t="array" ref="T28">IFERROR(IF($G28=Nominal,T$10:T$10,INDEX($I$10:$X$10,,MATCH($G28,$I$7:$X$7,0)))
/IF($E28=Nominal,T$10,INDEX($I$10:$X$10,,MATCH($E28,$I$7:$X$7,0)))
*IF($H28=Mid_Period,1/(1+IF($G28=Nominal,T$9,INDEX($I$9:$X$9,,MATCH($G28,$I$7:$X$7,0))))^INDEX(Timing_Adj,MATCH($H28,Cash_Timing,0)),1)
*IF($F28=Mid_Period,(1+IF($E28=Nominal,T$9,INDEX($I$9:$X$9,,MATCH($E28,$I$7:$X$7,0))))^INDEX(Timing_Adj,MATCH($F28,Cash_Timing,0)),1),"N/A")</f>
        <v>1</v>
      </c>
      <c r="U28" s="137" cm="1">
        <f t="array" ref="U28">IFERROR(IF($G28=Nominal,U$10:U$10,INDEX($I$10:$X$10,,MATCH($G28,$I$7:$X$7,0)))
/IF($E28=Nominal,U$10,INDEX($I$10:$X$10,,MATCH($E28,$I$7:$X$7,0)))
*IF($H28=Mid_Period,1/(1+IF($G28=Nominal,U$9,INDEX($I$9:$X$9,,MATCH($G28,$I$7:$X$7,0))))^INDEX(Timing_Adj,MATCH($H28,Cash_Timing,0)),1)
*IF($F28=Mid_Period,(1+IF($E28=Nominal,U$9,INDEX($I$9:$X$9,,MATCH($E28,$I$7:$X$7,0))))^INDEX(Timing_Adj,MATCH($F28,Cash_Timing,0)),1),"N/A")</f>
        <v>1</v>
      </c>
      <c r="V28" s="137" cm="1">
        <f t="array" ref="V28">IFERROR(IF($G28=Nominal,V$10:V$10,INDEX($I$10:$X$10,,MATCH($G28,$I$7:$X$7,0)))
/IF($E28=Nominal,V$10,INDEX($I$10:$X$10,,MATCH($E28,$I$7:$X$7,0)))
*IF($H28=Mid_Period,1/(1+IF($G28=Nominal,V$9,INDEX($I$9:$X$9,,MATCH($G28,$I$7:$X$7,0))))^INDEX(Timing_Adj,MATCH($H28,Cash_Timing,0)),1)
*IF($F28=Mid_Period,(1+IF($E28=Nominal,V$9,INDEX($I$9:$X$9,,MATCH($E28,$I$7:$X$7,0))))^INDEX(Timing_Adj,MATCH($F28,Cash_Timing,0)),1),"N/A")</f>
        <v>1</v>
      </c>
      <c r="W28" s="137" cm="1">
        <f t="array" ref="W28">IFERROR(IF($G28=Nominal,W$10:W$10,INDEX($I$10:$X$10,,MATCH($G28,$I$7:$X$7,0)))
/IF($E28=Nominal,W$10,INDEX($I$10:$X$10,,MATCH($E28,$I$7:$X$7,0)))
*IF($H28=Mid_Period,1/(1+IF($G28=Nominal,W$9,INDEX($I$9:$X$9,,MATCH($G28,$I$7:$X$7,0))))^INDEX(Timing_Adj,MATCH($H28,Cash_Timing,0)),1)
*IF($F28=Mid_Period,(1+IF($E28=Nominal,W$9,INDEX($I$9:$X$9,,MATCH($E28,$I$7:$X$7,0))))^INDEX(Timing_Adj,MATCH($F28,Cash_Timing,0)),1),"N/A")</f>
        <v>1</v>
      </c>
      <c r="X28" s="137" cm="1">
        <f t="array" ref="X28">IFERROR(IF($G28=Nominal,X$10:X$10,INDEX($I$10:$X$10,,MATCH($G28,$I$7:$X$7,0)))
/IF($E28=Nominal,X$10,INDEX($I$10:$X$10,,MATCH($E28,$I$7:$X$7,0)))
*IF($H28=Mid_Period,1/(1+IF($G28=Nominal,X$9,INDEX($I$9:$X$9,,MATCH($G28,$I$7:$X$7,0))))^INDEX(Timing_Adj,MATCH($H28,Cash_Timing,0)),1)
*IF($F28=Mid_Period,(1+IF($E28=Nominal,X$9,INDEX($I$9:$X$9,,MATCH($E28,$I$7:$X$7,0))))^INDEX(Timing_Adj,MATCH($F28,Cash_Timing,0)),1),"N/A")</f>
        <v>1</v>
      </c>
    </row>
    <row r="29" spans="2:24" ht="11.25" customHeight="1" x14ac:dyDescent="0.2">
      <c r="D29" s="6" t="str">
        <f t="shared" ref="D29" si="16">IF(E29=Nominal,"","Real ")&amp;E29&amp;" ("&amp;F29&amp;") to "
&amp;IF(G29=Nominal,"","Real ")&amp;G29&amp;" ("&amp;H29&amp;")"</f>
        <v>Nominal (End Period) to Nominal (End Period)</v>
      </c>
      <c r="E29" s="139" t="s">
        <v>67</v>
      </c>
      <c r="F29" s="139" t="s">
        <v>90</v>
      </c>
      <c r="G29" s="139" t="s">
        <v>67</v>
      </c>
      <c r="H29" s="139" t="s">
        <v>90</v>
      </c>
      <c r="I29" s="137" cm="1">
        <f t="array" ref="I29">IFERROR(IF($G29=Nominal,I$10:I$10,INDEX($I$10:$X$10,,MATCH($G29,$I$7:$X$7,0)))
/IF($E29=Nominal,I$10,INDEX($I$10:$X$10,,MATCH($E29,$I$7:$X$7,0)))
*IF($H29=Mid_Period,1/(1+IF($G29=Nominal,I$9,INDEX($I$9:$X$9,,MATCH($G29,$I$7:$X$7,0))))^INDEX(Timing_Adj,MATCH($H29,Cash_Timing,0)),1)
*IF($F29=Mid_Period,(1+IF($E29=Nominal,I$9,INDEX($I$9:$X$9,,MATCH($E29,$I$7:$X$7,0))))^INDEX(Timing_Adj,MATCH($F29,Cash_Timing,0)),1),"N/A")</f>
        <v>1</v>
      </c>
      <c r="J29" s="137" cm="1">
        <f t="array" ref="J29">IFERROR(IF($G29=Nominal,J$10:J$10,INDEX($I$10:$X$10,,MATCH($G29,$I$7:$X$7,0)))
/IF($E29=Nominal,J$10,INDEX($I$10:$X$10,,MATCH($E29,$I$7:$X$7,0)))
*IF($H29=Mid_Period,1/(1+IF($G29=Nominal,J$9,INDEX($I$9:$X$9,,MATCH($G29,$I$7:$X$7,0))))^INDEX(Timing_Adj,MATCH($H29,Cash_Timing,0)),1)
*IF($F29=Mid_Period,(1+IF($E29=Nominal,J$9,INDEX($I$9:$X$9,,MATCH($E29,$I$7:$X$7,0))))^INDEX(Timing_Adj,MATCH($F29,Cash_Timing,0)),1),"N/A")</f>
        <v>1</v>
      </c>
      <c r="K29" s="137" cm="1">
        <f t="array" ref="K29">IFERROR(IF($G29=Nominal,K$10:K$10,INDEX($I$10:$X$10,,MATCH($G29,$I$7:$X$7,0)))
/IF($E29=Nominal,K$10,INDEX($I$10:$X$10,,MATCH($E29,$I$7:$X$7,0)))
*IF($H29=Mid_Period,1/(1+IF($G29=Nominal,K$9,INDEX($I$9:$X$9,,MATCH($G29,$I$7:$X$7,0))))^INDEX(Timing_Adj,MATCH($H29,Cash_Timing,0)),1)
*IF($F29=Mid_Period,(1+IF($E29=Nominal,K$9,INDEX($I$9:$X$9,,MATCH($E29,$I$7:$X$7,0))))^INDEX(Timing_Adj,MATCH($F29,Cash_Timing,0)),1),"N/A")</f>
        <v>1</v>
      </c>
      <c r="L29" s="137" cm="1">
        <f t="array" ref="L29">IFERROR(IF($G29=Nominal,L$10:L$10,INDEX($I$10:$X$10,,MATCH($G29,$I$7:$X$7,0)))
/IF($E29=Nominal,L$10,INDEX($I$10:$X$10,,MATCH($E29,$I$7:$X$7,0)))
*IF($H29=Mid_Period,1/(1+IF($G29=Nominal,L$9,INDEX($I$9:$X$9,,MATCH($G29,$I$7:$X$7,0))))^INDEX(Timing_Adj,MATCH($H29,Cash_Timing,0)),1)
*IF($F29=Mid_Period,(1+IF($E29=Nominal,L$9,INDEX($I$9:$X$9,,MATCH($E29,$I$7:$X$7,0))))^INDEX(Timing_Adj,MATCH($F29,Cash_Timing,0)),1),"N/A")</f>
        <v>1</v>
      </c>
      <c r="M29" s="137" cm="1">
        <f t="array" ref="M29">IFERROR(IF($G29=Nominal,M$10:M$10,INDEX($I$10:$X$10,,MATCH($G29,$I$7:$X$7,0)))
/IF($E29=Nominal,M$10,INDEX($I$10:$X$10,,MATCH($E29,$I$7:$X$7,0)))
*IF($H29=Mid_Period,1/(1+IF($G29=Nominal,M$9,INDEX($I$9:$X$9,,MATCH($G29,$I$7:$X$7,0))))^INDEX(Timing_Adj,MATCH($H29,Cash_Timing,0)),1)
*IF($F29=Mid_Period,(1+IF($E29=Nominal,M$9,INDEX($I$9:$X$9,,MATCH($E29,$I$7:$X$7,0))))^INDEX(Timing_Adj,MATCH($F29,Cash_Timing,0)),1),"N/A")</f>
        <v>1</v>
      </c>
      <c r="N29" s="137" cm="1">
        <f t="array" ref="N29">IFERROR(IF($G29=Nominal,N$10:N$10,INDEX($I$10:$X$10,,MATCH($G29,$I$7:$X$7,0)))
/IF($E29=Nominal,N$10,INDEX($I$10:$X$10,,MATCH($E29,$I$7:$X$7,0)))
*IF($H29=Mid_Period,1/(1+IF($G29=Nominal,N$9,INDEX($I$9:$X$9,,MATCH($G29,$I$7:$X$7,0))))^INDEX(Timing_Adj,MATCH($H29,Cash_Timing,0)),1)
*IF($F29=Mid_Period,(1+IF($E29=Nominal,N$9,INDEX($I$9:$X$9,,MATCH($E29,$I$7:$X$7,0))))^INDEX(Timing_Adj,MATCH($F29,Cash_Timing,0)),1),"N/A")</f>
        <v>1</v>
      </c>
      <c r="O29" s="137" cm="1">
        <f t="array" ref="O29">IFERROR(IF($G29=Nominal,O$10:O$10,INDEX($I$10:$X$10,,MATCH($G29,$I$7:$X$7,0)))
/IF($E29=Nominal,O$10,INDEX($I$10:$X$10,,MATCH($E29,$I$7:$X$7,0)))
*IF($H29=Mid_Period,1/(1+IF($G29=Nominal,O$9,INDEX($I$9:$X$9,,MATCH($G29,$I$7:$X$7,0))))^INDEX(Timing_Adj,MATCH($H29,Cash_Timing,0)),1)
*IF($F29=Mid_Period,(1+IF($E29=Nominal,O$9,INDEX($I$9:$X$9,,MATCH($E29,$I$7:$X$7,0))))^INDEX(Timing_Adj,MATCH($F29,Cash_Timing,0)),1),"N/A")</f>
        <v>1</v>
      </c>
      <c r="P29" s="137" cm="1">
        <f t="array" ref="P29">IFERROR(IF($G29=Nominal,P$10:P$10,INDEX($I$10:$X$10,,MATCH($G29,$I$7:$X$7,0)))
/IF($E29=Nominal,P$10,INDEX($I$10:$X$10,,MATCH($E29,$I$7:$X$7,0)))
*IF($H29=Mid_Period,1/(1+IF($G29=Nominal,P$9,INDEX($I$9:$X$9,,MATCH($G29,$I$7:$X$7,0))))^INDEX(Timing_Adj,MATCH($H29,Cash_Timing,0)),1)
*IF($F29=Mid_Period,(1+IF($E29=Nominal,P$9,INDEX($I$9:$X$9,,MATCH($E29,$I$7:$X$7,0))))^INDEX(Timing_Adj,MATCH($F29,Cash_Timing,0)),1),"N/A")</f>
        <v>1</v>
      </c>
      <c r="Q29" s="137" cm="1">
        <f t="array" ref="Q29">IFERROR(IF($G29=Nominal,Q$10:Q$10,INDEX($I$10:$X$10,,MATCH($G29,$I$7:$X$7,0)))
/IF($E29=Nominal,Q$10,INDEX($I$10:$X$10,,MATCH($E29,$I$7:$X$7,0)))
*IF($H29=Mid_Period,1/(1+IF($G29=Nominal,Q$9,INDEX($I$9:$X$9,,MATCH($G29,$I$7:$X$7,0))))^INDEX(Timing_Adj,MATCH($H29,Cash_Timing,0)),1)
*IF($F29=Mid_Period,(1+IF($E29=Nominal,Q$9,INDEX($I$9:$X$9,,MATCH($E29,$I$7:$X$7,0))))^INDEX(Timing_Adj,MATCH($F29,Cash_Timing,0)),1),"N/A")</f>
        <v>1</v>
      </c>
      <c r="R29" s="137" cm="1">
        <f t="array" ref="R29">IFERROR(IF($G29=Nominal,R$10:R$10,INDEX($I$10:$X$10,,MATCH($G29,$I$7:$X$7,0)))
/IF($E29=Nominal,R$10,INDEX($I$10:$X$10,,MATCH($E29,$I$7:$X$7,0)))
*IF($H29=Mid_Period,1/(1+IF($G29=Nominal,R$9,INDEX($I$9:$X$9,,MATCH($G29,$I$7:$X$7,0))))^INDEX(Timing_Adj,MATCH($H29,Cash_Timing,0)),1)
*IF($F29=Mid_Period,(1+IF($E29=Nominal,R$9,INDEX($I$9:$X$9,,MATCH($E29,$I$7:$X$7,0))))^INDEX(Timing_Adj,MATCH($F29,Cash_Timing,0)),1),"N/A")</f>
        <v>1</v>
      </c>
      <c r="S29" s="137" cm="1">
        <f t="array" ref="S29">IFERROR(IF($G29=Nominal,S$10:S$10,INDEX($I$10:$X$10,,MATCH($G29,$I$7:$X$7,0)))
/IF($E29=Nominal,S$10,INDEX($I$10:$X$10,,MATCH($E29,$I$7:$X$7,0)))
*IF($H29=Mid_Period,1/(1+IF($G29=Nominal,S$9,INDEX($I$9:$X$9,,MATCH($G29,$I$7:$X$7,0))))^INDEX(Timing_Adj,MATCH($H29,Cash_Timing,0)),1)
*IF($F29=Mid_Period,(1+IF($E29=Nominal,S$9,INDEX($I$9:$X$9,,MATCH($E29,$I$7:$X$7,0))))^INDEX(Timing_Adj,MATCH($F29,Cash_Timing,0)),1),"N/A")</f>
        <v>1</v>
      </c>
      <c r="T29" s="137" cm="1">
        <f t="array" ref="T29">IFERROR(IF($G29=Nominal,T$10:T$10,INDEX($I$10:$X$10,,MATCH($G29,$I$7:$X$7,0)))
/IF($E29=Nominal,T$10,INDEX($I$10:$X$10,,MATCH($E29,$I$7:$X$7,0)))
*IF($H29=Mid_Period,1/(1+IF($G29=Nominal,T$9,INDEX($I$9:$X$9,,MATCH($G29,$I$7:$X$7,0))))^INDEX(Timing_Adj,MATCH($H29,Cash_Timing,0)),1)
*IF($F29=Mid_Period,(1+IF($E29=Nominal,T$9,INDEX($I$9:$X$9,,MATCH($E29,$I$7:$X$7,0))))^INDEX(Timing_Adj,MATCH($F29,Cash_Timing,0)),1),"N/A")</f>
        <v>1</v>
      </c>
      <c r="U29" s="137" cm="1">
        <f t="array" ref="U29">IFERROR(IF($G29=Nominal,U$10:U$10,INDEX($I$10:$X$10,,MATCH($G29,$I$7:$X$7,0)))
/IF($E29=Nominal,U$10,INDEX($I$10:$X$10,,MATCH($E29,$I$7:$X$7,0)))
*IF($H29=Mid_Period,1/(1+IF($G29=Nominal,U$9,INDEX($I$9:$X$9,,MATCH($G29,$I$7:$X$7,0))))^INDEX(Timing_Adj,MATCH($H29,Cash_Timing,0)),1)
*IF($F29=Mid_Period,(1+IF($E29=Nominal,U$9,INDEX($I$9:$X$9,,MATCH($E29,$I$7:$X$7,0))))^INDEX(Timing_Adj,MATCH($F29,Cash_Timing,0)),1),"N/A")</f>
        <v>1</v>
      </c>
      <c r="V29" s="137" cm="1">
        <f t="array" ref="V29">IFERROR(IF($G29=Nominal,V$10:V$10,INDEX($I$10:$X$10,,MATCH($G29,$I$7:$X$7,0)))
/IF($E29=Nominal,V$10,INDEX($I$10:$X$10,,MATCH($E29,$I$7:$X$7,0)))
*IF($H29=Mid_Period,1/(1+IF($G29=Nominal,V$9,INDEX($I$9:$X$9,,MATCH($G29,$I$7:$X$7,0))))^INDEX(Timing_Adj,MATCH($H29,Cash_Timing,0)),1)
*IF($F29=Mid_Period,(1+IF($E29=Nominal,V$9,INDEX($I$9:$X$9,,MATCH($E29,$I$7:$X$7,0))))^INDEX(Timing_Adj,MATCH($F29,Cash_Timing,0)),1),"N/A")</f>
        <v>1</v>
      </c>
      <c r="W29" s="137" cm="1">
        <f t="array" ref="W29">IFERROR(IF($G29=Nominal,W$10:W$10,INDEX($I$10:$X$10,,MATCH($G29,$I$7:$X$7,0)))
/IF($E29=Nominal,W$10,INDEX($I$10:$X$10,,MATCH($E29,$I$7:$X$7,0)))
*IF($H29=Mid_Period,1/(1+IF($G29=Nominal,W$9,INDEX($I$9:$X$9,,MATCH($G29,$I$7:$X$7,0))))^INDEX(Timing_Adj,MATCH($H29,Cash_Timing,0)),1)
*IF($F29=Mid_Period,(1+IF($E29=Nominal,W$9,INDEX($I$9:$X$9,,MATCH($E29,$I$7:$X$7,0))))^INDEX(Timing_Adj,MATCH($F29,Cash_Timing,0)),1),"N/A")</f>
        <v>1</v>
      </c>
      <c r="X29" s="137" cm="1">
        <f t="array" ref="X29">IFERROR(IF($G29=Nominal,X$10:X$10,INDEX($I$10:$X$10,,MATCH($G29,$I$7:$X$7,0)))
/IF($E29=Nominal,X$10,INDEX($I$10:$X$10,,MATCH($E29,$I$7:$X$7,0)))
*IF($H29=Mid_Period,1/(1+IF($G29=Nominal,X$9,INDEX($I$9:$X$9,,MATCH($G29,$I$7:$X$7,0))))^INDEX(Timing_Adj,MATCH($H29,Cash_Timing,0)),1)
*IF($F29=Mid_Period,(1+IF($E29=Nominal,X$9,INDEX($I$9:$X$9,,MATCH($E29,$I$7:$X$7,0))))^INDEX(Timing_Adj,MATCH($F29,Cash_Timing,0)),1),"N/A")</f>
        <v>1</v>
      </c>
    </row>
    <row r="30" spans="2:24" ht="11.25" customHeight="1" x14ac:dyDescent="0.2"/>
    <row r="31" spans="2:24" s="47" customFormat="1" ht="15.75" x14ac:dyDescent="0.2">
      <c r="B31" s="47" t="s">
        <v>32</v>
      </c>
    </row>
    <row r="36" spans="16:24" x14ac:dyDescent="0.2">
      <c r="P36" s="140"/>
      <c r="Q36" s="140"/>
      <c r="R36" s="140"/>
      <c r="S36" s="140"/>
      <c r="T36" s="140"/>
      <c r="U36" s="140"/>
      <c r="V36" s="140"/>
      <c r="W36" s="140"/>
      <c r="X36" s="140"/>
    </row>
    <row r="37" spans="16:24" x14ac:dyDescent="0.2">
      <c r="P37" s="140"/>
      <c r="Q37" s="140"/>
      <c r="R37" s="140"/>
      <c r="S37" s="140"/>
      <c r="T37" s="140"/>
      <c r="U37" s="140"/>
      <c r="V37" s="140"/>
    </row>
    <row r="38" spans="16:24" x14ac:dyDescent="0.2">
      <c r="P38" s="140"/>
      <c r="Q38" s="140"/>
      <c r="R38" s="140"/>
      <c r="S38" s="140"/>
      <c r="T38" s="140"/>
      <c r="U38" s="140"/>
      <c r="V38" s="140"/>
    </row>
    <row r="39" spans="16:24" x14ac:dyDescent="0.2">
      <c r="P39" s="140"/>
      <c r="Q39" s="140"/>
      <c r="R39" s="140"/>
      <c r="S39" s="140"/>
      <c r="T39" s="140"/>
      <c r="U39" s="140"/>
      <c r="V39" s="140"/>
    </row>
    <row r="40" spans="16:24" x14ac:dyDescent="0.2">
      <c r="P40" s="140"/>
      <c r="Q40" s="140"/>
      <c r="R40" s="140"/>
      <c r="S40" s="140"/>
      <c r="T40" s="140"/>
      <c r="U40" s="140"/>
      <c r="V40" s="140"/>
    </row>
    <row r="41" spans="16:24" x14ac:dyDescent="0.2">
      <c r="P41" s="140"/>
      <c r="Q41" s="140"/>
      <c r="R41" s="140"/>
      <c r="S41" s="140"/>
      <c r="T41" s="140"/>
      <c r="U41" s="140"/>
      <c r="V41" s="140"/>
    </row>
    <row r="42" spans="16:24" x14ac:dyDescent="0.2">
      <c r="P42" s="140"/>
      <c r="Q42" s="140"/>
      <c r="R42" s="140"/>
      <c r="S42" s="140"/>
      <c r="T42" s="140"/>
      <c r="U42" s="140"/>
      <c r="V42" s="140"/>
    </row>
    <row r="43" spans="16:24" x14ac:dyDescent="0.2">
      <c r="P43" s="140"/>
      <c r="Q43" s="140"/>
      <c r="R43" s="140"/>
      <c r="S43" s="140"/>
      <c r="T43" s="140"/>
      <c r="U43" s="140"/>
      <c r="V43" s="140"/>
    </row>
    <row r="44" spans="16:24" x14ac:dyDescent="0.2">
      <c r="P44" s="140"/>
      <c r="Q44" s="140"/>
      <c r="R44" s="140"/>
      <c r="S44" s="140"/>
      <c r="T44" s="140"/>
      <c r="U44" s="140"/>
      <c r="V44" s="140"/>
    </row>
    <row r="45" spans="16:24" x14ac:dyDescent="0.2">
      <c r="P45" s="140"/>
      <c r="Q45" s="140"/>
      <c r="R45" s="140"/>
      <c r="S45" s="140"/>
      <c r="T45" s="140"/>
      <c r="U45" s="140"/>
      <c r="V45" s="140"/>
    </row>
    <row r="46" spans="16:24" x14ac:dyDescent="0.2">
      <c r="P46" s="140"/>
      <c r="Q46" s="140"/>
      <c r="R46" s="140"/>
      <c r="S46" s="140"/>
      <c r="T46" s="140"/>
      <c r="U46" s="140"/>
      <c r="V46" s="140"/>
    </row>
    <row r="47" spans="16:24" x14ac:dyDescent="0.2">
      <c r="P47" s="140"/>
      <c r="Q47" s="140"/>
      <c r="R47" s="140"/>
      <c r="S47" s="140"/>
      <c r="T47" s="140"/>
      <c r="U47" s="140"/>
      <c r="V47" s="140"/>
    </row>
    <row r="48" spans="16:24" x14ac:dyDescent="0.2">
      <c r="P48" s="140"/>
      <c r="Q48" s="140"/>
      <c r="R48" s="140"/>
      <c r="S48" s="140"/>
      <c r="T48" s="140"/>
      <c r="U48" s="140"/>
      <c r="V48" s="140"/>
    </row>
    <row r="49" spans="16:22" x14ac:dyDescent="0.2">
      <c r="P49" s="140"/>
      <c r="Q49" s="140"/>
      <c r="R49" s="140"/>
      <c r="S49" s="140"/>
      <c r="T49" s="140"/>
      <c r="U49" s="140"/>
      <c r="V49" s="140"/>
    </row>
    <row r="50" spans="16:22" x14ac:dyDescent="0.2">
      <c r="P50" s="140"/>
      <c r="Q50" s="140"/>
      <c r="R50" s="140"/>
      <c r="S50" s="140"/>
      <c r="T50" s="140"/>
      <c r="U50" s="140"/>
      <c r="V50" s="140"/>
    </row>
    <row r="51" spans="16:22" x14ac:dyDescent="0.2">
      <c r="P51" s="140"/>
      <c r="Q51" s="140"/>
      <c r="R51" s="140"/>
      <c r="S51" s="140"/>
      <c r="T51" s="140"/>
      <c r="U51" s="140"/>
      <c r="V51" s="140"/>
    </row>
    <row r="52" spans="16:22" x14ac:dyDescent="0.2">
      <c r="P52" s="140"/>
      <c r="Q52" s="140"/>
      <c r="R52" s="140"/>
      <c r="S52" s="140"/>
      <c r="T52" s="140"/>
      <c r="U52" s="140"/>
      <c r="V52" s="140"/>
    </row>
  </sheetData>
  <conditionalFormatting sqref="B2">
    <cfRule type="cellIs" dxfId="138" priority="1" operator="notEqual">
      <formula>"No Errors Found"</formula>
    </cfRule>
  </conditionalFormatting>
  <dataValidations count="2">
    <dataValidation type="list" allowBlank="1" showInputMessage="1" showErrorMessage="1" sqref="H15:H29 F15:F29">
      <formula1>Cash_Timing</formula1>
    </dataValidation>
    <dataValidation type="list" allowBlank="1" showInputMessage="1" showErrorMessage="1" sqref="G15:G29 E15:E29">
      <formula1>Index_Period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4" tint="0.79998168889431442"/>
  </sheetPr>
  <dimension ref="A1:Q37"/>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36.83203125" style="46" customWidth="1"/>
    <col min="5" max="11" width="17.6640625" style="46" customWidth="1"/>
    <col min="12" max="13" width="10.6640625" style="46" customWidth="1"/>
    <col min="14" max="15" width="17.6640625" style="46" customWidth="1"/>
    <col min="16" max="17" width="4.6640625" style="46" customWidth="1"/>
    <col min="18" max="31" width="10.6640625" style="46" customWidth="1"/>
    <col min="32" max="16384" width="9.33203125" style="46"/>
  </cols>
  <sheetData>
    <row r="1" spans="1:11" ht="19.5" x14ac:dyDescent="0.2">
      <c r="A1" s="42">
        <f>IF(SUM($A2:$A37)&gt;0,1,0)</f>
        <v>0</v>
      </c>
      <c r="B1" s="3" t="s">
        <v>329</v>
      </c>
    </row>
    <row r="2" spans="1:11" x14ac:dyDescent="0.2">
      <c r="B2" s="9" t="str">
        <f>Title_Msg</f>
        <v>No Errors Found</v>
      </c>
    </row>
    <row r="3" spans="1:11" s="47" customFormat="1" ht="15.75" x14ac:dyDescent="0.2">
      <c r="B3" s="47" t="s">
        <v>107</v>
      </c>
    </row>
    <row r="4" spans="1:11" ht="4.5" customHeight="1" x14ac:dyDescent="0.2"/>
    <row r="5" spans="1:11" s="7" customFormat="1" ht="15" x14ac:dyDescent="0.2">
      <c r="C5" s="7" t="s">
        <v>166</v>
      </c>
    </row>
    <row r="6" spans="1:11" ht="11.25" customHeight="1" x14ac:dyDescent="0.2"/>
    <row r="7" spans="1:11" ht="19.5" thickBot="1" x14ac:dyDescent="0.3">
      <c r="D7" s="51" t="str">
        <f>B1</f>
        <v>2.1.1 - Prescribed Transmission Services Capex (As Incurred)</v>
      </c>
      <c r="E7" s="52"/>
      <c r="F7" s="52"/>
      <c r="G7" s="52"/>
      <c r="H7" s="52"/>
      <c r="I7" s="52"/>
      <c r="J7" s="52"/>
      <c r="K7" s="52"/>
    </row>
    <row r="8" spans="1:11" ht="28.15" customHeight="1" thickBot="1" x14ac:dyDescent="0.25">
      <c r="D8"/>
      <c r="E8" s="1082" t="s">
        <v>180</v>
      </c>
      <c r="F8" s="1083"/>
      <c r="G8" s="1083"/>
      <c r="H8" s="1083"/>
      <c r="I8" s="1083"/>
      <c r="J8" s="1083"/>
      <c r="K8" s="1084"/>
    </row>
    <row r="9" spans="1:11" ht="18.600000000000001" customHeight="1" thickBot="1" x14ac:dyDescent="0.25">
      <c r="D9"/>
      <c r="E9" s="53" t="s">
        <v>167</v>
      </c>
      <c r="F9" s="54" t="s">
        <v>168</v>
      </c>
      <c r="G9" s="55" t="s">
        <v>169</v>
      </c>
      <c r="H9" s="56" t="s">
        <v>170</v>
      </c>
      <c r="I9" s="56" t="s">
        <v>171</v>
      </c>
      <c r="J9" s="56" t="s">
        <v>172</v>
      </c>
      <c r="K9" s="57" t="s">
        <v>181</v>
      </c>
    </row>
    <row r="10" spans="1:11" ht="15" x14ac:dyDescent="0.25">
      <c r="D10" s="97" t="s">
        <v>173</v>
      </c>
      <c r="E10" s="191">
        <f>E26*Input_CPI!R$16</f>
        <v>147994584.00285888</v>
      </c>
      <c r="F10" s="60">
        <f>F26*Input_CPI!S$16</f>
        <v>151836219.46890163</v>
      </c>
      <c r="G10" s="59">
        <v>136571930.20174557</v>
      </c>
      <c r="H10" s="61">
        <v>169539788.58859244</v>
      </c>
      <c r="I10" s="61">
        <v>174483396.34204364</v>
      </c>
      <c r="J10" s="61">
        <v>155989451.45173484</v>
      </c>
      <c r="K10" s="123">
        <v>161000367.50772807</v>
      </c>
    </row>
    <row r="11" spans="1:11" ht="15" x14ac:dyDescent="0.25">
      <c r="D11" s="106" t="s">
        <v>174</v>
      </c>
      <c r="E11" s="192">
        <f>E27*Input_CPI!R$16</f>
        <v>9177953.3507938664</v>
      </c>
      <c r="F11" s="64">
        <f>F27*Input_CPI!S$16</f>
        <v>1299247.5822524875</v>
      </c>
      <c r="G11" s="63">
        <v>0</v>
      </c>
      <c r="H11" s="65">
        <v>0</v>
      </c>
      <c r="I11" s="65">
        <v>0</v>
      </c>
      <c r="J11" s="65">
        <v>577330.75711153331</v>
      </c>
      <c r="K11" s="124">
        <v>2275959.8228357206</v>
      </c>
    </row>
    <row r="12" spans="1:11" ht="15" x14ac:dyDescent="0.25">
      <c r="D12" s="106" t="s">
        <v>175</v>
      </c>
      <c r="E12" s="192">
        <f>E28*Input_CPI!R$16</f>
        <v>529095147.01238191</v>
      </c>
      <c r="F12" s="64">
        <f>F28*Input_CPI!S$16</f>
        <v>755795942.08199513</v>
      </c>
      <c r="G12" s="63">
        <v>500996894.75061977</v>
      </c>
      <c r="H12" s="65">
        <v>138267854.14412513</v>
      </c>
      <c r="I12" s="65">
        <v>37523478.90215908</v>
      </c>
      <c r="J12" s="65">
        <v>33415648.636876591</v>
      </c>
      <c r="K12" s="124">
        <v>66959394.184152201</v>
      </c>
    </row>
    <row r="13" spans="1:11" ht="15" x14ac:dyDescent="0.25">
      <c r="D13" s="106" t="s">
        <v>176</v>
      </c>
      <c r="E13" s="192">
        <f>E29*Input_CPI!R$16</f>
        <v>21636953.04747865</v>
      </c>
      <c r="F13" s="64">
        <f>F29*Input_CPI!S$16</f>
        <v>9076668.5299285576</v>
      </c>
      <c r="G13" s="63">
        <v>40736989.152845487</v>
      </c>
      <c r="H13" s="65">
        <v>34796822.25602375</v>
      </c>
      <c r="I13" s="65">
        <v>31805017.011990715</v>
      </c>
      <c r="J13" s="65">
        <v>27698777.421749882</v>
      </c>
      <c r="K13" s="124">
        <v>23284179.059212349</v>
      </c>
    </row>
    <row r="14" spans="1:11" ht="15" x14ac:dyDescent="0.25">
      <c r="D14" s="106" t="s">
        <v>177</v>
      </c>
      <c r="E14" s="192">
        <f>E30*Input_CPI!R$16</f>
        <v>34906397.071906477</v>
      </c>
      <c r="F14" s="64">
        <f>F30*Input_CPI!S$16</f>
        <v>27168399.425884809</v>
      </c>
      <c r="G14" s="63">
        <v>29767721.653699595</v>
      </c>
      <c r="H14" s="65">
        <v>29253933.000652097</v>
      </c>
      <c r="I14" s="65">
        <v>27569617.979858588</v>
      </c>
      <c r="J14" s="65">
        <v>27222779.875321843</v>
      </c>
      <c r="K14" s="124">
        <v>28163930.535871327</v>
      </c>
    </row>
    <row r="15" spans="1:11" ht="15.75" thickBot="1" x14ac:dyDescent="0.3">
      <c r="D15" s="108" t="s">
        <v>178</v>
      </c>
      <c r="E15" s="193">
        <f>E31*Input_CPI!R$16</f>
        <v>8461294.9031202625</v>
      </c>
      <c r="F15" s="194">
        <f>F31*Input_CPI!S$16</f>
        <v>6585607.7645202605</v>
      </c>
      <c r="G15" s="195">
        <v>5176465.7230169745</v>
      </c>
      <c r="H15" s="125">
        <v>4858070.6916876137</v>
      </c>
      <c r="I15" s="125">
        <v>4474834.3643395817</v>
      </c>
      <c r="J15" s="125">
        <v>4412572.6950878967</v>
      </c>
      <c r="K15" s="126">
        <v>4539133.5061742431</v>
      </c>
    </row>
    <row r="16" spans="1:11" ht="13.5" thickBot="1" x14ac:dyDescent="0.25">
      <c r="D16" s="66" t="s">
        <v>179</v>
      </c>
      <c r="E16" s="67">
        <f>SUM(E10:E15)</f>
        <v>751272329.38854003</v>
      </c>
      <c r="F16" s="67">
        <f t="shared" ref="F16:K16" si="0">SUM(F10:F15)</f>
        <v>951762084.85348296</v>
      </c>
      <c r="G16" s="67">
        <f t="shared" si="0"/>
        <v>713250001.48192751</v>
      </c>
      <c r="H16" s="67">
        <f t="shared" si="0"/>
        <v>376716468.68108106</v>
      </c>
      <c r="I16" s="67">
        <f t="shared" si="0"/>
        <v>275856344.60039163</v>
      </c>
      <c r="J16" s="67">
        <f t="shared" si="0"/>
        <v>249316560.83788258</v>
      </c>
      <c r="K16" s="68">
        <f t="shared" si="0"/>
        <v>286222964.61597389</v>
      </c>
    </row>
    <row r="17" spans="1:17" ht="11.25" customHeight="1" x14ac:dyDescent="0.2"/>
    <row r="18" spans="1:17" ht="11.25" customHeight="1" x14ac:dyDescent="0.2">
      <c r="D18" s="6" t="s">
        <v>182</v>
      </c>
      <c r="E18" s="141">
        <v>751272329.38854015</v>
      </c>
      <c r="F18" s="142">
        <v>951762084.82643354</v>
      </c>
      <c r="G18" s="143">
        <v>713250001.48192763</v>
      </c>
      <c r="H18" s="141">
        <v>376716468.68108112</v>
      </c>
      <c r="I18" s="141">
        <v>275856344.60039163</v>
      </c>
      <c r="J18" s="141">
        <v>249316560.83788267</v>
      </c>
      <c r="K18" s="141">
        <v>286222964.61597395</v>
      </c>
    </row>
    <row r="19" spans="1:17" ht="11.25" customHeight="1" x14ac:dyDescent="0.2">
      <c r="A19" s="42">
        <f>IF(SUM($E19:$K19)&gt;0,1,0)</f>
        <v>0</v>
      </c>
      <c r="D19" s="6" t="s">
        <v>183</v>
      </c>
      <c r="E19" s="70">
        <f>IF(ROUND(E16-E18,1)&lt;&gt;0,1,0)</f>
        <v>0</v>
      </c>
      <c r="F19" s="70">
        <f t="shared" ref="F19:K19" si="1">IF(ROUND(F16-F18,1)&lt;&gt;0,1,0)</f>
        <v>0</v>
      </c>
      <c r="G19" s="70">
        <f t="shared" si="1"/>
        <v>0</v>
      </c>
      <c r="H19" s="70">
        <f t="shared" si="1"/>
        <v>0</v>
      </c>
      <c r="I19" s="70">
        <f t="shared" si="1"/>
        <v>0</v>
      </c>
      <c r="J19" s="70">
        <f t="shared" si="1"/>
        <v>0</v>
      </c>
      <c r="K19" s="70">
        <f t="shared" si="1"/>
        <v>0</v>
      </c>
    </row>
    <row r="20" spans="1:17" ht="11.25" customHeight="1" x14ac:dyDescent="0.2"/>
    <row r="21" spans="1:17" s="7" customFormat="1" ht="15" x14ac:dyDescent="0.2">
      <c r="C21" s="7" t="s">
        <v>356</v>
      </c>
    </row>
    <row r="22" spans="1:17" ht="11.25" customHeight="1" x14ac:dyDescent="0.2"/>
    <row r="23" spans="1:17" ht="19.5" thickBot="1" x14ac:dyDescent="0.3">
      <c r="D23" s="51" t="s">
        <v>357</v>
      </c>
      <c r="E23" s="52"/>
      <c r="F23" s="52"/>
      <c r="G23" s="52"/>
      <c r="H23" s="52"/>
      <c r="I23" s="52"/>
      <c r="J23" s="52"/>
      <c r="K23" s="52"/>
    </row>
    <row r="24" spans="1:17" ht="25.5" customHeight="1" thickBot="1" x14ac:dyDescent="0.25">
      <c r="D24"/>
      <c r="E24" s="1082" t="s">
        <v>507</v>
      </c>
      <c r="F24" s="1083"/>
      <c r="G24" s="1083"/>
      <c r="H24" s="1083"/>
      <c r="I24" s="1083"/>
      <c r="J24" s="1083"/>
      <c r="K24" s="1084"/>
      <c r="N24" s="816" t="s">
        <v>535</v>
      </c>
      <c r="O24" s="817"/>
    </row>
    <row r="25" spans="1:17" ht="13.5" thickBot="1" x14ac:dyDescent="0.25">
      <c r="D25"/>
      <c r="E25" s="53" t="s">
        <v>167</v>
      </c>
      <c r="F25" s="54" t="s">
        <v>168</v>
      </c>
      <c r="G25" s="55" t="s">
        <v>169</v>
      </c>
      <c r="H25" s="56" t="s">
        <v>170</v>
      </c>
      <c r="I25" s="56" t="s">
        <v>171</v>
      </c>
      <c r="J25" s="56" t="s">
        <v>172</v>
      </c>
      <c r="K25" s="57" t="s">
        <v>181</v>
      </c>
      <c r="N25" s="53" t="s">
        <v>167</v>
      </c>
      <c r="O25" s="54" t="s">
        <v>168</v>
      </c>
    </row>
    <row r="26" spans="1:17" ht="15" x14ac:dyDescent="0.25">
      <c r="A26" s="385">
        <f t="shared" ref="A26:A30" si="2">IF(SUM($P26:$Q26)&gt;0,1,0)</f>
        <v>0</v>
      </c>
      <c r="D26" s="58" t="s">
        <v>173</v>
      </c>
      <c r="E26" s="59">
        <v>142787960.46618861</v>
      </c>
      <c r="F26" s="60">
        <v>150156357.11488599</v>
      </c>
      <c r="G26" s="398"/>
      <c r="H26" s="399"/>
      <c r="I26" s="399"/>
      <c r="J26" s="399"/>
      <c r="K26" s="400"/>
      <c r="N26" s="191">
        <v>142787960.46618861</v>
      </c>
      <c r="O26" s="123">
        <v>150156357.11488599</v>
      </c>
      <c r="P26" s="750">
        <f>IF(ROUND(E26-N26,1)&lt;&gt;0,1,0)</f>
        <v>0</v>
      </c>
      <c r="Q26" s="750">
        <f>IF(ROUND(F26-O26,1)&lt;&gt;0,1,0)</f>
        <v>0</v>
      </c>
    </row>
    <row r="27" spans="1:17" ht="15" x14ac:dyDescent="0.25">
      <c r="A27" s="385">
        <f t="shared" si="2"/>
        <v>0</v>
      </c>
      <c r="D27" s="62" t="s">
        <v>174</v>
      </c>
      <c r="E27" s="63">
        <v>8855062.1567905638</v>
      </c>
      <c r="F27" s="64">
        <v>1284873.1654657284</v>
      </c>
      <c r="G27" s="401"/>
      <c r="H27" s="402"/>
      <c r="I27" s="402"/>
      <c r="J27" s="402"/>
      <c r="K27" s="403"/>
      <c r="N27" s="192">
        <v>8855062.1567905638</v>
      </c>
      <c r="O27" s="124">
        <v>1284873.1654657284</v>
      </c>
      <c r="P27" s="750">
        <f t="shared" ref="P27:P31" si="3">IF(ROUND(E27-N27,1)&lt;&gt;0,1,0)</f>
        <v>0</v>
      </c>
      <c r="Q27" s="750">
        <f t="shared" ref="Q27:Q31" si="4">IF(ROUND(F27-O27,1)&lt;&gt;0,1,0)</f>
        <v>0</v>
      </c>
    </row>
    <row r="28" spans="1:17" ht="15" x14ac:dyDescent="0.25">
      <c r="A28" s="385">
        <f t="shared" si="2"/>
        <v>0</v>
      </c>
      <c r="D28" s="62" t="s">
        <v>175</v>
      </c>
      <c r="E28" s="63">
        <v>510480957.41798794</v>
      </c>
      <c r="F28" s="64">
        <v>747434082.47522736</v>
      </c>
      <c r="G28" s="401"/>
      <c r="H28" s="402"/>
      <c r="I28" s="402"/>
      <c r="J28" s="402"/>
      <c r="K28" s="403"/>
      <c r="N28" s="192">
        <v>510480957.41798794</v>
      </c>
      <c r="O28" s="124">
        <v>747434082.47522736</v>
      </c>
      <c r="P28" s="750">
        <f t="shared" si="3"/>
        <v>0</v>
      </c>
      <c r="Q28" s="750">
        <f t="shared" si="4"/>
        <v>0</v>
      </c>
    </row>
    <row r="29" spans="1:17" ht="15" x14ac:dyDescent="0.25">
      <c r="A29" s="385">
        <f t="shared" si="2"/>
        <v>0</v>
      </c>
      <c r="D29" s="62" t="s">
        <v>176</v>
      </c>
      <c r="E29" s="63">
        <v>20875739.589852016</v>
      </c>
      <c r="F29" s="64">
        <v>8976247.4721820001</v>
      </c>
      <c r="G29" s="401"/>
      <c r="H29" s="402"/>
      <c r="I29" s="402"/>
      <c r="J29" s="402"/>
      <c r="K29" s="403"/>
      <c r="N29" s="192">
        <v>20875739.589852016</v>
      </c>
      <c r="O29" s="124">
        <v>8976247.4721820001</v>
      </c>
      <c r="P29" s="750">
        <f t="shared" si="3"/>
        <v>0</v>
      </c>
      <c r="Q29" s="750">
        <f t="shared" si="4"/>
        <v>0</v>
      </c>
    </row>
    <row r="30" spans="1:17" ht="15" x14ac:dyDescent="0.25">
      <c r="A30" s="385">
        <f t="shared" si="2"/>
        <v>0</v>
      </c>
      <c r="D30" s="62" t="s">
        <v>177</v>
      </c>
      <c r="E30" s="63">
        <v>33678348.965960689</v>
      </c>
      <c r="F30" s="64">
        <v>26867817.841503672</v>
      </c>
      <c r="G30" s="401"/>
      <c r="H30" s="402"/>
      <c r="I30" s="402"/>
      <c r="J30" s="402"/>
      <c r="K30" s="403"/>
      <c r="N30" s="192">
        <v>33678348.965960689</v>
      </c>
      <c r="O30" s="124">
        <v>26867817.841503672</v>
      </c>
      <c r="P30" s="750">
        <f t="shared" si="3"/>
        <v>0</v>
      </c>
      <c r="Q30" s="750">
        <f t="shared" si="4"/>
        <v>0</v>
      </c>
    </row>
    <row r="31" spans="1:17" ht="15.75" thickBot="1" x14ac:dyDescent="0.3">
      <c r="A31" s="385">
        <f>IF(SUM($P31:$Q31)&gt;0,1,0)</f>
        <v>0</v>
      </c>
      <c r="D31" s="404" t="s">
        <v>178</v>
      </c>
      <c r="E31" s="405">
        <v>8163616.5962408492</v>
      </c>
      <c r="F31" s="406">
        <v>6512746.9240658088</v>
      </c>
      <c r="G31" s="407"/>
      <c r="H31" s="408"/>
      <c r="I31" s="408"/>
      <c r="J31" s="408"/>
      <c r="K31" s="409"/>
      <c r="N31" s="193">
        <v>8163616.5962408492</v>
      </c>
      <c r="O31" s="126">
        <v>6512746.9240658088</v>
      </c>
      <c r="P31" s="750">
        <f t="shared" si="3"/>
        <v>0</v>
      </c>
      <c r="Q31" s="750">
        <f t="shared" si="4"/>
        <v>0</v>
      </c>
    </row>
    <row r="32" spans="1:17" ht="11.25" customHeight="1" thickBot="1" x14ac:dyDescent="0.25">
      <c r="D32" s="410" t="s">
        <v>179</v>
      </c>
      <c r="E32" s="411">
        <f t="shared" ref="E32:K32" si="5">SUM(E26:E31)</f>
        <v>724841685.1930207</v>
      </c>
      <c r="F32" s="411">
        <f t="shared" si="5"/>
        <v>941232124.9933306</v>
      </c>
      <c r="G32" s="411">
        <f t="shared" si="5"/>
        <v>0</v>
      </c>
      <c r="H32" s="411">
        <f t="shared" si="5"/>
        <v>0</v>
      </c>
      <c r="I32" s="411">
        <f t="shared" si="5"/>
        <v>0</v>
      </c>
      <c r="J32" s="411">
        <f t="shared" si="5"/>
        <v>0</v>
      </c>
      <c r="K32" s="412">
        <f t="shared" si="5"/>
        <v>0</v>
      </c>
      <c r="N32" s="411">
        <f>SUM(N26:N31)</f>
        <v>724841685.1930207</v>
      </c>
      <c r="O32" s="411">
        <f t="shared" ref="O32" si="6">SUM(O26:O31)</f>
        <v>941232124.9933306</v>
      </c>
    </row>
    <row r="33" spans="1:11" ht="11.25" customHeight="1" x14ac:dyDescent="0.2"/>
    <row r="34" spans="1:11" ht="11.25" customHeight="1" x14ac:dyDescent="0.2">
      <c r="D34" s="6" t="s">
        <v>182</v>
      </c>
      <c r="E34" s="17">
        <f>E18</f>
        <v>751272329.38854015</v>
      </c>
      <c r="F34" s="17">
        <f>F18</f>
        <v>951762084.82643354</v>
      </c>
      <c r="G34" s="393"/>
      <c r="H34" s="393"/>
      <c r="I34" s="393"/>
      <c r="J34" s="393"/>
      <c r="K34" s="393"/>
    </row>
    <row r="35" spans="1:11" ht="11.25" customHeight="1" x14ac:dyDescent="0.2">
      <c r="A35" s="385">
        <f>IF(SUM($E35:$K35)&gt;0,1,0)</f>
        <v>0</v>
      </c>
      <c r="D35" s="6" t="s">
        <v>183</v>
      </c>
      <c r="E35" s="739">
        <f>IF(ROUND(E32*Input_CPI!R$16-E34,1)&lt;&gt;0,1,0)</f>
        <v>0</v>
      </c>
      <c r="F35" s="739">
        <f>IF(ROUND(F32*Input_CPI!S$16-F34,1)&lt;&gt;0,1,0)</f>
        <v>0</v>
      </c>
    </row>
    <row r="36" spans="1:11" ht="11.25" customHeight="1" x14ac:dyDescent="0.2"/>
    <row r="37" spans="1:11" s="47" customFormat="1" ht="15.75" x14ac:dyDescent="0.2">
      <c r="B37" s="47" t="s">
        <v>32</v>
      </c>
    </row>
  </sheetData>
  <mergeCells count="2">
    <mergeCell ref="E8:K8"/>
    <mergeCell ref="E24:K24"/>
  </mergeCells>
  <conditionalFormatting sqref="B2">
    <cfRule type="cellIs" dxfId="137" priority="5" operator="notEqual">
      <formula>"No Errors Found"</formula>
    </cfRule>
  </conditionalFormatting>
  <conditionalFormatting sqref="K10:K15">
    <cfRule type="expression" dxfId="136" priority="3">
      <formula>(dms_FRCPlength_Num)&lt;5</formula>
    </cfRule>
  </conditionalFormatting>
  <conditionalFormatting sqref="K26:K31">
    <cfRule type="expression" dxfId="135" priority="1">
      <formula>(dms_FRCPlength_Num)&lt;5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33"/>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36.83203125" style="46" customWidth="1"/>
    <col min="5" max="11" width="16.6640625" style="46" customWidth="1"/>
    <col min="12" max="12" width="10.6640625" style="46" customWidth="1"/>
    <col min="13" max="13" width="12.33203125" style="46" bestFit="1" customWidth="1"/>
    <col min="14" max="31" width="10.6640625" style="46" customWidth="1"/>
    <col min="32" max="16384" width="9.33203125" style="46"/>
  </cols>
  <sheetData>
    <row r="1" spans="1:11" ht="19.5" x14ac:dyDescent="0.2">
      <c r="A1" s="42">
        <f>IF(SUM($A2:$A33)&gt;0,1,0)</f>
        <v>0</v>
      </c>
      <c r="B1" s="3" t="s">
        <v>330</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2.1.8 - Prescribed Transmission Services Capitalised Overheads</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58" t="s">
        <v>173</v>
      </c>
      <c r="E10" s="59">
        <f>E24*Input_CPI!R$16</f>
        <v>29365310.615451928</v>
      </c>
      <c r="F10" s="60">
        <f>F24*Input_CPI!S$16</f>
        <v>24149535.132139079</v>
      </c>
      <c r="G10" s="59">
        <v>21696527.61783943</v>
      </c>
      <c r="H10" s="61">
        <v>23095225.795627616</v>
      </c>
      <c r="I10" s="61">
        <v>25892426.098905426</v>
      </c>
      <c r="J10" s="61">
        <v>25513921.846107785</v>
      </c>
      <c r="K10" s="60">
        <v>22577234.311802287</v>
      </c>
    </row>
    <row r="11" spans="1:11" ht="15" x14ac:dyDescent="0.25">
      <c r="D11" s="62" t="s">
        <v>174</v>
      </c>
      <c r="E11" s="63">
        <f>E25*Input_CPI!R$16</f>
        <v>549839.50595714746</v>
      </c>
      <c r="F11" s="64">
        <f>F25*Input_CPI!S$16</f>
        <v>110841.4915818201</v>
      </c>
      <c r="G11" s="63">
        <v>0</v>
      </c>
      <c r="H11" s="65">
        <v>0</v>
      </c>
      <c r="I11" s="65">
        <v>0</v>
      </c>
      <c r="J11" s="65">
        <v>94429.281462378436</v>
      </c>
      <c r="K11" s="64">
        <v>319160.00565615826</v>
      </c>
    </row>
    <row r="12" spans="1:11" ht="15" x14ac:dyDescent="0.25">
      <c r="D12" s="62" t="s">
        <v>175</v>
      </c>
      <c r="E12" s="63">
        <f>E26*Input_CPI!R$16</f>
        <v>12709529.844997741</v>
      </c>
      <c r="F12" s="64">
        <f>F26*Input_CPI!S$16</f>
        <v>9493630.5666841697</v>
      </c>
      <c r="G12" s="63">
        <v>12481852.879554147</v>
      </c>
      <c r="H12" s="65">
        <v>10429664.968375662</v>
      </c>
      <c r="I12" s="65">
        <v>5568288.5868601119</v>
      </c>
      <c r="J12" s="65">
        <v>5465525.0071320441</v>
      </c>
      <c r="K12" s="64">
        <v>9389779.38543755</v>
      </c>
    </row>
    <row r="13" spans="1:11" ht="15.75" thickBot="1" x14ac:dyDescent="0.3">
      <c r="D13" s="62" t="s">
        <v>176</v>
      </c>
      <c r="E13" s="63">
        <f>E27*Input_CPI!R$16</f>
        <v>743012.00861992815</v>
      </c>
      <c r="F13" s="64">
        <f>F27*Input_CPI!S$16</f>
        <v>0</v>
      </c>
      <c r="G13" s="63">
        <v>765806.87932300149</v>
      </c>
      <c r="H13" s="65">
        <v>587112.92833643674</v>
      </c>
      <c r="I13" s="65">
        <v>583737.65843263839</v>
      </c>
      <c r="J13" s="65">
        <v>561476.43570753699</v>
      </c>
      <c r="K13" s="64">
        <v>416890.3391495744</v>
      </c>
    </row>
    <row r="14" spans="1:11" ht="13.5" thickBot="1" x14ac:dyDescent="0.25">
      <c r="D14" s="66" t="s">
        <v>179</v>
      </c>
      <c r="E14" s="67">
        <f t="shared" ref="E14:K14" si="0">SUM(E10:E13)</f>
        <v>43367691.975026749</v>
      </c>
      <c r="F14" s="67">
        <f t="shared" si="0"/>
        <v>33754007.190405071</v>
      </c>
      <c r="G14" s="67">
        <f t="shared" si="0"/>
        <v>34944187.376716577</v>
      </c>
      <c r="H14" s="67">
        <f t="shared" si="0"/>
        <v>34112003.692339711</v>
      </c>
      <c r="I14" s="67">
        <f t="shared" si="0"/>
        <v>32044452.344198178</v>
      </c>
      <c r="J14" s="67">
        <f t="shared" si="0"/>
        <v>31635352.570409741</v>
      </c>
      <c r="K14" s="68">
        <f t="shared" si="0"/>
        <v>32703064.042045567</v>
      </c>
    </row>
    <row r="15" spans="1:11" ht="11.25" customHeight="1" x14ac:dyDescent="0.2"/>
    <row r="16" spans="1:11" ht="11.25" customHeight="1" x14ac:dyDescent="0.2">
      <c r="D16" s="6" t="s">
        <v>182</v>
      </c>
      <c r="E16" s="73">
        <f>SUM(WkB_1_2.1.1!E14:E15)</f>
        <v>43367691.975026742</v>
      </c>
      <c r="F16" s="74">
        <f>SUM(WkB_1_2.1.1!F14:F15)</f>
        <v>33754007.190405071</v>
      </c>
      <c r="G16" s="75">
        <f>SUM(WkB_1_2.1.1!G14:G15)</f>
        <v>34944187.376716569</v>
      </c>
      <c r="H16" s="73">
        <f>SUM(WkB_1_2.1.1!H14:H15)</f>
        <v>34112003.692339711</v>
      </c>
      <c r="I16" s="73">
        <f>SUM(WkB_1_2.1.1!I14:I15)</f>
        <v>32044452.344198171</v>
      </c>
      <c r="J16" s="73">
        <f>SUM(WkB_1_2.1.1!J14:J15)</f>
        <v>31635352.570409738</v>
      </c>
      <c r="K16" s="73">
        <f>SUM(WkB_1_2.1.1!K14:K15)</f>
        <v>32703064.042045571</v>
      </c>
    </row>
    <row r="17" spans="1:11" ht="11.25" customHeight="1" x14ac:dyDescent="0.2">
      <c r="A17" s="42">
        <f>IF(SUM($E17:$K17)&gt;0,1,0)</f>
        <v>0</v>
      </c>
      <c r="D17" s="6" t="s">
        <v>183</v>
      </c>
      <c r="E17" s="70">
        <f>IF(ROUND(E14-E16,3)&lt;&gt;0,1,0)</f>
        <v>0</v>
      </c>
      <c r="F17" s="70">
        <f t="shared" ref="F17:K17" si="1">IF(ROUND(F14-F16,3)&lt;&gt;0,1,0)</f>
        <v>0</v>
      </c>
      <c r="G17" s="70">
        <f t="shared" si="1"/>
        <v>0</v>
      </c>
      <c r="H17" s="70">
        <f t="shared" si="1"/>
        <v>0</v>
      </c>
      <c r="I17" s="70">
        <f t="shared" si="1"/>
        <v>0</v>
      </c>
      <c r="J17" s="70">
        <f t="shared" si="1"/>
        <v>0</v>
      </c>
      <c r="K17" s="70">
        <f t="shared" si="1"/>
        <v>0</v>
      </c>
    </row>
    <row r="18" spans="1:11" ht="11.25" customHeight="1" x14ac:dyDescent="0.2"/>
    <row r="19" spans="1:11" s="7" customFormat="1" ht="15" x14ac:dyDescent="0.2">
      <c r="C19" s="7" t="s">
        <v>356</v>
      </c>
    </row>
    <row r="20" spans="1:11" ht="11.25" customHeight="1" x14ac:dyDescent="0.2"/>
    <row r="21" spans="1:11" ht="19.5" thickBot="1" x14ac:dyDescent="0.3">
      <c r="D21" s="51" t="s">
        <v>358</v>
      </c>
      <c r="E21" s="52"/>
      <c r="F21" s="52"/>
      <c r="G21" s="52"/>
      <c r="H21" s="52"/>
      <c r="I21" s="52"/>
      <c r="J21" s="52"/>
      <c r="K21" s="52"/>
    </row>
    <row r="22" spans="1:11" ht="30" customHeight="1" thickBot="1" x14ac:dyDescent="0.25">
      <c r="D22"/>
      <c r="E22" s="1082" t="s">
        <v>508</v>
      </c>
      <c r="F22" s="1083"/>
      <c r="G22" s="1083"/>
      <c r="H22" s="1083"/>
      <c r="I22" s="1083"/>
      <c r="J22" s="1083"/>
      <c r="K22" s="1084"/>
    </row>
    <row r="23" spans="1:11" ht="13.5" thickBot="1" x14ac:dyDescent="0.25">
      <c r="D23"/>
      <c r="E23" s="53" t="s">
        <v>167</v>
      </c>
      <c r="F23" s="54" t="s">
        <v>168</v>
      </c>
      <c r="G23" s="55" t="s">
        <v>169</v>
      </c>
      <c r="H23" s="56" t="s">
        <v>170</v>
      </c>
      <c r="I23" s="56" t="s">
        <v>171</v>
      </c>
      <c r="J23" s="56" t="s">
        <v>172</v>
      </c>
      <c r="K23" s="57" t="s">
        <v>181</v>
      </c>
    </row>
    <row r="24" spans="1:11" ht="15" x14ac:dyDescent="0.25">
      <c r="D24" s="58" t="s">
        <v>173</v>
      </c>
      <c r="E24" s="59">
        <v>28332204.448478334</v>
      </c>
      <c r="F24" s="60">
        <v>23882353.197042443</v>
      </c>
      <c r="G24" s="398"/>
      <c r="H24" s="399"/>
      <c r="I24" s="399"/>
      <c r="J24" s="399"/>
      <c r="K24" s="400"/>
    </row>
    <row r="25" spans="1:11" ht="15" x14ac:dyDescent="0.25">
      <c r="D25" s="62" t="s">
        <v>174</v>
      </c>
      <c r="E25" s="63">
        <v>530495.50541553076</v>
      </c>
      <c r="F25" s="64">
        <v>109615.18043140727</v>
      </c>
      <c r="G25" s="401"/>
      <c r="H25" s="402"/>
      <c r="I25" s="402"/>
      <c r="J25" s="402"/>
      <c r="K25" s="403"/>
    </row>
    <row r="26" spans="1:11" ht="15" x14ac:dyDescent="0.25">
      <c r="D26" s="62" t="s">
        <v>175</v>
      </c>
      <c r="E26" s="63">
        <v>12262393.636082826</v>
      </c>
      <c r="F26" s="64">
        <v>9388596.3880956322</v>
      </c>
      <c r="G26" s="401"/>
      <c r="H26" s="402"/>
      <c r="I26" s="402"/>
      <c r="J26" s="402"/>
      <c r="K26" s="403"/>
    </row>
    <row r="27" spans="1:11" ht="15.75" thickBot="1" x14ac:dyDescent="0.3">
      <c r="D27" s="62" t="s">
        <v>176</v>
      </c>
      <c r="E27" s="63">
        <v>716871.97222485009</v>
      </c>
      <c r="F27" s="64">
        <v>0</v>
      </c>
      <c r="G27" s="401"/>
      <c r="H27" s="402"/>
      <c r="I27" s="402"/>
      <c r="J27" s="402"/>
      <c r="K27" s="403"/>
    </row>
    <row r="28" spans="1:11" ht="13.5" thickBot="1" x14ac:dyDescent="0.25">
      <c r="D28" s="410" t="s">
        <v>179</v>
      </c>
      <c r="E28" s="411">
        <f>SUM(E24:E27)</f>
        <v>41841965.562201537</v>
      </c>
      <c r="F28" s="411">
        <f t="shared" ref="F28:K28" si="2">SUM(F24:F27)</f>
        <v>33380564.765569482</v>
      </c>
      <c r="G28" s="411">
        <f t="shared" si="2"/>
        <v>0</v>
      </c>
      <c r="H28" s="411">
        <f t="shared" si="2"/>
        <v>0</v>
      </c>
      <c r="I28" s="411">
        <f t="shared" si="2"/>
        <v>0</v>
      </c>
      <c r="J28" s="411">
        <f t="shared" si="2"/>
        <v>0</v>
      </c>
      <c r="K28" s="412">
        <f t="shared" si="2"/>
        <v>0</v>
      </c>
    </row>
    <row r="29" spans="1:11" ht="11.25" customHeight="1" x14ac:dyDescent="0.2"/>
    <row r="30" spans="1:11" ht="11.25" customHeight="1" x14ac:dyDescent="0.2">
      <c r="D30" s="6" t="s">
        <v>182</v>
      </c>
      <c r="E30" s="17">
        <f>SUM(WkB_1_2.1.1!E30:E31)</f>
        <v>41841965.562201537</v>
      </c>
      <c r="F30" s="17">
        <f>SUM(WkB_1_2.1.1!F30:F31)</f>
        <v>33380564.765569482</v>
      </c>
      <c r="G30" s="393"/>
      <c r="H30" s="393"/>
      <c r="I30" s="393"/>
      <c r="J30" s="393"/>
      <c r="K30" s="393"/>
    </row>
    <row r="31" spans="1:11" ht="11.25" customHeight="1" x14ac:dyDescent="0.2">
      <c r="A31" s="385">
        <f>IF(SUM($E31:$K31)&gt;0,1,0)</f>
        <v>0</v>
      </c>
      <c r="D31" s="6" t="s">
        <v>183</v>
      </c>
      <c r="E31" s="70">
        <f>IF(ROUND(E28-E30,3)&lt;&gt;0,1,0)</f>
        <v>0</v>
      </c>
      <c r="F31" s="70">
        <f>IF(ROUND(F28-F30,3)&lt;&gt;0,1,0)</f>
        <v>0</v>
      </c>
    </row>
    <row r="32" spans="1:11" ht="11.25" customHeight="1" x14ac:dyDescent="0.2"/>
    <row r="33" spans="2:2" s="47" customFormat="1" ht="15.75" x14ac:dyDescent="0.2">
      <c r="B33" s="47" t="s">
        <v>32</v>
      </c>
    </row>
  </sheetData>
  <mergeCells count="2">
    <mergeCell ref="E8:K8"/>
    <mergeCell ref="E22:K22"/>
  </mergeCells>
  <conditionalFormatting sqref="B2">
    <cfRule type="cellIs" dxfId="134" priority="4" operator="notEqual">
      <formula>"No Errors Found"</formula>
    </cfRule>
  </conditionalFormatting>
  <conditionalFormatting sqref="K10:K13">
    <cfRule type="expression" dxfId="133" priority="3">
      <formula>(dms_FRCPlength_Num)&lt;5</formula>
    </cfRule>
  </conditionalFormatting>
  <conditionalFormatting sqref="K24:K27">
    <cfRule type="expression" dxfId="132" priority="1">
      <formula>(dms_FRCPlength_Num)&lt;5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4"/>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5.83203125" style="46" customWidth="1"/>
    <col min="5" max="5" width="91" style="46" customWidth="1"/>
    <col min="6" max="12" width="17.6640625" style="46" customWidth="1"/>
    <col min="13" max="32" width="10.6640625" style="46" customWidth="1"/>
    <col min="33" max="16384" width="9.33203125" style="46"/>
  </cols>
  <sheetData>
    <row r="1" spans="1:12" ht="19.5" x14ac:dyDescent="0.2">
      <c r="A1" s="42">
        <f>IF(SUM($A2:$A44)&gt;0,1,0)</f>
        <v>0</v>
      </c>
      <c r="B1" s="3" t="s">
        <v>536</v>
      </c>
    </row>
    <row r="2" spans="1:12" x14ac:dyDescent="0.2">
      <c r="B2" s="9" t="str">
        <f>Title_Msg</f>
        <v>No Errors Found</v>
      </c>
    </row>
    <row r="3" spans="1:12" s="47" customFormat="1" ht="15.75" x14ac:dyDescent="0.2">
      <c r="B3" s="47" t="str">
        <f>WkB_1_2.1.1!$B$3</f>
        <v>Data required to populate TransGrid's 2023-28 regulatory submission</v>
      </c>
    </row>
    <row r="4" spans="1:12" ht="4.5" customHeight="1" x14ac:dyDescent="0.2"/>
    <row r="5" spans="1:12" s="7" customFormat="1" ht="15" x14ac:dyDescent="0.2">
      <c r="C5" s="7" t="str">
        <f>WkB_1_2.1.1!$C$5</f>
        <v>Output - RIN template</v>
      </c>
    </row>
    <row r="6" spans="1:12" ht="11.25" customHeight="1" x14ac:dyDescent="0.2"/>
    <row r="7" spans="1:12" ht="19.5" thickBot="1" x14ac:dyDescent="0.3">
      <c r="D7" s="51" t="str">
        <f>B1</f>
        <v>2.2.1 - Replacement Expenditure, Volumes And Asset Failures By Asset Category (As commissioned)</v>
      </c>
      <c r="E7" s="51"/>
      <c r="F7" s="52"/>
      <c r="G7" s="52"/>
      <c r="H7" s="52"/>
      <c r="I7" s="52"/>
      <c r="J7" s="52"/>
      <c r="K7" s="52"/>
      <c r="L7" s="52"/>
    </row>
    <row r="8" spans="1:12" ht="28.15" customHeight="1" thickBot="1" x14ac:dyDescent="0.25">
      <c r="D8"/>
      <c r="E8"/>
      <c r="F8" s="1082" t="str">
        <f>WkB_1_2.1.1!$E$8</f>
        <v>Forecast 
($0's. real June 2023)</v>
      </c>
      <c r="G8" s="1083"/>
      <c r="H8" s="1083"/>
      <c r="I8" s="1083"/>
      <c r="J8" s="1083"/>
      <c r="K8" s="1083"/>
      <c r="L8" s="1084"/>
    </row>
    <row r="9" spans="1:12" ht="18.600000000000001" customHeight="1" thickBot="1" x14ac:dyDescent="0.25">
      <c r="D9" s="748" t="s">
        <v>231</v>
      </c>
      <c r="E9" s="749" t="s">
        <v>232</v>
      </c>
      <c r="F9" s="53" t="str">
        <f>WkB_1_2.1.1!$E$9</f>
        <v>2021-22</v>
      </c>
      <c r="G9" s="54" t="str">
        <f>WkB_1_2.1.1!$F$9</f>
        <v>2022-23</v>
      </c>
      <c r="H9" s="55" t="str">
        <f>WkB_1_2.1.1!$G$9</f>
        <v>2023-24</v>
      </c>
      <c r="I9" s="56" t="str">
        <f>WkB_1_2.1.1!$H$9</f>
        <v>2024-25</v>
      </c>
      <c r="J9" s="56" t="str">
        <f>WkB_1_2.1.1!$I$9</f>
        <v>2025-26</v>
      </c>
      <c r="K9" s="56" t="str">
        <f>WkB_1_2.1.1!$J$9</f>
        <v>2026-27</v>
      </c>
      <c r="L9" s="57" t="str">
        <f>WkB_1_2.1.1!$K$9</f>
        <v>2027-28</v>
      </c>
    </row>
    <row r="10" spans="1:12" ht="26.25" thickBot="1" x14ac:dyDescent="0.3">
      <c r="D10" s="217" t="s">
        <v>233</v>
      </c>
      <c r="E10" s="217" t="s">
        <v>179</v>
      </c>
      <c r="F10" s="191">
        <f>F29*Input_CPI!R$16</f>
        <v>56420646.24325116</v>
      </c>
      <c r="G10" s="60">
        <f>G29*Input_CPI!S$16</f>
        <v>43711357.141942658</v>
      </c>
      <c r="H10" s="59">
        <f t="shared" ref="H10:L18" si="0">H$21*H29/H$38</f>
        <v>7839597.273765251</v>
      </c>
      <c r="I10" s="61">
        <f t="shared" si="0"/>
        <v>28559060.382592984</v>
      </c>
      <c r="J10" s="61">
        <f t="shared" si="0"/>
        <v>22808492.836797908</v>
      </c>
      <c r="K10" s="61">
        <f t="shared" si="0"/>
        <v>6833385.7459043851</v>
      </c>
      <c r="L10" s="123">
        <f t="shared" si="0"/>
        <v>23657635.783450525</v>
      </c>
    </row>
    <row r="11" spans="1:12" ht="26.25" thickBot="1" x14ac:dyDescent="0.3">
      <c r="D11" s="217" t="s">
        <v>234</v>
      </c>
      <c r="E11" s="217" t="s">
        <v>179</v>
      </c>
      <c r="F11" s="192">
        <f>F30*Input_CPI!R$16</f>
        <v>26542199.478101749</v>
      </c>
      <c r="G11" s="64">
        <f>G30*Input_CPI!S$16</f>
        <v>17997909.359863274</v>
      </c>
      <c r="H11" s="63">
        <f t="shared" si="0"/>
        <v>6331079.7032709057</v>
      </c>
      <c r="I11" s="65">
        <f t="shared" si="0"/>
        <v>14641528.867287077</v>
      </c>
      <c r="J11" s="65">
        <f t="shared" si="0"/>
        <v>19773622.353659794</v>
      </c>
      <c r="K11" s="65">
        <f t="shared" si="0"/>
        <v>14923759.123584161</v>
      </c>
      <c r="L11" s="124">
        <f t="shared" si="0"/>
        <v>21393993.865141738</v>
      </c>
    </row>
    <row r="12" spans="1:12" ht="26.25" thickBot="1" x14ac:dyDescent="0.3">
      <c r="D12" s="217" t="s">
        <v>235</v>
      </c>
      <c r="E12" s="217" t="s">
        <v>179</v>
      </c>
      <c r="F12" s="192">
        <f>F31*Input_CPI!R$16</f>
        <v>3422554.3546865229</v>
      </c>
      <c r="G12" s="64">
        <f>G31*Input_CPI!S$16</f>
        <v>17879370.514265366</v>
      </c>
      <c r="H12" s="63">
        <f t="shared" si="0"/>
        <v>3208503.0219254354</v>
      </c>
      <c r="I12" s="65">
        <f t="shared" si="0"/>
        <v>9409412.1848503985</v>
      </c>
      <c r="J12" s="65">
        <f t="shared" si="0"/>
        <v>7822135.3918452309</v>
      </c>
      <c r="K12" s="65">
        <f t="shared" si="0"/>
        <v>11493863.70239736</v>
      </c>
      <c r="L12" s="124">
        <f t="shared" si="0"/>
        <v>12480030.314529585</v>
      </c>
    </row>
    <row r="13" spans="1:12" ht="26.25" thickBot="1" x14ac:dyDescent="0.3">
      <c r="D13" s="217" t="s">
        <v>236</v>
      </c>
      <c r="E13" s="217" t="s">
        <v>179</v>
      </c>
      <c r="F13" s="192">
        <f>F32*Input_CPI!R$16</f>
        <v>236871.91857238964</v>
      </c>
      <c r="G13" s="64">
        <f>G32*Input_CPI!S$16</f>
        <v>0</v>
      </c>
      <c r="H13" s="63">
        <f t="shared" si="0"/>
        <v>0</v>
      </c>
      <c r="I13" s="65">
        <f t="shared" si="0"/>
        <v>0</v>
      </c>
      <c r="J13" s="65">
        <f t="shared" si="0"/>
        <v>0</v>
      </c>
      <c r="K13" s="65">
        <f t="shared" si="0"/>
        <v>0</v>
      </c>
      <c r="L13" s="124">
        <f t="shared" si="0"/>
        <v>0</v>
      </c>
    </row>
    <row r="14" spans="1:12" ht="26.25" thickBot="1" x14ac:dyDescent="0.3">
      <c r="D14" s="217" t="s">
        <v>237</v>
      </c>
      <c r="E14" s="217" t="s">
        <v>179</v>
      </c>
      <c r="F14" s="192">
        <f>F33*Input_CPI!R$16</f>
        <v>33553022.439877566</v>
      </c>
      <c r="G14" s="64">
        <f>G33*Input_CPI!S$16</f>
        <v>30705106.196277097</v>
      </c>
      <c r="H14" s="63">
        <f t="shared" si="0"/>
        <v>6891833.1135595962</v>
      </c>
      <c r="I14" s="65">
        <f t="shared" si="0"/>
        <v>7872922.6836713739</v>
      </c>
      <c r="J14" s="65">
        <f t="shared" si="0"/>
        <v>10314659.628231904</v>
      </c>
      <c r="K14" s="65">
        <f t="shared" si="0"/>
        <v>22652983.941432517</v>
      </c>
      <c r="L14" s="124">
        <f t="shared" si="0"/>
        <v>23768621.910888426</v>
      </c>
    </row>
    <row r="15" spans="1:12" ht="26.25" thickBot="1" x14ac:dyDescent="0.3">
      <c r="D15" s="217" t="s">
        <v>238</v>
      </c>
      <c r="E15" s="217" t="s">
        <v>179</v>
      </c>
      <c r="F15" s="192">
        <f>F34*Input_CPI!R$16</f>
        <v>13599002.014596326</v>
      </c>
      <c r="G15" s="64">
        <f>G34*Input_CPI!S$16</f>
        <v>6653391.6047789343</v>
      </c>
      <c r="H15" s="63">
        <f t="shared" si="0"/>
        <v>0</v>
      </c>
      <c r="I15" s="65">
        <f t="shared" si="0"/>
        <v>5635408.2482346678</v>
      </c>
      <c r="J15" s="65">
        <f t="shared" si="0"/>
        <v>13522418.695389189</v>
      </c>
      <c r="K15" s="65">
        <f t="shared" si="0"/>
        <v>10898449.375799097</v>
      </c>
      <c r="L15" s="124">
        <f t="shared" si="0"/>
        <v>10530897.541671708</v>
      </c>
    </row>
    <row r="16" spans="1:12" ht="26.25" thickBot="1" x14ac:dyDescent="0.3">
      <c r="D16" s="217" t="s">
        <v>239</v>
      </c>
      <c r="E16" s="217" t="s">
        <v>179</v>
      </c>
      <c r="F16" s="192">
        <f>F35*Input_CPI!R$16</f>
        <v>30636.643140549797</v>
      </c>
      <c r="G16" s="64">
        <f>G35*Input_CPI!S$16</f>
        <v>4471777.4898376074</v>
      </c>
      <c r="H16" s="63">
        <f t="shared" si="0"/>
        <v>904711.21236106544</v>
      </c>
      <c r="I16" s="65">
        <f t="shared" si="0"/>
        <v>0</v>
      </c>
      <c r="J16" s="65">
        <f t="shared" si="0"/>
        <v>1122476.0869917099</v>
      </c>
      <c r="K16" s="65">
        <f t="shared" si="0"/>
        <v>1127023.3519892939</v>
      </c>
      <c r="L16" s="124">
        <f t="shared" si="0"/>
        <v>2085262.3144325423</v>
      </c>
    </row>
    <row r="17" spans="1:15" ht="39" thickBot="1" x14ac:dyDescent="0.3">
      <c r="D17" s="217" t="s">
        <v>240</v>
      </c>
      <c r="E17" s="217" t="s">
        <v>179</v>
      </c>
      <c r="F17" s="192">
        <f>F36*Input_CPI!R$16</f>
        <v>62669805.909700043</v>
      </c>
      <c r="G17" s="64">
        <f>G36*Input_CPI!S$16</f>
        <v>84189903.257043704</v>
      </c>
      <c r="H17" s="63">
        <f t="shared" si="0"/>
        <v>8748260.9069238231</v>
      </c>
      <c r="I17" s="65">
        <f t="shared" si="0"/>
        <v>21256376.867148943</v>
      </c>
      <c r="J17" s="65">
        <f t="shared" si="0"/>
        <v>44650831.530429423</v>
      </c>
      <c r="K17" s="65">
        <f t="shared" si="0"/>
        <v>45375144.054431699</v>
      </c>
      <c r="L17" s="124">
        <f t="shared" si="0"/>
        <v>88621964.524271697</v>
      </c>
    </row>
    <row r="18" spans="1:15" ht="26.25" thickBot="1" x14ac:dyDescent="0.3">
      <c r="D18" s="219" t="s">
        <v>241</v>
      </c>
      <c r="E18" s="219" t="s">
        <v>179</v>
      </c>
      <c r="F18" s="192">
        <f>F37*Input_CPI!R$16</f>
        <v>19955317.716572043</v>
      </c>
      <c r="G18" s="64">
        <f>G37*Input_CPI!S$16</f>
        <v>28722150.761025246</v>
      </c>
      <c r="H18" s="63">
        <f t="shared" si="0"/>
        <v>32735384.952526562</v>
      </c>
      <c r="I18" s="65">
        <f t="shared" si="0"/>
        <v>48452359.528049499</v>
      </c>
      <c r="J18" s="65">
        <f t="shared" si="0"/>
        <v>38541139.513647191</v>
      </c>
      <c r="K18" s="65">
        <f t="shared" si="0"/>
        <v>39107761.936154909</v>
      </c>
      <c r="L18" s="124">
        <f t="shared" si="0"/>
        <v>44638770.507827722</v>
      </c>
    </row>
    <row r="19" spans="1:15" ht="13.5" thickBot="1" x14ac:dyDescent="0.25">
      <c r="D19" s="66" t="s">
        <v>179</v>
      </c>
      <c r="E19" s="67"/>
      <c r="F19" s="67">
        <f t="shared" ref="F19:L19" si="1">SUM(F10:F18)</f>
        <v>216430056.71849838</v>
      </c>
      <c r="G19" s="67">
        <f t="shared" si="1"/>
        <v>234330966.32503387</v>
      </c>
      <c r="H19" s="67">
        <f t="shared" si="1"/>
        <v>66659370.184332632</v>
      </c>
      <c r="I19" s="67">
        <f t="shared" si="1"/>
        <v>135827068.76183492</v>
      </c>
      <c r="J19" s="67">
        <f t="shared" si="1"/>
        <v>158555776.03699234</v>
      </c>
      <c r="K19" s="67">
        <f t="shared" si="1"/>
        <v>152412371.23169342</v>
      </c>
      <c r="L19" s="68">
        <f t="shared" si="1"/>
        <v>227177176.76221395</v>
      </c>
    </row>
    <row r="20" spans="1:15" ht="11.25" customHeight="1" x14ac:dyDescent="0.2"/>
    <row r="21" spans="1:15" ht="11.25" customHeight="1" x14ac:dyDescent="0.2">
      <c r="D21" s="6" t="s">
        <v>182</v>
      </c>
      <c r="E21" s="6"/>
      <c r="F21" s="144">
        <f>F40*Input_CPI!R$16</f>
        <v>216430056.71849841</v>
      </c>
      <c r="G21" s="145">
        <f>G40*Input_CPI!S$16</f>
        <v>234330966.32503384</v>
      </c>
      <c r="H21" s="143">
        <v>66659370.184332632</v>
      </c>
      <c r="I21" s="141">
        <v>135827068.76183495</v>
      </c>
      <c r="J21" s="141">
        <v>158555776.03699234</v>
      </c>
      <c r="K21" s="141">
        <v>152412371.23169342</v>
      </c>
      <c r="L21" s="141">
        <v>227177176.76221395</v>
      </c>
    </row>
    <row r="22" spans="1:15" ht="11.25" customHeight="1" x14ac:dyDescent="0.2">
      <c r="A22" s="385">
        <f>IF(SUM($F22:$L22)&gt;0,1,0)</f>
        <v>0</v>
      </c>
      <c r="D22" s="6" t="s">
        <v>183</v>
      </c>
      <c r="E22" s="6"/>
      <c r="F22" s="70">
        <f>IF(ROUND(F19-F21,3)&lt;&gt;0,1,0)</f>
        <v>0</v>
      </c>
      <c r="G22" s="70">
        <f t="shared" ref="G22:L22" si="2">IF(ROUND(G19-G21,3)&lt;&gt;0,1,0)</f>
        <v>0</v>
      </c>
      <c r="H22" s="70">
        <f t="shared" si="2"/>
        <v>0</v>
      </c>
      <c r="I22" s="70">
        <f t="shared" si="2"/>
        <v>0</v>
      </c>
      <c r="J22" s="70">
        <f t="shared" si="2"/>
        <v>0</v>
      </c>
      <c r="K22" s="70">
        <f t="shared" si="2"/>
        <v>0</v>
      </c>
      <c r="L22" s="70">
        <f t="shared" si="2"/>
        <v>0</v>
      </c>
    </row>
    <row r="23" spans="1:15" ht="11.25" customHeight="1" x14ac:dyDescent="0.2"/>
    <row r="24" spans="1:15" s="7" customFormat="1" ht="15" x14ac:dyDescent="0.2">
      <c r="C24" s="7" t="s">
        <v>377</v>
      </c>
    </row>
    <row r="25" spans="1:15" ht="11.25" customHeight="1" x14ac:dyDescent="0.2"/>
    <row r="26" spans="1:15" ht="19.5" thickBot="1" x14ac:dyDescent="0.3">
      <c r="D26" s="51" t="str">
        <f>D7</f>
        <v>2.2.1 - Replacement Expenditure, Volumes And Asset Failures By Asset Category (As commissioned)</v>
      </c>
      <c r="E26" s="51"/>
      <c r="F26" s="52"/>
      <c r="G26" s="52"/>
      <c r="H26" s="52"/>
      <c r="I26" s="52"/>
      <c r="J26" s="52"/>
      <c r="K26" s="52"/>
      <c r="L26" s="52"/>
    </row>
    <row r="27" spans="1:15" ht="28.15" customHeight="1" thickBot="1" x14ac:dyDescent="0.25">
      <c r="D27"/>
      <c r="E27"/>
      <c r="F27" s="1087" t="s">
        <v>519</v>
      </c>
      <c r="G27" s="1086"/>
      <c r="H27" s="1085" t="s">
        <v>520</v>
      </c>
      <c r="I27" s="1085"/>
      <c r="J27" s="1085"/>
      <c r="K27" s="1085"/>
      <c r="L27" s="1086"/>
    </row>
    <row r="28" spans="1:15" ht="18.600000000000001" customHeight="1" thickBot="1" x14ac:dyDescent="0.25">
      <c r="D28" s="748" t="s">
        <v>231</v>
      </c>
      <c r="E28" s="748" t="s">
        <v>232</v>
      </c>
      <c r="F28" s="53" t="str">
        <f>WkB_1_2.1.1!$E$9</f>
        <v>2021-22</v>
      </c>
      <c r="G28" s="867" t="str">
        <f>WkB_1_2.1.1!$F$9</f>
        <v>2022-23</v>
      </c>
      <c r="H28" s="55" t="str">
        <f>WkB_1_2.1.1!$G$9</f>
        <v>2023-24</v>
      </c>
      <c r="I28" s="56" t="str">
        <f>WkB_1_2.1.1!$H$9</f>
        <v>2024-25</v>
      </c>
      <c r="J28" s="56" t="str">
        <f>WkB_1_2.1.1!$I$9</f>
        <v>2025-26</v>
      </c>
      <c r="K28" s="56" t="str">
        <f>WkB_1_2.1.1!$J$9</f>
        <v>2026-27</v>
      </c>
      <c r="L28" s="57" t="str">
        <f>WkB_1_2.1.1!$K$9</f>
        <v>2027-28</v>
      </c>
    </row>
    <row r="29" spans="1:15" ht="26.25" thickBot="1" x14ac:dyDescent="0.3">
      <c r="D29" s="217" t="s">
        <v>233</v>
      </c>
      <c r="E29" s="217" t="s">
        <v>179</v>
      </c>
      <c r="F29" s="191">
        <v>54435701.546365611</v>
      </c>
      <c r="G29" s="123">
        <v>43227750.110876381</v>
      </c>
      <c r="H29" s="59">
        <v>7448998.1275555156</v>
      </c>
      <c r="I29" s="61">
        <v>27146945.454591539</v>
      </c>
      <c r="J29" s="61">
        <v>21667354.559973281</v>
      </c>
      <c r="K29" s="61">
        <v>6485791.3563499283</v>
      </c>
      <c r="L29" s="123">
        <v>22442554.157083429</v>
      </c>
      <c r="N29" s="789"/>
      <c r="O29" s="789"/>
    </row>
    <row r="30" spans="1:15" ht="26.25" thickBot="1" x14ac:dyDescent="0.3">
      <c r="D30" s="217" t="s">
        <v>234</v>
      </c>
      <c r="E30" s="217" t="s">
        <v>179</v>
      </c>
      <c r="F30" s="192">
        <v>25608413.68148765</v>
      </c>
      <c r="G30" s="124">
        <v>17798786.841597382</v>
      </c>
      <c r="H30" s="63">
        <v>6015640.7540076757</v>
      </c>
      <c r="I30" s="65">
        <v>13917572.224271536</v>
      </c>
      <c r="J30" s="65">
        <v>18784322.556400415</v>
      </c>
      <c r="K30" s="65">
        <v>14164631.052184256</v>
      </c>
      <c r="L30" s="124">
        <v>20295175.323082309</v>
      </c>
      <c r="N30" s="789"/>
      <c r="O30" s="789"/>
    </row>
    <row r="31" spans="1:15" ht="26.25" thickBot="1" x14ac:dyDescent="0.3">
      <c r="D31" s="217" t="s">
        <v>235</v>
      </c>
      <c r="E31" s="217" t="s">
        <v>179</v>
      </c>
      <c r="F31" s="192">
        <v>3302144.8668751316</v>
      </c>
      <c r="G31" s="124">
        <v>17681559.46795857</v>
      </c>
      <c r="H31" s="63">
        <v>3048642.9554945589</v>
      </c>
      <c r="I31" s="65">
        <v>8944159.7839680295</v>
      </c>
      <c r="J31" s="65">
        <v>7430783.8822997054</v>
      </c>
      <c r="K31" s="65">
        <v>10909204.400871541</v>
      </c>
      <c r="L31" s="124">
        <v>11839042.530691216</v>
      </c>
      <c r="N31" s="789"/>
      <c r="O31" s="789"/>
    </row>
    <row r="32" spans="1:15" ht="26.25" thickBot="1" x14ac:dyDescent="0.3">
      <c r="D32" s="217" t="s">
        <v>236</v>
      </c>
      <c r="E32" s="217" t="s">
        <v>179</v>
      </c>
      <c r="F32" s="192">
        <v>228538.48586791026</v>
      </c>
      <c r="G32" s="124">
        <v>0</v>
      </c>
      <c r="H32" s="63">
        <v>0</v>
      </c>
      <c r="I32" s="65">
        <v>0</v>
      </c>
      <c r="J32" s="65">
        <v>0</v>
      </c>
      <c r="K32" s="65">
        <v>0</v>
      </c>
      <c r="L32" s="124">
        <v>0</v>
      </c>
      <c r="N32" s="789"/>
      <c r="O32" s="789"/>
    </row>
    <row r="33" spans="1:15" ht="26.25" thickBot="1" x14ac:dyDescent="0.3">
      <c r="D33" s="217" t="s">
        <v>237</v>
      </c>
      <c r="E33" s="217" t="s">
        <v>179</v>
      </c>
      <c r="F33" s="192">
        <v>32372587.645327806</v>
      </c>
      <c r="G33" s="124">
        <v>30365395.736180037</v>
      </c>
      <c r="H33" s="63">
        <v>6548455.254216644</v>
      </c>
      <c r="I33" s="65">
        <v>7483642.6618612111</v>
      </c>
      <c r="J33" s="65">
        <v>9798603.9204561003</v>
      </c>
      <c r="K33" s="65">
        <v>21500692.761408251</v>
      </c>
      <c r="L33" s="124">
        <v>22547839.917609531</v>
      </c>
      <c r="N33" s="789"/>
      <c r="O33" s="789"/>
    </row>
    <row r="34" spans="1:15" ht="26.25" thickBot="1" x14ac:dyDescent="0.3">
      <c r="D34" s="217" t="s">
        <v>238</v>
      </c>
      <c r="E34" s="217" t="s">
        <v>179</v>
      </c>
      <c r="F34" s="192">
        <v>13120573.128556443</v>
      </c>
      <c r="G34" s="124">
        <v>6579780.8278346285</v>
      </c>
      <c r="H34" s="63">
        <v>0</v>
      </c>
      <c r="I34" s="65">
        <v>5356763.0825286899</v>
      </c>
      <c r="J34" s="65">
        <v>12845874.669487482</v>
      </c>
      <c r="K34" s="65">
        <v>10344077.063341612</v>
      </c>
      <c r="L34" s="124">
        <v>9990019.3140598461</v>
      </c>
      <c r="N34" s="789"/>
      <c r="O34" s="789"/>
    </row>
    <row r="35" spans="1:15" ht="26.25" thickBot="1" x14ac:dyDescent="0.3">
      <c r="D35" s="217" t="s">
        <v>239</v>
      </c>
      <c r="E35" s="217" t="s">
        <v>179</v>
      </c>
      <c r="F35" s="192">
        <v>29558.810000000056</v>
      </c>
      <c r="G35" s="124">
        <v>4422303.3216385543</v>
      </c>
      <c r="H35" s="63">
        <v>859634.99035956408</v>
      </c>
      <c r="I35" s="65">
        <v>0</v>
      </c>
      <c r="J35" s="65">
        <v>1066317.1624695233</v>
      </c>
      <c r="K35" s="65">
        <v>1069694.963308305</v>
      </c>
      <c r="L35" s="124">
        <v>1978160.9984931375</v>
      </c>
      <c r="N35" s="789"/>
      <c r="O35" s="789"/>
    </row>
    <row r="36" spans="1:15" ht="39" thickBot="1" x14ac:dyDescent="0.3">
      <c r="D36" s="217" t="s">
        <v>240</v>
      </c>
      <c r="E36" s="217" t="s">
        <v>179</v>
      </c>
      <c r="F36" s="192">
        <v>60465008.425477929</v>
      </c>
      <c r="G36" s="124">
        <v>83258455.875355601</v>
      </c>
      <c r="H36" s="63">
        <v>8312388.6137768971</v>
      </c>
      <c r="I36" s="65">
        <v>20205346.241938986</v>
      </c>
      <c r="J36" s="65">
        <v>42416892.913090505</v>
      </c>
      <c r="K36" s="65">
        <v>43067042.904427275</v>
      </c>
      <c r="L36" s="124">
        <v>84070245.080635324</v>
      </c>
      <c r="N36" s="789"/>
      <c r="O36" s="789"/>
    </row>
    <row r="37" spans="1:15" ht="26.25" thickBot="1" x14ac:dyDescent="0.3">
      <c r="D37" s="219" t="s">
        <v>241</v>
      </c>
      <c r="E37" s="219" t="s">
        <v>179</v>
      </c>
      <c r="F37" s="192">
        <v>19253266.167828679</v>
      </c>
      <c r="G37" s="124">
        <v>28404379.020141702</v>
      </c>
      <c r="H37" s="63">
        <v>31104381.092660844</v>
      </c>
      <c r="I37" s="65">
        <v>46056611.934471294</v>
      </c>
      <c r="J37" s="65">
        <v>36612876.657957546</v>
      </c>
      <c r="K37" s="65">
        <v>37118464.22305768</v>
      </c>
      <c r="L37" s="124">
        <v>42346075.22905343</v>
      </c>
      <c r="N37" s="789"/>
      <c r="O37" s="789"/>
    </row>
    <row r="38" spans="1:15" ht="13.5" thickBot="1" x14ac:dyDescent="0.25">
      <c r="D38" s="66" t="s">
        <v>179</v>
      </c>
      <c r="E38" s="67"/>
      <c r="F38" s="190">
        <f t="shared" ref="F38:L38" si="3">SUM(F29:F37)</f>
        <v>208815792.75778717</v>
      </c>
      <c r="G38" s="68">
        <f t="shared" si="3"/>
        <v>231738411.20158285</v>
      </c>
      <c r="H38" s="67">
        <f t="shared" si="3"/>
        <v>63338141.788071692</v>
      </c>
      <c r="I38" s="67">
        <f t="shared" si="3"/>
        <v>129111041.38363129</v>
      </c>
      <c r="J38" s="67">
        <f t="shared" si="3"/>
        <v>150623026.32213455</v>
      </c>
      <c r="K38" s="67">
        <f t="shared" si="3"/>
        <v>144659598.72494885</v>
      </c>
      <c r="L38" s="68">
        <f t="shared" si="3"/>
        <v>215509112.55070823</v>
      </c>
    </row>
    <row r="39" spans="1:15" ht="11.25" customHeight="1" x14ac:dyDescent="0.2"/>
    <row r="40" spans="1:15" ht="11.25" customHeight="1" x14ac:dyDescent="0.2">
      <c r="A40" s="42"/>
      <c r="D40" s="6" t="s">
        <v>523</v>
      </c>
      <c r="E40" s="773" t="s">
        <v>522</v>
      </c>
      <c r="F40" s="141">
        <v>208815792.75778723</v>
      </c>
      <c r="G40" s="142">
        <v>231738411.20158282</v>
      </c>
      <c r="H40" s="143">
        <v>63338227.947064973</v>
      </c>
      <c r="I40" s="141">
        <v>129111127.54262456</v>
      </c>
      <c r="J40" s="141">
        <v>150622537.46490657</v>
      </c>
      <c r="K40" s="141">
        <v>144659684.88394195</v>
      </c>
      <c r="L40" s="141">
        <v>215509198.70970157</v>
      </c>
    </row>
    <row r="41" spans="1:15" ht="11.25" customHeight="1" x14ac:dyDescent="0.2">
      <c r="A41" s="42"/>
      <c r="D41" s="6" t="s">
        <v>521</v>
      </c>
      <c r="E41" s="6"/>
      <c r="F41" s="141">
        <v>208815792.75778717</v>
      </c>
      <c r="G41" s="142">
        <v>231738411.20158285</v>
      </c>
      <c r="H41" s="143">
        <v>63338141.788071692</v>
      </c>
      <c r="I41" s="141">
        <v>129111041.38363129</v>
      </c>
      <c r="J41" s="141">
        <v>150623026.32213455</v>
      </c>
      <c r="K41" s="141">
        <v>144659598.72494885</v>
      </c>
      <c r="L41" s="141">
        <v>215509112.55070823</v>
      </c>
    </row>
    <row r="42" spans="1:15" ht="11.25" customHeight="1" x14ac:dyDescent="0.2">
      <c r="A42" s="42">
        <f>IF(SUM($F42:$L42)&gt;0,1,0)</f>
        <v>0</v>
      </c>
      <c r="D42" s="6" t="s">
        <v>183</v>
      </c>
      <c r="E42" s="6"/>
      <c r="F42" s="70">
        <f t="shared" ref="F42:G42" si="4">IF(OR(ROUND(F38-F40,-3)&lt;&gt;0,ROUND(F38-F41,3)&lt;&gt;0),1,0)</f>
        <v>0</v>
      </c>
      <c r="G42" s="790">
        <f t="shared" si="4"/>
        <v>0</v>
      </c>
      <c r="H42" s="791">
        <f>IF(OR(ROUND(H38-H40,-3)&lt;&gt;0,ROUND(H38-H41,3)&lt;&gt;0),1,0)</f>
        <v>0</v>
      </c>
      <c r="I42" s="70">
        <f t="shared" ref="I42:L42" si="5">IF(OR(ROUND(I38-I40,-3)&lt;&gt;0,ROUND(I38-I41,3)&lt;&gt;0),1,0)</f>
        <v>0</v>
      </c>
      <c r="J42" s="70">
        <f t="shared" si="5"/>
        <v>0</v>
      </c>
      <c r="K42" s="70">
        <f t="shared" si="5"/>
        <v>0</v>
      </c>
      <c r="L42" s="70">
        <f t="shared" si="5"/>
        <v>0</v>
      </c>
    </row>
    <row r="43" spans="1:15" ht="11.25" customHeight="1" x14ac:dyDescent="0.2"/>
    <row r="44" spans="1:15" s="47" customFormat="1" ht="15.75" x14ac:dyDescent="0.2">
      <c r="B44" s="47" t="s">
        <v>32</v>
      </c>
    </row>
  </sheetData>
  <mergeCells count="3">
    <mergeCell ref="F8:L8"/>
    <mergeCell ref="H27:L27"/>
    <mergeCell ref="F27:G27"/>
  </mergeCells>
  <conditionalFormatting sqref="B2">
    <cfRule type="cellIs" dxfId="131" priority="3" operator="notEqual">
      <formula>"No Errors Found"</formula>
    </cfRule>
  </conditionalFormatting>
  <conditionalFormatting sqref="L10:L18 L29:L37">
    <cfRule type="expression" dxfId="130" priority="2">
      <formula>(dms_FRCPlength_Num)&lt;5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4"/>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5.83203125" style="46" customWidth="1"/>
    <col min="5" max="5" width="91" style="46" customWidth="1"/>
    <col min="6" max="12" width="17.6640625" style="46" customWidth="1"/>
    <col min="13" max="32" width="10.6640625" style="46" customWidth="1"/>
    <col min="33" max="16384" width="9.33203125" style="46"/>
  </cols>
  <sheetData>
    <row r="1" spans="1:12" ht="19.5" x14ac:dyDescent="0.2">
      <c r="A1" s="42">
        <f>IF(SUM($A2:$A44)&gt;0,1,0)</f>
        <v>0</v>
      </c>
      <c r="B1" s="3" t="s">
        <v>537</v>
      </c>
    </row>
    <row r="2" spans="1:12" x14ac:dyDescent="0.2">
      <c r="B2" s="9" t="str">
        <f>Title_Msg</f>
        <v>No Errors Found</v>
      </c>
    </row>
    <row r="3" spans="1:12" s="47" customFormat="1" ht="15.75" x14ac:dyDescent="0.2">
      <c r="B3" s="47" t="str">
        <f>WkB_1_2.1.1!$B$3</f>
        <v>Data required to populate TransGrid's 2023-28 regulatory submission</v>
      </c>
    </row>
    <row r="4" spans="1:12" ht="4.5" customHeight="1" x14ac:dyDescent="0.2"/>
    <row r="5" spans="1:12" s="7" customFormat="1" ht="15" x14ac:dyDescent="0.2">
      <c r="C5" s="7" t="str">
        <f>WkB_1_2.1.1!$C$5</f>
        <v>Output - RIN template</v>
      </c>
    </row>
    <row r="6" spans="1:12" ht="11.25" customHeight="1" x14ac:dyDescent="0.2"/>
    <row r="7" spans="1:12" ht="19.5" thickBot="1" x14ac:dyDescent="0.3">
      <c r="D7" s="51" t="str">
        <f>B1</f>
        <v>2.2.1 (a) - Replacement Expenditure, Volumes And Asset Failures By Asset Category (as incurred)</v>
      </c>
      <c r="E7" s="51"/>
      <c r="F7" s="52"/>
      <c r="G7" s="52"/>
      <c r="H7" s="52"/>
      <c r="I7" s="52"/>
      <c r="J7" s="52"/>
      <c r="K7" s="52"/>
      <c r="L7" s="52"/>
    </row>
    <row r="8" spans="1:12" ht="28.15" customHeight="1" thickBot="1" x14ac:dyDescent="0.25">
      <c r="D8"/>
      <c r="E8"/>
      <c r="F8" s="1082" t="str">
        <f>WkB_1_2.1.1!$E$8</f>
        <v>Forecast 
($0's. real June 2023)</v>
      </c>
      <c r="G8" s="1083"/>
      <c r="H8" s="1083"/>
      <c r="I8" s="1083"/>
      <c r="J8" s="1083"/>
      <c r="K8" s="1083"/>
      <c r="L8" s="1084"/>
    </row>
    <row r="9" spans="1:12" ht="18.600000000000001" customHeight="1" thickBot="1" x14ac:dyDescent="0.25">
      <c r="D9" s="748" t="s">
        <v>231</v>
      </c>
      <c r="E9" s="749" t="s">
        <v>232</v>
      </c>
      <c r="F9" s="53" t="str">
        <f>WkB_1_2.1.1!$E$9</f>
        <v>2021-22</v>
      </c>
      <c r="G9" s="54" t="str">
        <f>WkB_1_2.1.1!$F$9</f>
        <v>2022-23</v>
      </c>
      <c r="H9" s="55" t="str">
        <f>WkB_1_2.1.1!$G$9</f>
        <v>2023-24</v>
      </c>
      <c r="I9" s="56" t="str">
        <f>WkB_1_2.1.1!$H$9</f>
        <v>2024-25</v>
      </c>
      <c r="J9" s="56" t="str">
        <f>WkB_1_2.1.1!$I$9</f>
        <v>2025-26</v>
      </c>
      <c r="K9" s="56" t="str">
        <f>WkB_1_2.1.1!$J$9</f>
        <v>2026-27</v>
      </c>
      <c r="L9" s="57" t="str">
        <f>WkB_1_2.1.1!$K$9</f>
        <v>2027-28</v>
      </c>
    </row>
    <row r="10" spans="1:12" ht="26.25" thickBot="1" x14ac:dyDescent="0.3">
      <c r="D10" s="217" t="s">
        <v>233</v>
      </c>
      <c r="E10" s="217" t="s">
        <v>179</v>
      </c>
      <c r="F10" s="191">
        <f>F29*Input_CPI!R$16</f>
        <v>33238452.790500678</v>
      </c>
      <c r="G10" s="60">
        <f>G29*Input_CPI!S$16</f>
        <v>23758492.126919787</v>
      </c>
      <c r="H10" s="59">
        <f t="shared" ref="H10:L18" si="0">H$21*H29/H$38</f>
        <v>16199925.618552994</v>
      </c>
      <c r="I10" s="61">
        <f t="shared" si="0"/>
        <v>22528125.729546666</v>
      </c>
      <c r="J10" s="61">
        <f t="shared" si="0"/>
        <v>27081028.373603318</v>
      </c>
      <c r="K10" s="61">
        <f t="shared" si="0"/>
        <v>20601364.45008076</v>
      </c>
      <c r="L10" s="123">
        <f t="shared" si="0"/>
        <v>47060139.248146676</v>
      </c>
    </row>
    <row r="11" spans="1:12" ht="26.25" thickBot="1" x14ac:dyDescent="0.3">
      <c r="D11" s="217" t="s">
        <v>234</v>
      </c>
      <c r="E11" s="217" t="s">
        <v>179</v>
      </c>
      <c r="F11" s="192">
        <f>F30*Input_CPI!R$16</f>
        <v>12657275.990346435</v>
      </c>
      <c r="G11" s="64">
        <f>G30*Input_CPI!S$16</f>
        <v>15323935.991276616</v>
      </c>
      <c r="H11" s="63">
        <f t="shared" si="0"/>
        <v>10183296.79169042</v>
      </c>
      <c r="I11" s="65">
        <f t="shared" si="0"/>
        <v>13004989.887511328</v>
      </c>
      <c r="J11" s="65">
        <f t="shared" si="0"/>
        <v>29089622.707743533</v>
      </c>
      <c r="K11" s="65">
        <f t="shared" si="0"/>
        <v>12429030.834675539</v>
      </c>
      <c r="L11" s="124">
        <f t="shared" si="0"/>
        <v>13559290.410562443</v>
      </c>
    </row>
    <row r="12" spans="1:12" ht="26.25" thickBot="1" x14ac:dyDescent="0.3">
      <c r="D12" s="217" t="s">
        <v>235</v>
      </c>
      <c r="E12" s="217" t="s">
        <v>179</v>
      </c>
      <c r="F12" s="192">
        <f>F31*Input_CPI!R$16</f>
        <v>3235960.8243467715</v>
      </c>
      <c r="G12" s="64">
        <f>G31*Input_CPI!S$16</f>
        <v>16993189.144263789</v>
      </c>
      <c r="H12" s="63">
        <f t="shared" si="0"/>
        <v>7633076.5157648493</v>
      </c>
      <c r="I12" s="65">
        <f t="shared" si="0"/>
        <v>6111268.9326497437</v>
      </c>
      <c r="J12" s="65">
        <f t="shared" si="0"/>
        <v>18128552.803102452</v>
      </c>
      <c r="K12" s="65">
        <f t="shared" si="0"/>
        <v>9861062.3186002281</v>
      </c>
      <c r="L12" s="124">
        <f t="shared" si="0"/>
        <v>14638160.780074045</v>
      </c>
    </row>
    <row r="13" spans="1:12" ht="26.25" thickBot="1" x14ac:dyDescent="0.3">
      <c r="D13" s="217" t="s">
        <v>236</v>
      </c>
      <c r="E13" s="217" t="s">
        <v>179</v>
      </c>
      <c r="F13" s="192">
        <f>F32*Input_CPI!R$16</f>
        <v>226455.95263959948</v>
      </c>
      <c r="G13" s="64">
        <f>G32*Input_CPI!S$16</f>
        <v>0</v>
      </c>
      <c r="H13" s="63">
        <f t="shared" si="0"/>
        <v>0</v>
      </c>
      <c r="I13" s="65">
        <f t="shared" si="0"/>
        <v>0</v>
      </c>
      <c r="J13" s="65">
        <f t="shared" si="0"/>
        <v>0</v>
      </c>
      <c r="K13" s="65">
        <f t="shared" si="0"/>
        <v>0</v>
      </c>
      <c r="L13" s="124">
        <f t="shared" si="0"/>
        <v>0</v>
      </c>
    </row>
    <row r="14" spans="1:12" ht="26.25" thickBot="1" x14ac:dyDescent="0.3">
      <c r="D14" s="217" t="s">
        <v>237</v>
      </c>
      <c r="E14" s="217" t="s">
        <v>179</v>
      </c>
      <c r="F14" s="192">
        <f>F33*Input_CPI!R$16</f>
        <v>25152843.773147754</v>
      </c>
      <c r="G14" s="64">
        <f>G33*Input_CPI!S$16</f>
        <v>19577973.631555703</v>
      </c>
      <c r="H14" s="63">
        <f t="shared" si="0"/>
        <v>15664346.306419743</v>
      </c>
      <c r="I14" s="65">
        <f t="shared" si="0"/>
        <v>14513788.35306696</v>
      </c>
      <c r="J14" s="65">
        <f t="shared" si="0"/>
        <v>8028015.8433117513</v>
      </c>
      <c r="K14" s="65">
        <f t="shared" si="0"/>
        <v>16415083.34670423</v>
      </c>
      <c r="L14" s="124">
        <f t="shared" si="0"/>
        <v>16867309.108349528</v>
      </c>
    </row>
    <row r="15" spans="1:12" ht="26.25" thickBot="1" x14ac:dyDescent="0.3">
      <c r="D15" s="217" t="s">
        <v>238</v>
      </c>
      <c r="E15" s="217" t="s">
        <v>179</v>
      </c>
      <c r="F15" s="192">
        <f>F34*Input_CPI!R$16</f>
        <v>3964540.3549373155</v>
      </c>
      <c r="G15" s="64">
        <f>G34*Input_CPI!S$16</f>
        <v>2552456.7646076679</v>
      </c>
      <c r="H15" s="63">
        <f t="shared" si="0"/>
        <v>1965090.4920484053</v>
      </c>
      <c r="I15" s="65">
        <f t="shared" si="0"/>
        <v>7884498.5668162433</v>
      </c>
      <c r="J15" s="65">
        <f t="shared" si="0"/>
        <v>15393356.472023571</v>
      </c>
      <c r="K15" s="65">
        <f t="shared" si="0"/>
        <v>10400712.310858432</v>
      </c>
      <c r="L15" s="124">
        <f t="shared" si="0"/>
        <v>4951359.283429102</v>
      </c>
    </row>
    <row r="16" spans="1:12" ht="26.25" thickBot="1" x14ac:dyDescent="0.3">
      <c r="D16" s="217" t="s">
        <v>239</v>
      </c>
      <c r="E16" s="217" t="s">
        <v>179</v>
      </c>
      <c r="F16" s="192">
        <f>F35*Input_CPI!R$16</f>
        <v>3043260.7758322814</v>
      </c>
      <c r="G16" s="64">
        <f>G35*Input_CPI!S$16</f>
        <v>1092072.2210843118</v>
      </c>
      <c r="H16" s="63">
        <f t="shared" si="0"/>
        <v>1009728.6772275405</v>
      </c>
      <c r="I16" s="65">
        <f t="shared" si="0"/>
        <v>215578.49743519863</v>
      </c>
      <c r="J16" s="65">
        <f t="shared" si="0"/>
        <v>1145707.4003445294</v>
      </c>
      <c r="K16" s="65">
        <f t="shared" si="0"/>
        <v>1377550.8927721235</v>
      </c>
      <c r="L16" s="124">
        <f t="shared" si="0"/>
        <v>1491947.9584443341</v>
      </c>
    </row>
    <row r="17" spans="1:15" ht="39" thickBot="1" x14ac:dyDescent="0.3">
      <c r="D17" s="217" t="s">
        <v>240</v>
      </c>
      <c r="E17" s="217" t="s">
        <v>179</v>
      </c>
      <c r="F17" s="192">
        <f>F36*Input_CPI!R$16</f>
        <v>47551568.777568012</v>
      </c>
      <c r="G17" s="64">
        <f>G36*Input_CPI!S$16</f>
        <v>44715917.755668022</v>
      </c>
      <c r="H17" s="63">
        <f t="shared" si="0"/>
        <v>36727324.44469589</v>
      </c>
      <c r="I17" s="65">
        <f t="shared" si="0"/>
        <v>58778836.372062236</v>
      </c>
      <c r="J17" s="65">
        <f t="shared" si="0"/>
        <v>38951614.09924864</v>
      </c>
      <c r="K17" s="65">
        <f t="shared" si="0"/>
        <v>46611536.070824482</v>
      </c>
      <c r="L17" s="124">
        <f t="shared" si="0"/>
        <v>27485646.619159371</v>
      </c>
    </row>
    <row r="18" spans="1:15" ht="26.25" thickBot="1" x14ac:dyDescent="0.3">
      <c r="D18" s="219" t="s">
        <v>241</v>
      </c>
      <c r="E18" s="219" t="s">
        <v>179</v>
      </c>
      <c r="F18" s="192">
        <f>F37*Input_CPI!R$16</f>
        <v>18924225.057763956</v>
      </c>
      <c r="G18" s="64">
        <f>G37*Input_CPI!S$16</f>
        <v>27822181.908536289</v>
      </c>
      <c r="H18" s="63">
        <f t="shared" si="0"/>
        <v>47189141.355345711</v>
      </c>
      <c r="I18" s="65">
        <f t="shared" si="0"/>
        <v>46502702.24950406</v>
      </c>
      <c r="J18" s="65">
        <f t="shared" si="0"/>
        <v>36665498.642665826</v>
      </c>
      <c r="K18" s="65">
        <f t="shared" si="0"/>
        <v>38293111.227219045</v>
      </c>
      <c r="L18" s="124">
        <f t="shared" si="0"/>
        <v>34946514.0995626</v>
      </c>
    </row>
    <row r="19" spans="1:15" ht="13.5" thickBot="1" x14ac:dyDescent="0.25">
      <c r="D19" s="66" t="s">
        <v>179</v>
      </c>
      <c r="E19" s="67"/>
      <c r="F19" s="67">
        <f t="shared" ref="F19:L19" si="1">SUM(F10:F18)</f>
        <v>147994584.29708281</v>
      </c>
      <c r="G19" s="67">
        <f t="shared" si="1"/>
        <v>151836219.54391217</v>
      </c>
      <c r="H19" s="67">
        <f t="shared" si="1"/>
        <v>136571930.20174557</v>
      </c>
      <c r="I19" s="67">
        <f t="shared" si="1"/>
        <v>169539788.58859244</v>
      </c>
      <c r="J19" s="67">
        <f t="shared" si="1"/>
        <v>174483396.34204364</v>
      </c>
      <c r="K19" s="67">
        <f t="shared" si="1"/>
        <v>155989451.45173484</v>
      </c>
      <c r="L19" s="68">
        <f t="shared" si="1"/>
        <v>161000367.5077281</v>
      </c>
    </row>
    <row r="20" spans="1:15" ht="11.25" customHeight="1" x14ac:dyDescent="0.2"/>
    <row r="21" spans="1:15" ht="11.25" customHeight="1" x14ac:dyDescent="0.2">
      <c r="D21" s="6" t="s">
        <v>182</v>
      </c>
      <c r="E21" s="6"/>
      <c r="F21" s="144">
        <f>WkB_1_2.1.1!E10</f>
        <v>147994584.00285888</v>
      </c>
      <c r="G21" s="145">
        <f>WkB_1_2.1.1!F10</f>
        <v>151836219.46890163</v>
      </c>
      <c r="H21" s="146">
        <f>WkB_1_2.1.1!G10</f>
        <v>136571930.20174557</v>
      </c>
      <c r="I21" s="144">
        <f>WkB_1_2.1.1!H10</f>
        <v>169539788.58859244</v>
      </c>
      <c r="J21" s="144">
        <f>WkB_1_2.1.1!I10</f>
        <v>174483396.34204364</v>
      </c>
      <c r="K21" s="144">
        <f>WkB_1_2.1.1!J10</f>
        <v>155989451.45173484</v>
      </c>
      <c r="L21" s="144">
        <f>WkB_1_2.1.1!K10</f>
        <v>161000367.50772807</v>
      </c>
    </row>
    <row r="22" spans="1:15" ht="11.25" customHeight="1" x14ac:dyDescent="0.2">
      <c r="A22" s="385">
        <f>IF(SUM($F22:$L22)&gt;0,1,0)</f>
        <v>0</v>
      </c>
      <c r="D22" s="6" t="s">
        <v>183</v>
      </c>
      <c r="E22" s="6"/>
      <c r="F22" s="70">
        <f>IF(ROUND(F19-F21,0)&lt;&gt;0,1,0)</f>
        <v>0</v>
      </c>
      <c r="G22" s="70">
        <f t="shared" ref="G22:L22" si="2">IF(ROUND(G19-G21,0)&lt;&gt;0,1,0)</f>
        <v>0</v>
      </c>
      <c r="H22" s="70">
        <f t="shared" si="2"/>
        <v>0</v>
      </c>
      <c r="I22" s="70">
        <f t="shared" si="2"/>
        <v>0</v>
      </c>
      <c r="J22" s="70">
        <f t="shared" si="2"/>
        <v>0</v>
      </c>
      <c r="K22" s="70">
        <f t="shared" si="2"/>
        <v>0</v>
      </c>
      <c r="L22" s="70">
        <f t="shared" si="2"/>
        <v>0</v>
      </c>
    </row>
    <row r="23" spans="1:15" ht="11.25" customHeight="1" x14ac:dyDescent="0.2"/>
    <row r="24" spans="1:15" s="7" customFormat="1" ht="15" x14ac:dyDescent="0.2">
      <c r="C24" s="7" t="s">
        <v>377</v>
      </c>
    </row>
    <row r="25" spans="1:15" ht="11.25" customHeight="1" x14ac:dyDescent="0.2"/>
    <row r="26" spans="1:15" ht="19.5" thickBot="1" x14ac:dyDescent="0.3">
      <c r="D26" s="51" t="str">
        <f>D7</f>
        <v>2.2.1 (a) - Replacement Expenditure, Volumes And Asset Failures By Asset Category (as incurred)</v>
      </c>
      <c r="E26" s="51"/>
      <c r="F26" s="52"/>
      <c r="G26" s="52"/>
      <c r="H26" s="52"/>
      <c r="I26" s="52"/>
      <c r="J26" s="52"/>
      <c r="K26" s="52"/>
      <c r="L26" s="52"/>
    </row>
    <row r="27" spans="1:15" ht="28.15" customHeight="1" thickBot="1" x14ac:dyDescent="0.25">
      <c r="D27"/>
      <c r="E27"/>
      <c r="F27" s="1087" t="s">
        <v>519</v>
      </c>
      <c r="G27" s="1086"/>
      <c r="H27" s="1085" t="s">
        <v>520</v>
      </c>
      <c r="I27" s="1085"/>
      <c r="J27" s="1085"/>
      <c r="K27" s="1085"/>
      <c r="L27" s="1086"/>
    </row>
    <row r="28" spans="1:15" ht="18.600000000000001" customHeight="1" thickBot="1" x14ac:dyDescent="0.25">
      <c r="D28" s="748" t="s">
        <v>231</v>
      </c>
      <c r="E28" s="748" t="s">
        <v>232</v>
      </c>
      <c r="F28" s="53" t="str">
        <f>WkB_1_2.1.1!$E$9</f>
        <v>2021-22</v>
      </c>
      <c r="G28" s="867" t="str">
        <f>WkB_1_2.1.1!$F$9</f>
        <v>2022-23</v>
      </c>
      <c r="H28" s="55" t="str">
        <f>WkB_1_2.1.1!$G$9</f>
        <v>2023-24</v>
      </c>
      <c r="I28" s="56" t="str">
        <f>WkB_1_2.1.1!$H$9</f>
        <v>2024-25</v>
      </c>
      <c r="J28" s="56" t="str">
        <f>WkB_1_2.1.1!$I$9</f>
        <v>2025-26</v>
      </c>
      <c r="K28" s="56" t="str">
        <f>WkB_1_2.1.1!$J$9</f>
        <v>2026-27</v>
      </c>
      <c r="L28" s="57" t="str">
        <f>WkB_1_2.1.1!$K$9</f>
        <v>2027-28</v>
      </c>
    </row>
    <row r="29" spans="1:15" ht="26.25" thickBot="1" x14ac:dyDescent="0.3">
      <c r="D29" s="217" t="s">
        <v>233</v>
      </c>
      <c r="E29" s="217" t="s">
        <v>179</v>
      </c>
      <c r="F29" s="191">
        <v>32069084.926213287</v>
      </c>
      <c r="G29" s="123">
        <v>23495636.553646214</v>
      </c>
      <c r="H29" s="59">
        <v>15424007.400348352</v>
      </c>
      <c r="I29" s="61">
        <v>21419253.286307499</v>
      </c>
      <c r="J29" s="61">
        <v>25718980.087321788</v>
      </c>
      <c r="K29" s="61">
        <v>19528025.00691843</v>
      </c>
      <c r="L29" s="123">
        <v>44589170.300226301</v>
      </c>
      <c r="N29" s="789"/>
      <c r="O29" s="789"/>
    </row>
    <row r="30" spans="1:15" ht="26.25" thickBot="1" x14ac:dyDescent="0.3">
      <c r="D30" s="217" t="s">
        <v>234</v>
      </c>
      <c r="E30" s="217" t="s">
        <v>179</v>
      </c>
      <c r="F30" s="192">
        <v>12211978.133499214</v>
      </c>
      <c r="G30" s="124">
        <v>15154397.370800337</v>
      </c>
      <c r="H30" s="63">
        <v>9695553.4718687311</v>
      </c>
      <c r="I30" s="65">
        <v>12364862.293942736</v>
      </c>
      <c r="J30" s="65">
        <v>27626551.578721028</v>
      </c>
      <c r="K30" s="65">
        <v>11781473.287336204</v>
      </c>
      <c r="L30" s="124">
        <v>12847337.872902796</v>
      </c>
      <c r="N30" s="789"/>
      <c r="O30" s="789"/>
    </row>
    <row r="31" spans="1:15" ht="26.25" thickBot="1" x14ac:dyDescent="0.3">
      <c r="D31" s="217" t="s">
        <v>235</v>
      </c>
      <c r="E31" s="217" t="s">
        <v>179</v>
      </c>
      <c r="F31" s="192">
        <v>3122115.9164043204</v>
      </c>
      <c r="G31" s="124">
        <v>16805182.495929379</v>
      </c>
      <c r="H31" s="63">
        <v>7267479.5822363989</v>
      </c>
      <c r="I31" s="65">
        <v>5810461.9416912766</v>
      </c>
      <c r="J31" s="65">
        <v>17216771.908463385</v>
      </c>
      <c r="K31" s="65">
        <v>9347296.9724416193</v>
      </c>
      <c r="L31" s="124">
        <v>13869560.403617375</v>
      </c>
      <c r="N31" s="789"/>
      <c r="O31" s="789"/>
    </row>
    <row r="32" spans="1:15" ht="26.25" thickBot="1" x14ac:dyDescent="0.3">
      <c r="D32" s="217" t="s">
        <v>236</v>
      </c>
      <c r="E32" s="217" t="s">
        <v>179</v>
      </c>
      <c r="F32" s="192">
        <v>218488.96586791027</v>
      </c>
      <c r="G32" s="124">
        <v>0</v>
      </c>
      <c r="H32" s="63">
        <v>0</v>
      </c>
      <c r="I32" s="65">
        <v>0</v>
      </c>
      <c r="J32" s="65">
        <v>0</v>
      </c>
      <c r="K32" s="65">
        <v>0</v>
      </c>
      <c r="L32" s="124">
        <v>0</v>
      </c>
      <c r="N32" s="789"/>
      <c r="O32" s="789"/>
    </row>
    <row r="33" spans="1:15" ht="26.25" thickBot="1" x14ac:dyDescent="0.3">
      <c r="D33" s="217" t="s">
        <v>237</v>
      </c>
      <c r="E33" s="217" t="s">
        <v>179</v>
      </c>
      <c r="F33" s="192">
        <v>24267937.144396182</v>
      </c>
      <c r="G33" s="124">
        <v>19361369.839742396</v>
      </c>
      <c r="H33" s="63">
        <v>14914080.412513539</v>
      </c>
      <c r="I33" s="65">
        <v>13799395.1476609</v>
      </c>
      <c r="J33" s="65">
        <v>7624244.4255216513</v>
      </c>
      <c r="K33" s="65">
        <v>15559850.846861452</v>
      </c>
      <c r="L33" s="124">
        <v>15981663.682994191</v>
      </c>
      <c r="N33" s="789"/>
      <c r="O33" s="789"/>
    </row>
    <row r="34" spans="1:15" ht="26.25" thickBot="1" x14ac:dyDescent="0.3">
      <c r="D34" s="217" t="s">
        <v>238</v>
      </c>
      <c r="E34" s="217" t="s">
        <v>179</v>
      </c>
      <c r="F34" s="192">
        <v>3825063.1621523621</v>
      </c>
      <c r="G34" s="124">
        <v>2524217.2836451218</v>
      </c>
      <c r="H34" s="63">
        <v>1870969.71957678</v>
      </c>
      <c r="I34" s="65">
        <v>7496410.214750872</v>
      </c>
      <c r="J34" s="65">
        <v>14619143.08124713</v>
      </c>
      <c r="K34" s="65">
        <v>9858830.9812368602</v>
      </c>
      <c r="L34" s="124">
        <v>4691380.1326059895</v>
      </c>
      <c r="N34" s="789"/>
      <c r="O34" s="789"/>
    </row>
    <row r="35" spans="1:15" ht="26.25" thickBot="1" x14ac:dyDescent="0.3">
      <c r="D35" s="217" t="s">
        <v>239</v>
      </c>
      <c r="E35" s="217" t="s">
        <v>179</v>
      </c>
      <c r="F35" s="192">
        <v>2936195.2822506535</v>
      </c>
      <c r="G35" s="124">
        <v>1079989.9193879005</v>
      </c>
      <c r="H35" s="63">
        <v>961366.30232828436</v>
      </c>
      <c r="I35" s="65">
        <v>204967.35925039731</v>
      </c>
      <c r="J35" s="65">
        <v>1088083.7097043169</v>
      </c>
      <c r="K35" s="65">
        <v>1305779.9325641941</v>
      </c>
      <c r="L35" s="124">
        <v>1413610.8107833371</v>
      </c>
      <c r="N35" s="789"/>
      <c r="O35" s="789"/>
    </row>
    <row r="36" spans="1:15" ht="39" thickBot="1" x14ac:dyDescent="0.3">
      <c r="D36" s="217" t="s">
        <v>240</v>
      </c>
      <c r="E36" s="217" t="s">
        <v>179</v>
      </c>
      <c r="F36" s="192">
        <v>45878648.657747291</v>
      </c>
      <c r="G36" s="124">
        <v>44221196.620449081</v>
      </c>
      <c r="H36" s="63">
        <v>34968217.593617789</v>
      </c>
      <c r="I36" s="65">
        <v>55885642.651416421</v>
      </c>
      <c r="J36" s="65">
        <v>36992531.212887704</v>
      </c>
      <c r="K36" s="65">
        <v>44183056.137253702</v>
      </c>
      <c r="L36" s="124">
        <v>26042468.158693381</v>
      </c>
      <c r="N36" s="789"/>
      <c r="O36" s="789"/>
    </row>
    <row r="37" spans="1:15" ht="26.25" thickBot="1" x14ac:dyDescent="0.3">
      <c r="D37" s="219" t="s">
        <v>241</v>
      </c>
      <c r="E37" s="219" t="s">
        <v>179</v>
      </c>
      <c r="F37" s="192">
        <v>18258448.561530177</v>
      </c>
      <c r="G37" s="124">
        <v>27514367.105466209</v>
      </c>
      <c r="H37" s="63">
        <v>44928951.071687028</v>
      </c>
      <c r="I37" s="65">
        <v>44213760.609188169</v>
      </c>
      <c r="J37" s="65">
        <v>34821396.605515011</v>
      </c>
      <c r="K37" s="65">
        <v>36298024.601710834</v>
      </c>
      <c r="L37" s="124">
        <v>33111590.689694416</v>
      </c>
      <c r="N37" s="789"/>
      <c r="O37" s="789"/>
    </row>
    <row r="38" spans="1:15" ht="13.5" thickBot="1" x14ac:dyDescent="0.25">
      <c r="D38" s="66" t="s">
        <v>179</v>
      </c>
      <c r="E38" s="67"/>
      <c r="F38" s="190">
        <f t="shared" ref="F38:L38" si="3">SUM(F29:F37)</f>
        <v>142787960.75006139</v>
      </c>
      <c r="G38" s="68">
        <f t="shared" si="3"/>
        <v>150156357.18906665</v>
      </c>
      <c r="H38" s="67">
        <f t="shared" si="3"/>
        <v>130030625.55417691</v>
      </c>
      <c r="I38" s="67">
        <f t="shared" si="3"/>
        <v>161194753.50420827</v>
      </c>
      <c r="J38" s="67">
        <f t="shared" si="3"/>
        <v>165707702.60938203</v>
      </c>
      <c r="K38" s="67">
        <f t="shared" si="3"/>
        <v>147862337.7663233</v>
      </c>
      <c r="L38" s="68">
        <f t="shared" si="3"/>
        <v>152546782.05151775</v>
      </c>
    </row>
    <row r="39" spans="1:15" ht="11.25" customHeight="1" x14ac:dyDescent="0.2"/>
    <row r="40" spans="1:15" ht="11.25" customHeight="1" x14ac:dyDescent="0.2">
      <c r="A40" s="42"/>
      <c r="D40" s="6" t="s">
        <v>523</v>
      </c>
      <c r="E40" s="773" t="s">
        <v>522</v>
      </c>
      <c r="F40" s="144">
        <f>WkB_1_2.1.1!E26</f>
        <v>142787960.46618861</v>
      </c>
      <c r="G40" s="145">
        <f>WkB_1_2.1.1!F26</f>
        <v>150156357.11488599</v>
      </c>
      <c r="H40" s="143">
        <v>130030610.79837804</v>
      </c>
      <c r="I40" s="141">
        <v>161194474.41984749</v>
      </c>
      <c r="J40" s="141">
        <v>165707672.06531796</v>
      </c>
      <c r="K40" s="141">
        <v>147862421.2340962</v>
      </c>
      <c r="L40" s="141">
        <v>152546878.74671391</v>
      </c>
    </row>
    <row r="41" spans="1:15" ht="11.25" customHeight="1" x14ac:dyDescent="0.2">
      <c r="A41" s="42"/>
      <c r="D41" s="6" t="s">
        <v>521</v>
      </c>
      <c r="E41" s="6"/>
      <c r="F41" s="141">
        <v>142787960.75006139</v>
      </c>
      <c r="G41" s="142">
        <v>150156357.18906665</v>
      </c>
      <c r="H41" s="143">
        <v>130030625.55417691</v>
      </c>
      <c r="I41" s="141">
        <v>161194753.50420827</v>
      </c>
      <c r="J41" s="141">
        <v>165707702.60938203</v>
      </c>
      <c r="K41" s="141">
        <v>147862337.7663233</v>
      </c>
      <c r="L41" s="141">
        <v>152546782.05151775</v>
      </c>
    </row>
    <row r="42" spans="1:15" ht="11.25" customHeight="1" x14ac:dyDescent="0.2">
      <c r="A42" s="42">
        <f>IF(SUM($F42:$L42)&gt;0,1,0)</f>
        <v>0</v>
      </c>
      <c r="D42" s="6" t="s">
        <v>183</v>
      </c>
      <c r="E42" s="6"/>
      <c r="F42" s="70">
        <f t="shared" ref="F42" si="4">IF(OR(ROUND(F38-F40,0)&lt;&gt;0,ROUND(F38-F41,0)&lt;&gt;0),1,0)</f>
        <v>0</v>
      </c>
      <c r="G42" s="790">
        <f>IF(OR(ROUND(G38-G40,0)&lt;&gt;0,ROUND(G38-G41,0)&lt;&gt;0),1,0)</f>
        <v>0</v>
      </c>
      <c r="H42" s="791">
        <f>IF(OR(ROUND(H38-H40,-3)&lt;&gt;0,ROUND(H38-H41,0)&lt;&gt;0),1,0)</f>
        <v>0</v>
      </c>
      <c r="I42" s="70">
        <f t="shared" ref="I42:L42" si="5">IF(OR(ROUND(I38-I40,-3)&lt;&gt;0,ROUND(I38-I41,0)&lt;&gt;0),1,0)</f>
        <v>0</v>
      </c>
      <c r="J42" s="70">
        <f t="shared" si="5"/>
        <v>0</v>
      </c>
      <c r="K42" s="70">
        <f t="shared" si="5"/>
        <v>0</v>
      </c>
      <c r="L42" s="70">
        <f t="shared" si="5"/>
        <v>0</v>
      </c>
    </row>
    <row r="43" spans="1:15" ht="11.25" customHeight="1" x14ac:dyDescent="0.2"/>
    <row r="44" spans="1:15" s="47" customFormat="1" ht="15.75" x14ac:dyDescent="0.2">
      <c r="B44" s="47" t="s">
        <v>32</v>
      </c>
    </row>
  </sheetData>
  <mergeCells count="3">
    <mergeCell ref="F8:L8"/>
    <mergeCell ref="F27:G27"/>
    <mergeCell ref="H27:L27"/>
  </mergeCells>
  <conditionalFormatting sqref="B2">
    <cfRule type="cellIs" dxfId="129" priority="2" operator="notEqual">
      <formula>"No Errors Found"</formula>
    </cfRule>
  </conditionalFormatting>
  <conditionalFormatting sqref="L10:L18 L29:L37">
    <cfRule type="expression" dxfId="128" priority="1">
      <formula>(dms_FRCPlength_Num)&lt;5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674"/>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outlineLevelCol="1" x14ac:dyDescent="0.2"/>
  <cols>
    <col min="1" max="3" width="3.6640625" style="46" customWidth="1"/>
    <col min="4" max="4" width="58.33203125" style="46" customWidth="1"/>
    <col min="5" max="6" width="15.6640625" style="46" customWidth="1"/>
    <col min="7" max="11" width="15.6640625" style="46" customWidth="1" outlineLevel="1"/>
    <col min="12" max="12" width="12.33203125" style="46" customWidth="1" outlineLevel="1"/>
    <col min="13" max="13" width="10.6640625" style="46" customWidth="1" outlineLevel="1"/>
    <col min="14" max="28" width="14.6640625" style="46" customWidth="1" outlineLevel="1"/>
    <col min="29" max="29" width="16.33203125" style="46" customWidth="1" outlineLevel="1"/>
    <col min="30" max="35" width="14.6640625" style="46" customWidth="1" outlineLevel="1"/>
    <col min="36" max="36" width="17.6640625" style="46" customWidth="1" outlineLevel="1"/>
    <col min="37" max="39" width="12.6640625" style="46" customWidth="1"/>
    <col min="40" max="16384" width="9.33203125" style="46"/>
  </cols>
  <sheetData>
    <row r="1" spans="1:36" ht="19.5" x14ac:dyDescent="0.2">
      <c r="A1" s="42">
        <f>IF(SUM($A2:$A674)&gt;0,1,0)</f>
        <v>0</v>
      </c>
      <c r="B1" s="3" t="s">
        <v>571</v>
      </c>
    </row>
    <row r="2" spans="1:36" x14ac:dyDescent="0.2">
      <c r="B2" s="9" t="str">
        <f>Title_Msg</f>
        <v>No Errors Found</v>
      </c>
    </row>
    <row r="3" spans="1:36" s="47" customFormat="1" ht="15.75" x14ac:dyDescent="0.2">
      <c r="B3" s="47" t="s">
        <v>530</v>
      </c>
    </row>
    <row r="4" spans="1:36" ht="4.5" customHeight="1" x14ac:dyDescent="0.2"/>
    <row r="5" spans="1:36" s="7" customFormat="1" ht="15" x14ac:dyDescent="0.2">
      <c r="C5" s="7" t="str">
        <f>WkB_1_2.1.1!$C$5</f>
        <v>Output - RIN template</v>
      </c>
    </row>
    <row r="6" spans="1:36" ht="11.25" customHeight="1" thickBot="1" x14ac:dyDescent="0.25"/>
    <row r="7" spans="1:36" ht="14.65" customHeight="1" thickBot="1" x14ac:dyDescent="0.25">
      <c r="D7" s="1112" t="s">
        <v>380</v>
      </c>
      <c r="E7" s="1113"/>
      <c r="F7" s="1113"/>
      <c r="G7" s="1113"/>
      <c r="H7" s="1113"/>
      <c r="I7" s="1113"/>
      <c r="J7" s="1113"/>
      <c r="K7" s="1113"/>
      <c r="L7" s="1113"/>
      <c r="M7" s="1114"/>
      <c r="N7" s="1115" t="s">
        <v>381</v>
      </c>
      <c r="O7" s="1116"/>
      <c r="P7" s="1116"/>
      <c r="Q7" s="1116"/>
      <c r="R7" s="1116"/>
      <c r="S7" s="1116"/>
      <c r="T7" s="1116"/>
      <c r="U7" s="1116"/>
      <c r="V7" s="1116"/>
      <c r="W7" s="1116"/>
      <c r="X7" s="1116"/>
      <c r="Y7" s="1116"/>
      <c r="Z7" s="1117"/>
      <c r="AA7" s="1118" t="s">
        <v>382</v>
      </c>
      <c r="AB7" s="1119"/>
      <c r="AC7" s="1120" t="s">
        <v>499</v>
      </c>
      <c r="AD7" s="1123" t="s">
        <v>384</v>
      </c>
      <c r="AE7" s="1118" t="s">
        <v>385</v>
      </c>
      <c r="AF7" s="1126"/>
      <c r="AG7" s="1137" t="s">
        <v>386</v>
      </c>
      <c r="AH7" s="1139" t="s">
        <v>387</v>
      </c>
      <c r="AI7" s="1140"/>
      <c r="AJ7" s="509"/>
    </row>
    <row r="8" spans="1:36" ht="45.75" thickBot="1" x14ac:dyDescent="0.25">
      <c r="D8" s="1141" t="s">
        <v>388</v>
      </c>
      <c r="E8" s="1143" t="s">
        <v>389</v>
      </c>
      <c r="F8" s="1143" t="s">
        <v>390</v>
      </c>
      <c r="G8" s="1143" t="s">
        <v>391</v>
      </c>
      <c r="H8" s="1143" t="s">
        <v>392</v>
      </c>
      <c r="I8" s="1145" t="s">
        <v>393</v>
      </c>
      <c r="J8" s="1131" t="s">
        <v>394</v>
      </c>
      <c r="K8" s="1132"/>
      <c r="L8" s="1133" t="s">
        <v>395</v>
      </c>
      <c r="M8" s="1134"/>
      <c r="N8" s="1127" t="s">
        <v>396</v>
      </c>
      <c r="O8" s="1128"/>
      <c r="P8" s="1128"/>
      <c r="Q8" s="1129"/>
      <c r="R8" s="1127" t="s">
        <v>397</v>
      </c>
      <c r="S8" s="1128"/>
      <c r="T8" s="1129"/>
      <c r="U8" s="1127" t="s">
        <v>398</v>
      </c>
      <c r="V8" s="1128"/>
      <c r="W8" s="1129"/>
      <c r="X8" s="510" t="s">
        <v>399</v>
      </c>
      <c r="Y8" s="1128" t="s">
        <v>400</v>
      </c>
      <c r="Z8" s="1128"/>
      <c r="AA8" s="511" t="s">
        <v>401</v>
      </c>
      <c r="AB8" s="511" t="s">
        <v>402</v>
      </c>
      <c r="AC8" s="1121"/>
      <c r="AD8" s="1124"/>
      <c r="AE8" s="511" t="s">
        <v>403</v>
      </c>
      <c r="AF8" s="511" t="s">
        <v>404</v>
      </c>
      <c r="AG8" s="1138"/>
      <c r="AH8" s="512" t="s">
        <v>405</v>
      </c>
      <c r="AI8" s="513" t="s">
        <v>406</v>
      </c>
      <c r="AJ8" s="514" t="s">
        <v>407</v>
      </c>
    </row>
    <row r="9" spans="1:36" ht="60.75" thickBot="1" x14ac:dyDescent="0.25">
      <c r="D9" s="1142"/>
      <c r="E9" s="1144"/>
      <c r="F9" s="1144"/>
      <c r="G9" s="1144"/>
      <c r="H9" s="1144"/>
      <c r="I9" s="1146"/>
      <c r="J9" s="515" t="s">
        <v>408</v>
      </c>
      <c r="K9" s="515" t="s">
        <v>409</v>
      </c>
      <c r="L9" s="515" t="s">
        <v>408</v>
      </c>
      <c r="M9" s="516" t="s">
        <v>409</v>
      </c>
      <c r="N9" s="517" t="s">
        <v>410</v>
      </c>
      <c r="O9" s="518" t="s">
        <v>411</v>
      </c>
      <c r="P9" s="518" t="s">
        <v>412</v>
      </c>
      <c r="Q9" s="934" t="s">
        <v>498</v>
      </c>
      <c r="R9" s="517" t="s">
        <v>414</v>
      </c>
      <c r="S9" s="518" t="s">
        <v>410</v>
      </c>
      <c r="T9" s="519" t="s">
        <v>498</v>
      </c>
      <c r="U9" s="517" t="s">
        <v>415</v>
      </c>
      <c r="V9" s="518" t="s">
        <v>410</v>
      </c>
      <c r="W9" s="519" t="s">
        <v>498</v>
      </c>
      <c r="X9" s="520" t="s">
        <v>416</v>
      </c>
      <c r="Y9" s="517" t="s">
        <v>417</v>
      </c>
      <c r="Z9" s="519" t="s">
        <v>498</v>
      </c>
      <c r="AA9" s="1130" t="s">
        <v>498</v>
      </c>
      <c r="AB9" s="1130"/>
      <c r="AC9" s="1122"/>
      <c r="AD9" s="1125"/>
      <c r="AE9" s="1130" t="s">
        <v>498</v>
      </c>
      <c r="AF9" s="1130"/>
      <c r="AG9" s="1130"/>
      <c r="AH9" s="1135" t="s">
        <v>498</v>
      </c>
      <c r="AI9" s="1136"/>
      <c r="AJ9" s="521"/>
    </row>
    <row r="10" spans="1:36" ht="11.25" customHeight="1" x14ac:dyDescent="0.25">
      <c r="D10" s="1092" t="str">
        <f>D352</f>
        <v>Kemps Creek</v>
      </c>
      <c r="E10" s="1093" t="str">
        <f t="shared" ref="E10:M10" si="0">E352</f>
        <v>Transmission substation</v>
      </c>
      <c r="F10" s="1093">
        <f t="shared" si="0"/>
        <v>1687</v>
      </c>
      <c r="G10" s="1093" t="str">
        <f t="shared" si="0"/>
        <v>New substation establishment</v>
      </c>
      <c r="H10" s="1094" t="str">
        <f t="shared" si="0"/>
        <v>Demand growth</v>
      </c>
      <c r="I10" s="1095" t="str">
        <f t="shared" si="0"/>
        <v>330/132</v>
      </c>
      <c r="J10" s="1096" t="str">
        <f t="shared" si="0"/>
        <v>N/A</v>
      </c>
      <c r="K10" s="1096">
        <f t="shared" si="0"/>
        <v>750</v>
      </c>
      <c r="L10" s="1096" t="str">
        <f t="shared" si="0"/>
        <v>N/A</v>
      </c>
      <c r="M10" s="1097">
        <f t="shared" si="0"/>
        <v>375</v>
      </c>
      <c r="N10" s="522">
        <f>N352</f>
        <v>2</v>
      </c>
      <c r="O10" s="523">
        <f>O352</f>
        <v>750</v>
      </c>
      <c r="P10" s="524" t="str">
        <f>P352</f>
        <v>Yes</v>
      </c>
      <c r="Q10" s="1000" t="s">
        <v>701</v>
      </c>
      <c r="R10" s="525" t="str">
        <f t="shared" ref="R10:S10" si="1">R352</f>
        <v>SF6</v>
      </c>
      <c r="S10" s="524">
        <f t="shared" si="1"/>
        <v>17</v>
      </c>
      <c r="T10" s="1000" t="s">
        <v>701</v>
      </c>
      <c r="U10" s="526">
        <f t="shared" ref="U10:V10" si="2">U352</f>
        <v>0</v>
      </c>
      <c r="V10" s="524">
        <f t="shared" si="2"/>
        <v>0</v>
      </c>
      <c r="W10" s="1000" t="s">
        <v>701</v>
      </c>
      <c r="X10" s="1000" t="s">
        <v>701</v>
      </c>
      <c r="Y10" s="527">
        <f t="shared" ref="Y10" si="3">Y352</f>
        <v>21302.839565217389</v>
      </c>
      <c r="Z10" s="1000" t="s">
        <v>701</v>
      </c>
      <c r="AA10" s="1098" t="s">
        <v>701</v>
      </c>
      <c r="AB10" s="1091" t="s">
        <v>701</v>
      </c>
      <c r="AC10" s="1099"/>
      <c r="AD10" s="1100">
        <f t="shared" ref="AD10" si="4">AD352</f>
        <v>0</v>
      </c>
      <c r="AE10" s="1091" t="s">
        <v>701</v>
      </c>
      <c r="AF10" s="1091" t="s">
        <v>701</v>
      </c>
      <c r="AG10" s="1091" t="s">
        <v>701</v>
      </c>
      <c r="AH10" s="1091" t="s">
        <v>701</v>
      </c>
      <c r="AI10" s="1091" t="s">
        <v>701</v>
      </c>
      <c r="AJ10" s="1040" t="str">
        <f>AJ352</f>
        <v/>
      </c>
    </row>
    <row r="11" spans="1:36" ht="11.25" customHeight="1" x14ac:dyDescent="0.2">
      <c r="D11" s="1092"/>
      <c r="E11" s="1093"/>
      <c r="F11" s="1093"/>
      <c r="G11" s="1093"/>
      <c r="H11" s="1094"/>
      <c r="I11" s="1095"/>
      <c r="J11" s="1096"/>
      <c r="K11" s="1096"/>
      <c r="L11" s="1096"/>
      <c r="M11" s="1097"/>
      <c r="N11" s="528">
        <f t="shared" ref="N11:P11" si="5">N353</f>
        <v>0</v>
      </c>
      <c r="O11" s="529">
        <f t="shared" si="5"/>
        <v>0</v>
      </c>
      <c r="P11" s="529">
        <f t="shared" si="5"/>
        <v>0</v>
      </c>
      <c r="Q11" s="1001" t="s">
        <v>701</v>
      </c>
      <c r="R11" s="528" t="str">
        <f t="shared" ref="R11:S11" si="6">R353</f>
        <v>Oil/Air</v>
      </c>
      <c r="S11" s="529">
        <f t="shared" si="6"/>
        <v>93</v>
      </c>
      <c r="T11" s="1001" t="s">
        <v>701</v>
      </c>
      <c r="U11" s="530">
        <f t="shared" ref="U11:V11" si="7">U353</f>
        <v>0</v>
      </c>
      <c r="V11" s="529">
        <f t="shared" si="7"/>
        <v>0</v>
      </c>
      <c r="W11" s="1001" t="s">
        <v>701</v>
      </c>
      <c r="X11" s="1001" t="s">
        <v>701</v>
      </c>
      <c r="Y11" s="531">
        <f t="shared" ref="Y11" si="8">Y353</f>
        <v>0</v>
      </c>
      <c r="Z11" s="1001" t="s">
        <v>701</v>
      </c>
      <c r="AA11" s="1098"/>
      <c r="AB11" s="1091"/>
      <c r="AC11" s="1099"/>
      <c r="AD11" s="1100">
        <f t="shared" ref="AD11" si="9">AD353</f>
        <v>0</v>
      </c>
      <c r="AE11" s="1091"/>
      <c r="AF11" s="1091"/>
      <c r="AG11" s="1091"/>
      <c r="AH11" s="1091"/>
      <c r="AI11" s="1091"/>
      <c r="AJ11" s="1041" t="str">
        <f t="shared" ref="AJ11:AJ74" si="10">AJ353</f>
        <v/>
      </c>
    </row>
    <row r="12" spans="1:36" ht="11.25" customHeight="1" x14ac:dyDescent="0.2">
      <c r="D12" s="1092"/>
      <c r="E12" s="1093"/>
      <c r="F12" s="1093"/>
      <c r="G12" s="1093"/>
      <c r="H12" s="1094"/>
      <c r="I12" s="1095"/>
      <c r="J12" s="1096"/>
      <c r="K12" s="1096"/>
      <c r="L12" s="1096"/>
      <c r="M12" s="1097"/>
      <c r="N12" s="528">
        <f t="shared" ref="N12:P12" si="11">N354</f>
        <v>0</v>
      </c>
      <c r="O12" s="529">
        <f t="shared" si="11"/>
        <v>0</v>
      </c>
      <c r="P12" s="529">
        <f t="shared" si="11"/>
        <v>0</v>
      </c>
      <c r="Q12" s="1001" t="s">
        <v>701</v>
      </c>
      <c r="R12" s="528">
        <f t="shared" ref="R12:S12" si="12">R354</f>
        <v>0</v>
      </c>
      <c r="S12" s="529">
        <f t="shared" si="12"/>
        <v>0</v>
      </c>
      <c r="T12" s="1001" t="s">
        <v>701</v>
      </c>
      <c r="U12" s="530">
        <f t="shared" ref="U12:V12" si="13">U354</f>
        <v>0</v>
      </c>
      <c r="V12" s="529">
        <f t="shared" si="13"/>
        <v>0</v>
      </c>
      <c r="W12" s="1001" t="s">
        <v>701</v>
      </c>
      <c r="X12" s="1001" t="s">
        <v>701</v>
      </c>
      <c r="Y12" s="529">
        <f t="shared" ref="Y12" si="14">Y354</f>
        <v>0</v>
      </c>
      <c r="Z12" s="1001" t="s">
        <v>701</v>
      </c>
      <c r="AA12" s="1098"/>
      <c r="AB12" s="1091"/>
      <c r="AC12" s="1099"/>
      <c r="AD12" s="1100">
        <f t="shared" ref="AD12" si="15">AD354</f>
        <v>0</v>
      </c>
      <c r="AE12" s="1091"/>
      <c r="AF12" s="1091"/>
      <c r="AG12" s="1091"/>
      <c r="AH12" s="1091"/>
      <c r="AI12" s="1091"/>
      <c r="AJ12" s="1041" t="str">
        <f t="shared" si="10"/>
        <v/>
      </c>
    </row>
    <row r="13" spans="1:36" ht="11.25" customHeight="1" x14ac:dyDescent="0.2">
      <c r="D13" s="1092"/>
      <c r="E13" s="1093"/>
      <c r="F13" s="1093"/>
      <c r="G13" s="1093"/>
      <c r="H13" s="1094"/>
      <c r="I13" s="1095"/>
      <c r="J13" s="1096"/>
      <c r="K13" s="1096"/>
      <c r="L13" s="1096"/>
      <c r="M13" s="1097"/>
      <c r="N13" s="528">
        <f t="shared" ref="N13:P13" si="16">N355</f>
        <v>0</v>
      </c>
      <c r="O13" s="529">
        <f t="shared" si="16"/>
        <v>0</v>
      </c>
      <c r="P13" s="529">
        <f t="shared" si="16"/>
        <v>0</v>
      </c>
      <c r="Q13" s="1001" t="s">
        <v>701</v>
      </c>
      <c r="R13" s="528">
        <f t="shared" ref="R13:S13" si="17">R355</f>
        <v>0</v>
      </c>
      <c r="S13" s="529">
        <f t="shared" si="17"/>
        <v>0</v>
      </c>
      <c r="T13" s="1001" t="s">
        <v>701</v>
      </c>
      <c r="U13" s="530">
        <f t="shared" ref="U13:V13" si="18">U355</f>
        <v>0</v>
      </c>
      <c r="V13" s="529">
        <f t="shared" si="18"/>
        <v>0</v>
      </c>
      <c r="W13" s="1001" t="s">
        <v>701</v>
      </c>
      <c r="X13" s="1001" t="s">
        <v>701</v>
      </c>
      <c r="Y13" s="529">
        <f t="shared" ref="Y13" si="19">Y355</f>
        <v>0</v>
      </c>
      <c r="Z13" s="1001" t="s">
        <v>701</v>
      </c>
      <c r="AA13" s="1098"/>
      <c r="AB13" s="1091"/>
      <c r="AC13" s="1099"/>
      <c r="AD13" s="1100">
        <f t="shared" ref="AD13" si="20">AD355</f>
        <v>0</v>
      </c>
      <c r="AE13" s="1091"/>
      <c r="AF13" s="1091"/>
      <c r="AG13" s="1091"/>
      <c r="AH13" s="1091"/>
      <c r="AI13" s="1091"/>
      <c r="AJ13" s="1041" t="str">
        <f t="shared" si="10"/>
        <v/>
      </c>
    </row>
    <row r="14" spans="1:36" ht="11.25" customHeight="1" x14ac:dyDescent="0.2">
      <c r="D14" s="1092"/>
      <c r="E14" s="1093"/>
      <c r="F14" s="1093"/>
      <c r="G14" s="1093"/>
      <c r="H14" s="1094"/>
      <c r="I14" s="1095"/>
      <c r="J14" s="1096"/>
      <c r="K14" s="1096"/>
      <c r="L14" s="1096"/>
      <c r="M14" s="1097"/>
      <c r="N14" s="528">
        <f t="shared" ref="N14:P14" si="21">N356</f>
        <v>0</v>
      </c>
      <c r="O14" s="529">
        <f t="shared" si="21"/>
        <v>0</v>
      </c>
      <c r="P14" s="529">
        <f t="shared" si="21"/>
        <v>0</v>
      </c>
      <c r="Q14" s="1001" t="s">
        <v>701</v>
      </c>
      <c r="R14" s="528">
        <f t="shared" ref="R14:S14" si="22">R356</f>
        <v>0</v>
      </c>
      <c r="S14" s="529">
        <f t="shared" si="22"/>
        <v>0</v>
      </c>
      <c r="T14" s="1001" t="s">
        <v>701</v>
      </c>
      <c r="U14" s="530">
        <f t="shared" ref="U14:V14" si="23">U356</f>
        <v>0</v>
      </c>
      <c r="V14" s="529">
        <f t="shared" si="23"/>
        <v>0</v>
      </c>
      <c r="W14" s="1001" t="s">
        <v>701</v>
      </c>
      <c r="X14" s="1001" t="s">
        <v>701</v>
      </c>
      <c r="Y14" s="529">
        <f t="shared" ref="Y14" si="24">Y356</f>
        <v>0</v>
      </c>
      <c r="Z14" s="1001" t="s">
        <v>701</v>
      </c>
      <c r="AA14" s="1098"/>
      <c r="AB14" s="1091"/>
      <c r="AC14" s="1099"/>
      <c r="AD14" s="1100">
        <f t="shared" ref="AD14" si="25">AD356</f>
        <v>0</v>
      </c>
      <c r="AE14" s="1091"/>
      <c r="AF14" s="1091"/>
      <c r="AG14" s="1091"/>
      <c r="AH14" s="1091"/>
      <c r="AI14" s="1091"/>
      <c r="AJ14" s="1041" t="str">
        <f t="shared" si="10"/>
        <v/>
      </c>
    </row>
    <row r="15" spans="1:36" ht="11.25" customHeight="1" x14ac:dyDescent="0.2">
      <c r="D15" s="1092"/>
      <c r="E15" s="1093"/>
      <c r="F15" s="1093"/>
      <c r="G15" s="1093"/>
      <c r="H15" s="1094"/>
      <c r="I15" s="1095"/>
      <c r="J15" s="1096"/>
      <c r="K15" s="1096"/>
      <c r="L15" s="1096"/>
      <c r="M15" s="1097"/>
      <c r="N15" s="528">
        <f t="shared" ref="N15:P15" si="26">N357</f>
        <v>0</v>
      </c>
      <c r="O15" s="529">
        <f t="shared" si="26"/>
        <v>0</v>
      </c>
      <c r="P15" s="529">
        <f t="shared" si="26"/>
        <v>0</v>
      </c>
      <c r="Q15" s="1001" t="s">
        <v>701</v>
      </c>
      <c r="R15" s="528">
        <f t="shared" ref="R15:S15" si="27">R357</f>
        <v>0</v>
      </c>
      <c r="S15" s="529">
        <f t="shared" si="27"/>
        <v>0</v>
      </c>
      <c r="T15" s="1001" t="s">
        <v>701</v>
      </c>
      <c r="U15" s="530">
        <f t="shared" ref="U15:V15" si="28">U357</f>
        <v>0</v>
      </c>
      <c r="V15" s="529">
        <f t="shared" si="28"/>
        <v>0</v>
      </c>
      <c r="W15" s="1001" t="s">
        <v>701</v>
      </c>
      <c r="X15" s="1001" t="s">
        <v>701</v>
      </c>
      <c r="Y15" s="529">
        <f t="shared" ref="Y15" si="29">Y357</f>
        <v>0</v>
      </c>
      <c r="Z15" s="1001" t="s">
        <v>701</v>
      </c>
      <c r="AA15" s="1098"/>
      <c r="AB15" s="1091"/>
      <c r="AC15" s="1099"/>
      <c r="AD15" s="1100">
        <f t="shared" ref="AD15" si="30">AD357</f>
        <v>0</v>
      </c>
      <c r="AE15" s="1091"/>
      <c r="AF15" s="1091"/>
      <c r="AG15" s="1091"/>
      <c r="AH15" s="1091"/>
      <c r="AI15" s="1091"/>
      <c r="AJ15" s="1041" t="str">
        <f t="shared" si="10"/>
        <v/>
      </c>
    </row>
    <row r="16" spans="1:36" ht="11.25" customHeight="1" thickBot="1" x14ac:dyDescent="0.25">
      <c r="D16" s="532" t="s">
        <v>418</v>
      </c>
      <c r="E16" s="533"/>
      <c r="F16" s="534"/>
      <c r="G16" s="535"/>
      <c r="H16" s="535"/>
      <c r="I16" s="534"/>
      <c r="J16" s="535"/>
      <c r="K16" s="535"/>
      <c r="L16" s="535"/>
      <c r="M16" s="536"/>
      <c r="N16" s="913">
        <f>SUM(N10:N15)</f>
        <v>2</v>
      </c>
      <c r="O16" s="913">
        <f t="shared" ref="O16" si="31">SUM(O10:O15)</f>
        <v>750</v>
      </c>
      <c r="P16" s="914"/>
      <c r="Q16" s="1002" t="s">
        <v>701</v>
      </c>
      <c r="R16" s="915"/>
      <c r="S16" s="916">
        <f t="shared" ref="S16" si="32">SUM(S10:S15)</f>
        <v>110</v>
      </c>
      <c r="T16" s="1003" t="s">
        <v>701</v>
      </c>
      <c r="U16" s="915"/>
      <c r="V16" s="916">
        <f t="shared" ref="V16:Y16" si="33">SUM(V10:V15)</f>
        <v>0</v>
      </c>
      <c r="W16" s="1003" t="s">
        <v>701</v>
      </c>
      <c r="X16" s="1003" t="s">
        <v>701</v>
      </c>
      <c r="Y16" s="916">
        <f t="shared" si="33"/>
        <v>21302.839565217389</v>
      </c>
      <c r="Z16" s="1003" t="s">
        <v>701</v>
      </c>
      <c r="AA16" s="1003" t="s">
        <v>701</v>
      </c>
      <c r="AB16" s="1004" t="s">
        <v>701</v>
      </c>
      <c r="AC16" s="1005" t="s">
        <v>701</v>
      </c>
      <c r="AD16" s="917"/>
      <c r="AE16" s="1004" t="s">
        <v>701</v>
      </c>
      <c r="AF16" s="1004" t="s">
        <v>701</v>
      </c>
      <c r="AG16" s="1004" t="s">
        <v>701</v>
      </c>
      <c r="AH16" s="1004" t="s">
        <v>701</v>
      </c>
      <c r="AI16" s="1004" t="s">
        <v>701</v>
      </c>
      <c r="AJ16" s="1042" t="str">
        <f t="shared" si="10"/>
        <v/>
      </c>
    </row>
    <row r="17" spans="4:36" ht="11.25" customHeight="1" x14ac:dyDescent="0.25">
      <c r="D17" s="1092" t="str">
        <f>D359</f>
        <v xml:space="preserve">Macarthur </v>
      </c>
      <c r="E17" s="1093" t="str">
        <f t="shared" ref="E17:P17" si="34">E359</f>
        <v>Transmission substation</v>
      </c>
      <c r="F17" s="1093">
        <f t="shared" si="34"/>
        <v>1687</v>
      </c>
      <c r="G17" s="1093" t="str">
        <f t="shared" si="34"/>
        <v>Capacity upgrade</v>
      </c>
      <c r="H17" s="1094" t="str">
        <f t="shared" si="34"/>
        <v>Demand growth</v>
      </c>
      <c r="I17" s="1095" t="str">
        <f t="shared" si="34"/>
        <v>330/132</v>
      </c>
      <c r="J17" s="1096">
        <f t="shared" si="34"/>
        <v>625</v>
      </c>
      <c r="K17" s="1096">
        <f t="shared" si="34"/>
        <v>1000</v>
      </c>
      <c r="L17" s="1096">
        <f t="shared" si="34"/>
        <v>250</v>
      </c>
      <c r="M17" s="1097">
        <f t="shared" si="34"/>
        <v>625</v>
      </c>
      <c r="N17" s="522">
        <f t="shared" si="34"/>
        <v>1</v>
      </c>
      <c r="O17" s="523">
        <f t="shared" si="34"/>
        <v>375</v>
      </c>
      <c r="P17" s="524" t="str">
        <f t="shared" si="34"/>
        <v>Yes</v>
      </c>
      <c r="Q17" s="1000" t="s">
        <v>701</v>
      </c>
      <c r="R17" s="525" t="str">
        <f t="shared" ref="R17:S17" si="35">R359</f>
        <v xml:space="preserve">SF6 </v>
      </c>
      <c r="S17" s="524">
        <f t="shared" si="35"/>
        <v>5</v>
      </c>
      <c r="T17" s="1000" t="s">
        <v>701</v>
      </c>
      <c r="U17" s="526">
        <f t="shared" ref="U17:V17" si="36">U359</f>
        <v>0</v>
      </c>
      <c r="V17" s="524">
        <f t="shared" si="36"/>
        <v>0</v>
      </c>
      <c r="W17" s="1000" t="s">
        <v>701</v>
      </c>
      <c r="X17" s="1000" t="s">
        <v>701</v>
      </c>
      <c r="Y17" s="527">
        <f t="shared" ref="Y17" si="37">Y359</f>
        <v>2714.905652173913</v>
      </c>
      <c r="Z17" s="1000" t="s">
        <v>701</v>
      </c>
      <c r="AA17" s="1098" t="s">
        <v>701</v>
      </c>
      <c r="AB17" s="1091" t="s">
        <v>701</v>
      </c>
      <c r="AC17" s="1099"/>
      <c r="AD17" s="1100">
        <f t="shared" ref="AD17:AD22" si="38">AD359</f>
        <v>0</v>
      </c>
      <c r="AE17" s="1091" t="s">
        <v>701</v>
      </c>
      <c r="AF17" s="1091" t="s">
        <v>701</v>
      </c>
      <c r="AG17" s="1091" t="s">
        <v>701</v>
      </c>
      <c r="AH17" s="1091" t="s">
        <v>701</v>
      </c>
      <c r="AI17" s="1091" t="s">
        <v>701</v>
      </c>
      <c r="AJ17" s="1040" t="str">
        <f t="shared" si="10"/>
        <v/>
      </c>
    </row>
    <row r="18" spans="4:36" ht="11.25" customHeight="1" x14ac:dyDescent="0.2">
      <c r="D18" s="1092"/>
      <c r="E18" s="1093"/>
      <c r="F18" s="1093"/>
      <c r="G18" s="1093"/>
      <c r="H18" s="1094"/>
      <c r="I18" s="1095"/>
      <c r="J18" s="1096"/>
      <c r="K18" s="1096"/>
      <c r="L18" s="1096"/>
      <c r="M18" s="1097"/>
      <c r="N18" s="528">
        <f t="shared" ref="N18:P18" si="39">N360</f>
        <v>0</v>
      </c>
      <c r="O18" s="529">
        <f t="shared" si="39"/>
        <v>0</v>
      </c>
      <c r="P18" s="529">
        <f t="shared" si="39"/>
        <v>0</v>
      </c>
      <c r="Q18" s="1001" t="s">
        <v>701</v>
      </c>
      <c r="R18" s="528" t="str">
        <f t="shared" ref="R18:S18" si="40">R360</f>
        <v>Oil/Air</v>
      </c>
      <c r="S18" s="529">
        <f t="shared" si="40"/>
        <v>3</v>
      </c>
      <c r="T18" s="1001" t="s">
        <v>701</v>
      </c>
      <c r="U18" s="530">
        <f t="shared" ref="U18:V18" si="41">U360</f>
        <v>0</v>
      </c>
      <c r="V18" s="529">
        <f t="shared" si="41"/>
        <v>0</v>
      </c>
      <c r="W18" s="1001" t="s">
        <v>701</v>
      </c>
      <c r="X18" s="1001" t="s">
        <v>701</v>
      </c>
      <c r="Y18" s="531">
        <f t="shared" ref="Y18" si="42">Y360</f>
        <v>0</v>
      </c>
      <c r="Z18" s="1001" t="s">
        <v>701</v>
      </c>
      <c r="AA18" s="1098"/>
      <c r="AB18" s="1091"/>
      <c r="AC18" s="1099"/>
      <c r="AD18" s="1100">
        <f t="shared" si="38"/>
        <v>0</v>
      </c>
      <c r="AE18" s="1091"/>
      <c r="AF18" s="1091"/>
      <c r="AG18" s="1091"/>
      <c r="AH18" s="1091"/>
      <c r="AI18" s="1091"/>
      <c r="AJ18" s="1041" t="str">
        <f t="shared" si="10"/>
        <v/>
      </c>
    </row>
    <row r="19" spans="4:36" ht="11.25" customHeight="1" x14ac:dyDescent="0.2">
      <c r="D19" s="1092"/>
      <c r="E19" s="1093"/>
      <c r="F19" s="1093"/>
      <c r="G19" s="1093"/>
      <c r="H19" s="1094"/>
      <c r="I19" s="1095"/>
      <c r="J19" s="1096"/>
      <c r="K19" s="1096"/>
      <c r="L19" s="1096"/>
      <c r="M19" s="1097"/>
      <c r="N19" s="528">
        <f t="shared" ref="N19:P19" si="43">N361</f>
        <v>0</v>
      </c>
      <c r="O19" s="529">
        <f t="shared" si="43"/>
        <v>0</v>
      </c>
      <c r="P19" s="529">
        <f t="shared" si="43"/>
        <v>0</v>
      </c>
      <c r="Q19" s="1001" t="s">
        <v>701</v>
      </c>
      <c r="R19" s="528">
        <f t="shared" ref="R19:S19" si="44">R361</f>
        <v>0</v>
      </c>
      <c r="S19" s="529">
        <f t="shared" si="44"/>
        <v>0</v>
      </c>
      <c r="T19" s="1001" t="s">
        <v>701</v>
      </c>
      <c r="U19" s="530">
        <f t="shared" ref="U19:V19" si="45">U361</f>
        <v>0</v>
      </c>
      <c r="V19" s="529">
        <f t="shared" si="45"/>
        <v>0</v>
      </c>
      <c r="W19" s="1001" t="s">
        <v>701</v>
      </c>
      <c r="X19" s="1001" t="s">
        <v>701</v>
      </c>
      <c r="Y19" s="529">
        <f t="shared" ref="Y19" si="46">Y361</f>
        <v>0</v>
      </c>
      <c r="Z19" s="1001" t="s">
        <v>701</v>
      </c>
      <c r="AA19" s="1098"/>
      <c r="AB19" s="1091"/>
      <c r="AC19" s="1099"/>
      <c r="AD19" s="1100">
        <f t="shared" si="38"/>
        <v>0</v>
      </c>
      <c r="AE19" s="1091"/>
      <c r="AF19" s="1091"/>
      <c r="AG19" s="1091"/>
      <c r="AH19" s="1091"/>
      <c r="AI19" s="1091"/>
      <c r="AJ19" s="1041" t="str">
        <f t="shared" si="10"/>
        <v/>
      </c>
    </row>
    <row r="20" spans="4:36" ht="11.25" customHeight="1" x14ac:dyDescent="0.2">
      <c r="D20" s="1092"/>
      <c r="E20" s="1093"/>
      <c r="F20" s="1093"/>
      <c r="G20" s="1093"/>
      <c r="H20" s="1094"/>
      <c r="I20" s="1095"/>
      <c r="J20" s="1096"/>
      <c r="K20" s="1096"/>
      <c r="L20" s="1096"/>
      <c r="M20" s="1097"/>
      <c r="N20" s="528">
        <f t="shared" ref="N20:P20" si="47">N362</f>
        <v>0</v>
      </c>
      <c r="O20" s="529">
        <f t="shared" si="47"/>
        <v>0</v>
      </c>
      <c r="P20" s="529">
        <f t="shared" si="47"/>
        <v>0</v>
      </c>
      <c r="Q20" s="1001" t="s">
        <v>701</v>
      </c>
      <c r="R20" s="528">
        <f t="shared" ref="R20:S20" si="48">R362</f>
        <v>0</v>
      </c>
      <c r="S20" s="529">
        <f t="shared" si="48"/>
        <v>0</v>
      </c>
      <c r="T20" s="1001" t="s">
        <v>701</v>
      </c>
      <c r="U20" s="530">
        <f t="shared" ref="U20:V20" si="49">U362</f>
        <v>0</v>
      </c>
      <c r="V20" s="529">
        <f t="shared" si="49"/>
        <v>0</v>
      </c>
      <c r="W20" s="1001" t="s">
        <v>701</v>
      </c>
      <c r="X20" s="1001" t="s">
        <v>701</v>
      </c>
      <c r="Y20" s="529">
        <f t="shared" ref="Y20" si="50">Y362</f>
        <v>0</v>
      </c>
      <c r="Z20" s="1001" t="s">
        <v>701</v>
      </c>
      <c r="AA20" s="1098"/>
      <c r="AB20" s="1091"/>
      <c r="AC20" s="1099"/>
      <c r="AD20" s="1100">
        <f t="shared" si="38"/>
        <v>0</v>
      </c>
      <c r="AE20" s="1091"/>
      <c r="AF20" s="1091"/>
      <c r="AG20" s="1091"/>
      <c r="AH20" s="1091"/>
      <c r="AI20" s="1091"/>
      <c r="AJ20" s="1041" t="str">
        <f t="shared" si="10"/>
        <v/>
      </c>
    </row>
    <row r="21" spans="4:36" ht="11.25" customHeight="1" x14ac:dyDescent="0.2">
      <c r="D21" s="1092"/>
      <c r="E21" s="1093"/>
      <c r="F21" s="1093"/>
      <c r="G21" s="1093"/>
      <c r="H21" s="1094"/>
      <c r="I21" s="1095"/>
      <c r="J21" s="1096"/>
      <c r="K21" s="1096"/>
      <c r="L21" s="1096"/>
      <c r="M21" s="1097"/>
      <c r="N21" s="528">
        <f t="shared" ref="N21:P21" si="51">N363</f>
        <v>0</v>
      </c>
      <c r="O21" s="529">
        <f t="shared" si="51"/>
        <v>0</v>
      </c>
      <c r="P21" s="529">
        <f t="shared" si="51"/>
        <v>0</v>
      </c>
      <c r="Q21" s="1001" t="s">
        <v>701</v>
      </c>
      <c r="R21" s="528">
        <f t="shared" ref="R21:S21" si="52">R363</f>
        <v>0</v>
      </c>
      <c r="S21" s="529">
        <f t="shared" si="52"/>
        <v>0</v>
      </c>
      <c r="T21" s="1001" t="s">
        <v>701</v>
      </c>
      <c r="U21" s="530">
        <f t="shared" ref="U21:V21" si="53">U363</f>
        <v>0</v>
      </c>
      <c r="V21" s="529">
        <f t="shared" si="53"/>
        <v>0</v>
      </c>
      <c r="W21" s="1001" t="s">
        <v>701</v>
      </c>
      <c r="X21" s="1001" t="s">
        <v>701</v>
      </c>
      <c r="Y21" s="529">
        <f t="shared" ref="Y21" si="54">Y363</f>
        <v>0</v>
      </c>
      <c r="Z21" s="1001" t="s">
        <v>701</v>
      </c>
      <c r="AA21" s="1098"/>
      <c r="AB21" s="1091"/>
      <c r="AC21" s="1099"/>
      <c r="AD21" s="1100">
        <f t="shared" si="38"/>
        <v>0</v>
      </c>
      <c r="AE21" s="1091"/>
      <c r="AF21" s="1091"/>
      <c r="AG21" s="1091"/>
      <c r="AH21" s="1091"/>
      <c r="AI21" s="1091"/>
      <c r="AJ21" s="1041" t="str">
        <f t="shared" si="10"/>
        <v/>
      </c>
    </row>
    <row r="22" spans="4:36" ht="11.25" customHeight="1" x14ac:dyDescent="0.2">
      <c r="D22" s="1092"/>
      <c r="E22" s="1093"/>
      <c r="F22" s="1093"/>
      <c r="G22" s="1093"/>
      <c r="H22" s="1094"/>
      <c r="I22" s="1095"/>
      <c r="J22" s="1096"/>
      <c r="K22" s="1096"/>
      <c r="L22" s="1096"/>
      <c r="M22" s="1097"/>
      <c r="N22" s="528">
        <f t="shared" ref="N22:P22" si="55">N364</f>
        <v>0</v>
      </c>
      <c r="O22" s="529">
        <f t="shared" si="55"/>
        <v>0</v>
      </c>
      <c r="P22" s="529">
        <f t="shared" si="55"/>
        <v>0</v>
      </c>
      <c r="Q22" s="1001" t="s">
        <v>701</v>
      </c>
      <c r="R22" s="528">
        <f t="shared" ref="R22:S22" si="56">R364</f>
        <v>0</v>
      </c>
      <c r="S22" s="529">
        <f t="shared" si="56"/>
        <v>0</v>
      </c>
      <c r="T22" s="1001" t="s">
        <v>701</v>
      </c>
      <c r="U22" s="530">
        <f t="shared" ref="U22:V22" si="57">U364</f>
        <v>0</v>
      </c>
      <c r="V22" s="529">
        <f t="shared" si="57"/>
        <v>0</v>
      </c>
      <c r="W22" s="1001" t="s">
        <v>701</v>
      </c>
      <c r="X22" s="1001" t="s">
        <v>701</v>
      </c>
      <c r="Y22" s="529">
        <f t="shared" ref="Y22" si="58">Y364</f>
        <v>0</v>
      </c>
      <c r="Z22" s="1001" t="s">
        <v>701</v>
      </c>
      <c r="AA22" s="1098"/>
      <c r="AB22" s="1091"/>
      <c r="AC22" s="1099"/>
      <c r="AD22" s="1100">
        <f t="shared" si="38"/>
        <v>0</v>
      </c>
      <c r="AE22" s="1091"/>
      <c r="AF22" s="1091"/>
      <c r="AG22" s="1091"/>
      <c r="AH22" s="1091"/>
      <c r="AI22" s="1091"/>
      <c r="AJ22" s="1041" t="str">
        <f t="shared" si="10"/>
        <v/>
      </c>
    </row>
    <row r="23" spans="4:36" ht="11.25" customHeight="1" thickBot="1" x14ac:dyDescent="0.25">
      <c r="D23" s="532" t="s">
        <v>418</v>
      </c>
      <c r="E23" s="533"/>
      <c r="F23" s="534"/>
      <c r="G23" s="535"/>
      <c r="H23" s="535"/>
      <c r="I23" s="534"/>
      <c r="J23" s="535"/>
      <c r="K23" s="535"/>
      <c r="L23" s="535"/>
      <c r="M23" s="536"/>
      <c r="N23" s="913">
        <f>SUM(N17:N22)</f>
        <v>1</v>
      </c>
      <c r="O23" s="913">
        <f t="shared" ref="O23" si="59">SUM(O17:O22)</f>
        <v>375</v>
      </c>
      <c r="P23" s="914"/>
      <c r="Q23" s="1002" t="s">
        <v>701</v>
      </c>
      <c r="R23" s="915"/>
      <c r="S23" s="916">
        <f t="shared" ref="S23" si="60">SUM(S17:S22)</f>
        <v>8</v>
      </c>
      <c r="T23" s="1003" t="s">
        <v>701</v>
      </c>
      <c r="U23" s="915"/>
      <c r="V23" s="916">
        <f t="shared" ref="V23" si="61">SUM(V17:V22)</f>
        <v>0</v>
      </c>
      <c r="W23" s="1003" t="s">
        <v>701</v>
      </c>
      <c r="X23" s="1003" t="s">
        <v>701</v>
      </c>
      <c r="Y23" s="916">
        <f t="shared" ref="Y23" si="62">SUM(Y17:Y22)</f>
        <v>2714.905652173913</v>
      </c>
      <c r="Z23" s="1003" t="s">
        <v>701</v>
      </c>
      <c r="AA23" s="1003" t="s">
        <v>701</v>
      </c>
      <c r="AB23" s="1004" t="s">
        <v>701</v>
      </c>
      <c r="AC23" s="1005" t="s">
        <v>701</v>
      </c>
      <c r="AD23" s="917"/>
      <c r="AE23" s="1004" t="s">
        <v>701</v>
      </c>
      <c r="AF23" s="1004" t="s">
        <v>701</v>
      </c>
      <c r="AG23" s="1004" t="s">
        <v>701</v>
      </c>
      <c r="AH23" s="1004" t="s">
        <v>701</v>
      </c>
      <c r="AI23" s="1004" t="s">
        <v>701</v>
      </c>
      <c r="AJ23" s="1042" t="str">
        <f t="shared" si="10"/>
        <v/>
      </c>
    </row>
    <row r="24" spans="4:36" ht="11.25" customHeight="1" x14ac:dyDescent="0.25">
      <c r="D24" s="1092" t="str">
        <f>D366</f>
        <v>Wagga</v>
      </c>
      <c r="E24" s="1093" t="str">
        <f t="shared" ref="E24:P24" si="63">E366</f>
        <v>Transmission substation</v>
      </c>
      <c r="F24" s="1093" t="str">
        <f t="shared" si="63"/>
        <v>N2208</v>
      </c>
      <c r="G24" s="1093" t="str">
        <f t="shared" si="63"/>
        <v>Capacity upgrade</v>
      </c>
      <c r="H24" s="1094" t="str">
        <f t="shared" si="63"/>
        <v>Net market benefit</v>
      </c>
      <c r="I24" s="1095" t="str">
        <f t="shared" si="63"/>
        <v>132/66</v>
      </c>
      <c r="J24" s="1096">
        <f t="shared" si="63"/>
        <v>240</v>
      </c>
      <c r="K24" s="1096">
        <f t="shared" si="63"/>
        <v>240</v>
      </c>
      <c r="L24" s="1096">
        <f t="shared" si="63"/>
        <v>120</v>
      </c>
      <c r="M24" s="1097">
        <f t="shared" si="63"/>
        <v>120</v>
      </c>
      <c r="N24" s="522">
        <f t="shared" si="63"/>
        <v>0</v>
      </c>
      <c r="O24" s="523">
        <f t="shared" si="63"/>
        <v>0</v>
      </c>
      <c r="P24" s="524">
        <f t="shared" si="63"/>
        <v>0</v>
      </c>
      <c r="Q24" s="1000" t="s">
        <v>701</v>
      </c>
      <c r="R24" s="525" t="str">
        <f t="shared" ref="R24:S24" si="64">R366</f>
        <v>Oil/Air</v>
      </c>
      <c r="S24" s="524">
        <f t="shared" si="64"/>
        <v>1</v>
      </c>
      <c r="T24" s="1000" t="s">
        <v>701</v>
      </c>
      <c r="U24" s="526">
        <f t="shared" ref="U24:V24" si="65">U366</f>
        <v>0</v>
      </c>
      <c r="V24" s="524">
        <f t="shared" si="65"/>
        <v>0</v>
      </c>
      <c r="W24" s="1000" t="s">
        <v>701</v>
      </c>
      <c r="X24" s="1000" t="s">
        <v>701</v>
      </c>
      <c r="Y24" s="527">
        <f t="shared" ref="Y24" si="66">Y366</f>
        <v>5360.9222981366456</v>
      </c>
      <c r="Z24" s="1000" t="s">
        <v>701</v>
      </c>
      <c r="AA24" s="1098" t="s">
        <v>701</v>
      </c>
      <c r="AB24" s="1091" t="s">
        <v>701</v>
      </c>
      <c r="AC24" s="1099"/>
      <c r="AD24" s="1100">
        <f t="shared" ref="AD24:AD29" si="67">AD366</f>
        <v>0</v>
      </c>
      <c r="AE24" s="1091" t="s">
        <v>701</v>
      </c>
      <c r="AF24" s="1091" t="s">
        <v>701</v>
      </c>
      <c r="AG24" s="1091" t="s">
        <v>701</v>
      </c>
      <c r="AH24" s="1091" t="s">
        <v>701</v>
      </c>
      <c r="AI24" s="1091" t="s">
        <v>701</v>
      </c>
      <c r="AJ24" s="1040" t="str">
        <f t="shared" si="10"/>
        <v/>
      </c>
    </row>
    <row r="25" spans="4:36" ht="11.25" customHeight="1" x14ac:dyDescent="0.2">
      <c r="D25" s="1092"/>
      <c r="E25" s="1093"/>
      <c r="F25" s="1093"/>
      <c r="G25" s="1093"/>
      <c r="H25" s="1094"/>
      <c r="I25" s="1095"/>
      <c r="J25" s="1096"/>
      <c r="K25" s="1096"/>
      <c r="L25" s="1096"/>
      <c r="M25" s="1097"/>
      <c r="N25" s="528">
        <f t="shared" ref="N25:P25" si="68">N367</f>
        <v>0</v>
      </c>
      <c r="O25" s="529">
        <f t="shared" si="68"/>
        <v>0</v>
      </c>
      <c r="P25" s="529">
        <f t="shared" si="68"/>
        <v>0</v>
      </c>
      <c r="Q25" s="1001" t="s">
        <v>701</v>
      </c>
      <c r="R25" s="528">
        <f t="shared" ref="R25:S25" si="69">R367</f>
        <v>0</v>
      </c>
      <c r="S25" s="529">
        <f t="shared" si="69"/>
        <v>0</v>
      </c>
      <c r="T25" s="1001" t="s">
        <v>701</v>
      </c>
      <c r="U25" s="530">
        <f t="shared" ref="U25:V25" si="70">U367</f>
        <v>0</v>
      </c>
      <c r="V25" s="529">
        <f t="shared" si="70"/>
        <v>0</v>
      </c>
      <c r="W25" s="1001" t="s">
        <v>701</v>
      </c>
      <c r="X25" s="1001" t="s">
        <v>701</v>
      </c>
      <c r="Y25" s="531">
        <f t="shared" ref="Y25" si="71">Y367</f>
        <v>0</v>
      </c>
      <c r="Z25" s="1001" t="s">
        <v>701</v>
      </c>
      <c r="AA25" s="1098"/>
      <c r="AB25" s="1091"/>
      <c r="AC25" s="1099"/>
      <c r="AD25" s="1100">
        <f t="shared" si="67"/>
        <v>0</v>
      </c>
      <c r="AE25" s="1091"/>
      <c r="AF25" s="1091"/>
      <c r="AG25" s="1091"/>
      <c r="AH25" s="1091"/>
      <c r="AI25" s="1091"/>
      <c r="AJ25" s="1041" t="str">
        <f t="shared" si="10"/>
        <v/>
      </c>
    </row>
    <row r="26" spans="4:36" ht="11.25" customHeight="1" x14ac:dyDescent="0.2">
      <c r="D26" s="1092"/>
      <c r="E26" s="1093"/>
      <c r="F26" s="1093"/>
      <c r="G26" s="1093"/>
      <c r="H26" s="1094"/>
      <c r="I26" s="1095"/>
      <c r="J26" s="1096"/>
      <c r="K26" s="1096"/>
      <c r="L26" s="1096"/>
      <c r="M26" s="1097"/>
      <c r="N26" s="528">
        <f t="shared" ref="N26:P26" si="72">N368</f>
        <v>0</v>
      </c>
      <c r="O26" s="529">
        <f t="shared" si="72"/>
        <v>0</v>
      </c>
      <c r="P26" s="529">
        <f t="shared" si="72"/>
        <v>0</v>
      </c>
      <c r="Q26" s="1001" t="s">
        <v>701</v>
      </c>
      <c r="R26" s="528">
        <f t="shared" ref="R26:S26" si="73">R368</f>
        <v>0</v>
      </c>
      <c r="S26" s="529">
        <f t="shared" si="73"/>
        <v>0</v>
      </c>
      <c r="T26" s="1001" t="s">
        <v>701</v>
      </c>
      <c r="U26" s="530">
        <f t="shared" ref="U26:V26" si="74">U368</f>
        <v>0</v>
      </c>
      <c r="V26" s="529">
        <f t="shared" si="74"/>
        <v>0</v>
      </c>
      <c r="W26" s="1001" t="s">
        <v>701</v>
      </c>
      <c r="X26" s="1001" t="s">
        <v>701</v>
      </c>
      <c r="Y26" s="529">
        <f t="shared" ref="Y26" si="75">Y368</f>
        <v>0</v>
      </c>
      <c r="Z26" s="1001" t="s">
        <v>701</v>
      </c>
      <c r="AA26" s="1098"/>
      <c r="AB26" s="1091"/>
      <c r="AC26" s="1099"/>
      <c r="AD26" s="1100">
        <f t="shared" si="67"/>
        <v>0</v>
      </c>
      <c r="AE26" s="1091"/>
      <c r="AF26" s="1091"/>
      <c r="AG26" s="1091"/>
      <c r="AH26" s="1091"/>
      <c r="AI26" s="1091"/>
      <c r="AJ26" s="1041" t="str">
        <f t="shared" si="10"/>
        <v/>
      </c>
    </row>
    <row r="27" spans="4:36" ht="11.25" customHeight="1" x14ac:dyDescent="0.2">
      <c r="D27" s="1092"/>
      <c r="E27" s="1093"/>
      <c r="F27" s="1093"/>
      <c r="G27" s="1093"/>
      <c r="H27" s="1094"/>
      <c r="I27" s="1095"/>
      <c r="J27" s="1096"/>
      <c r="K27" s="1096"/>
      <c r="L27" s="1096"/>
      <c r="M27" s="1097"/>
      <c r="N27" s="528">
        <f t="shared" ref="N27:P27" si="76">N369</f>
        <v>0</v>
      </c>
      <c r="O27" s="529">
        <f t="shared" si="76"/>
        <v>0</v>
      </c>
      <c r="P27" s="529">
        <f t="shared" si="76"/>
        <v>0</v>
      </c>
      <c r="Q27" s="1001" t="s">
        <v>701</v>
      </c>
      <c r="R27" s="528">
        <f t="shared" ref="R27:S27" si="77">R369</f>
        <v>0</v>
      </c>
      <c r="S27" s="529">
        <f t="shared" si="77"/>
        <v>0</v>
      </c>
      <c r="T27" s="1001" t="s">
        <v>701</v>
      </c>
      <c r="U27" s="530">
        <f t="shared" ref="U27:V27" si="78">U369</f>
        <v>0</v>
      </c>
      <c r="V27" s="529">
        <f t="shared" si="78"/>
        <v>0</v>
      </c>
      <c r="W27" s="1001" t="s">
        <v>701</v>
      </c>
      <c r="X27" s="1001" t="s">
        <v>701</v>
      </c>
      <c r="Y27" s="529">
        <f t="shared" ref="Y27" si="79">Y369</f>
        <v>0</v>
      </c>
      <c r="Z27" s="1001" t="s">
        <v>701</v>
      </c>
      <c r="AA27" s="1098"/>
      <c r="AB27" s="1091"/>
      <c r="AC27" s="1099"/>
      <c r="AD27" s="1100">
        <f t="shared" si="67"/>
        <v>0</v>
      </c>
      <c r="AE27" s="1091"/>
      <c r="AF27" s="1091"/>
      <c r="AG27" s="1091"/>
      <c r="AH27" s="1091"/>
      <c r="AI27" s="1091"/>
      <c r="AJ27" s="1041" t="str">
        <f t="shared" si="10"/>
        <v/>
      </c>
    </row>
    <row r="28" spans="4:36" ht="11.25" customHeight="1" x14ac:dyDescent="0.2">
      <c r="D28" s="1092"/>
      <c r="E28" s="1093"/>
      <c r="F28" s="1093"/>
      <c r="G28" s="1093"/>
      <c r="H28" s="1094"/>
      <c r="I28" s="1095"/>
      <c r="J28" s="1096"/>
      <c r="K28" s="1096"/>
      <c r="L28" s="1096"/>
      <c r="M28" s="1097"/>
      <c r="N28" s="528">
        <f t="shared" ref="N28:P28" si="80">N370</f>
        <v>0</v>
      </c>
      <c r="O28" s="529">
        <f t="shared" si="80"/>
        <v>0</v>
      </c>
      <c r="P28" s="529">
        <f t="shared" si="80"/>
        <v>0</v>
      </c>
      <c r="Q28" s="1001" t="s">
        <v>701</v>
      </c>
      <c r="R28" s="528">
        <f t="shared" ref="R28:S28" si="81">R370</f>
        <v>0</v>
      </c>
      <c r="S28" s="529">
        <f t="shared" si="81"/>
        <v>0</v>
      </c>
      <c r="T28" s="1001" t="s">
        <v>701</v>
      </c>
      <c r="U28" s="530">
        <f t="shared" ref="U28:V28" si="82">U370</f>
        <v>0</v>
      </c>
      <c r="V28" s="529">
        <f t="shared" si="82"/>
        <v>0</v>
      </c>
      <c r="W28" s="1001" t="s">
        <v>701</v>
      </c>
      <c r="X28" s="1001" t="s">
        <v>701</v>
      </c>
      <c r="Y28" s="529">
        <f t="shared" ref="Y28" si="83">Y370</f>
        <v>0</v>
      </c>
      <c r="Z28" s="1001" t="s">
        <v>701</v>
      </c>
      <c r="AA28" s="1098"/>
      <c r="AB28" s="1091"/>
      <c r="AC28" s="1099"/>
      <c r="AD28" s="1100">
        <f t="shared" si="67"/>
        <v>0</v>
      </c>
      <c r="AE28" s="1091"/>
      <c r="AF28" s="1091"/>
      <c r="AG28" s="1091"/>
      <c r="AH28" s="1091"/>
      <c r="AI28" s="1091"/>
      <c r="AJ28" s="1041" t="str">
        <f t="shared" si="10"/>
        <v/>
      </c>
    </row>
    <row r="29" spans="4:36" ht="11.25" customHeight="1" x14ac:dyDescent="0.2">
      <c r="D29" s="1092"/>
      <c r="E29" s="1093"/>
      <c r="F29" s="1093"/>
      <c r="G29" s="1093"/>
      <c r="H29" s="1094"/>
      <c r="I29" s="1095"/>
      <c r="J29" s="1096"/>
      <c r="K29" s="1096"/>
      <c r="L29" s="1096"/>
      <c r="M29" s="1097"/>
      <c r="N29" s="528">
        <f t="shared" ref="N29:P29" si="84">N371</f>
        <v>0</v>
      </c>
      <c r="O29" s="529">
        <f t="shared" si="84"/>
        <v>0</v>
      </c>
      <c r="P29" s="529">
        <f t="shared" si="84"/>
        <v>0</v>
      </c>
      <c r="Q29" s="1001" t="s">
        <v>701</v>
      </c>
      <c r="R29" s="528">
        <f t="shared" ref="R29:S29" si="85">R371</f>
        <v>0</v>
      </c>
      <c r="S29" s="529">
        <f t="shared" si="85"/>
        <v>0</v>
      </c>
      <c r="T29" s="1001" t="s">
        <v>701</v>
      </c>
      <c r="U29" s="530">
        <f t="shared" ref="U29:V29" si="86">U371</f>
        <v>0</v>
      </c>
      <c r="V29" s="529">
        <f t="shared" si="86"/>
        <v>0</v>
      </c>
      <c r="W29" s="1001" t="s">
        <v>701</v>
      </c>
      <c r="X29" s="1001" t="s">
        <v>701</v>
      </c>
      <c r="Y29" s="529">
        <f t="shared" ref="Y29" si="87">Y371</f>
        <v>0</v>
      </c>
      <c r="Z29" s="1001" t="s">
        <v>701</v>
      </c>
      <c r="AA29" s="1098"/>
      <c r="AB29" s="1091"/>
      <c r="AC29" s="1099"/>
      <c r="AD29" s="1100">
        <f t="shared" si="67"/>
        <v>0</v>
      </c>
      <c r="AE29" s="1091"/>
      <c r="AF29" s="1091"/>
      <c r="AG29" s="1091"/>
      <c r="AH29" s="1091"/>
      <c r="AI29" s="1091"/>
      <c r="AJ29" s="1041" t="str">
        <f t="shared" si="10"/>
        <v/>
      </c>
    </row>
    <row r="30" spans="4:36" ht="11.25" customHeight="1" thickBot="1" x14ac:dyDescent="0.25">
      <c r="D30" s="532" t="s">
        <v>418</v>
      </c>
      <c r="E30" s="533"/>
      <c r="F30" s="534"/>
      <c r="G30" s="535"/>
      <c r="H30" s="535"/>
      <c r="I30" s="534"/>
      <c r="J30" s="535"/>
      <c r="K30" s="535"/>
      <c r="L30" s="535"/>
      <c r="M30" s="536"/>
      <c r="N30" s="913">
        <f>SUM(N24:N29)</f>
        <v>0</v>
      </c>
      <c r="O30" s="913">
        <f t="shared" ref="O30" si="88">SUM(O24:O29)</f>
        <v>0</v>
      </c>
      <c r="P30" s="914"/>
      <c r="Q30" s="1002" t="s">
        <v>701</v>
      </c>
      <c r="R30" s="915"/>
      <c r="S30" s="916">
        <f t="shared" ref="S30" si="89">SUM(S24:S29)</f>
        <v>1</v>
      </c>
      <c r="T30" s="1003" t="s">
        <v>701</v>
      </c>
      <c r="U30" s="915"/>
      <c r="V30" s="916">
        <f t="shared" ref="V30" si="90">SUM(V24:V29)</f>
        <v>0</v>
      </c>
      <c r="W30" s="1003" t="s">
        <v>701</v>
      </c>
      <c r="X30" s="1003" t="s">
        <v>701</v>
      </c>
      <c r="Y30" s="916">
        <f t="shared" ref="Y30" si="91">SUM(Y24:Y29)</f>
        <v>5360.9222981366456</v>
      </c>
      <c r="Z30" s="1003" t="s">
        <v>701</v>
      </c>
      <c r="AA30" s="1003" t="s">
        <v>701</v>
      </c>
      <c r="AB30" s="1004" t="s">
        <v>701</v>
      </c>
      <c r="AC30" s="1005" t="s">
        <v>701</v>
      </c>
      <c r="AD30" s="917"/>
      <c r="AE30" s="1004" t="s">
        <v>701</v>
      </c>
      <c r="AF30" s="1004" t="s">
        <v>701</v>
      </c>
      <c r="AG30" s="1004" t="s">
        <v>701</v>
      </c>
      <c r="AH30" s="1004" t="s">
        <v>701</v>
      </c>
      <c r="AI30" s="1004" t="s">
        <v>701</v>
      </c>
      <c r="AJ30" s="1042" t="str">
        <f t="shared" si="10"/>
        <v/>
      </c>
    </row>
    <row r="31" spans="4:36" ht="11.25" customHeight="1" x14ac:dyDescent="0.25">
      <c r="D31" s="1092" t="str">
        <f>D373</f>
        <v>Sydney West</v>
      </c>
      <c r="E31" s="1093" t="str">
        <f t="shared" ref="E31:P31" si="92">E373</f>
        <v>Transmission substation</v>
      </c>
      <c r="F31" s="1093" t="str">
        <f t="shared" si="92"/>
        <v>N2371</v>
      </c>
      <c r="G31" s="1093" t="str">
        <f t="shared" si="92"/>
        <v>Capacity upgrade</v>
      </c>
      <c r="H31" s="1094" t="str">
        <f t="shared" si="92"/>
        <v>Demand growth</v>
      </c>
      <c r="I31" s="1095" t="str">
        <f t="shared" si="92"/>
        <v>330/132</v>
      </c>
      <c r="J31" s="1096">
        <f t="shared" si="92"/>
        <v>1875</v>
      </c>
      <c r="K31" s="1096">
        <f t="shared" si="92"/>
        <v>2250</v>
      </c>
      <c r="L31" s="1096">
        <f t="shared" si="92"/>
        <v>1500</v>
      </c>
      <c r="M31" s="1097">
        <f t="shared" si="92"/>
        <v>1875</v>
      </c>
      <c r="N31" s="522">
        <f t="shared" si="92"/>
        <v>1</v>
      </c>
      <c r="O31" s="523">
        <f t="shared" si="92"/>
        <v>375</v>
      </c>
      <c r="P31" s="524" t="str">
        <f t="shared" si="92"/>
        <v>Yes</v>
      </c>
      <c r="Q31" s="1000" t="s">
        <v>701</v>
      </c>
      <c r="R31" s="525" t="str">
        <f t="shared" ref="R31:S31" si="93">R373</f>
        <v>SF6</v>
      </c>
      <c r="S31" s="524">
        <f t="shared" si="93"/>
        <v>6</v>
      </c>
      <c r="T31" s="1000" t="s">
        <v>701</v>
      </c>
      <c r="U31" s="526">
        <f t="shared" ref="U31:V31" si="94">U373</f>
        <v>0</v>
      </c>
      <c r="V31" s="524">
        <f t="shared" si="94"/>
        <v>0</v>
      </c>
      <c r="W31" s="1000" t="s">
        <v>701</v>
      </c>
      <c r="X31" s="1000" t="s">
        <v>701</v>
      </c>
      <c r="Y31" s="527">
        <f t="shared" ref="Y31" si="95">Y373</f>
        <v>6258.1603726708072</v>
      </c>
      <c r="Z31" s="1000" t="s">
        <v>701</v>
      </c>
      <c r="AA31" s="1098" t="s">
        <v>701</v>
      </c>
      <c r="AB31" s="1091" t="s">
        <v>701</v>
      </c>
      <c r="AC31" s="1099"/>
      <c r="AD31" s="1100">
        <f t="shared" ref="AD31:AD36" si="96">AD373</f>
        <v>0</v>
      </c>
      <c r="AE31" s="1091" t="s">
        <v>701</v>
      </c>
      <c r="AF31" s="1091" t="s">
        <v>701</v>
      </c>
      <c r="AG31" s="1091" t="s">
        <v>701</v>
      </c>
      <c r="AH31" s="1091" t="s">
        <v>701</v>
      </c>
      <c r="AI31" s="1091" t="s">
        <v>701</v>
      </c>
      <c r="AJ31" s="1040" t="str">
        <f t="shared" si="10"/>
        <v/>
      </c>
    </row>
    <row r="32" spans="4:36" ht="11.25" customHeight="1" x14ac:dyDescent="0.2">
      <c r="D32" s="1092"/>
      <c r="E32" s="1093"/>
      <c r="F32" s="1093"/>
      <c r="G32" s="1093"/>
      <c r="H32" s="1094"/>
      <c r="I32" s="1095"/>
      <c r="J32" s="1096"/>
      <c r="K32" s="1096"/>
      <c r="L32" s="1096"/>
      <c r="M32" s="1097"/>
      <c r="N32" s="528">
        <f t="shared" ref="N32:P32" si="97">N374</f>
        <v>0</v>
      </c>
      <c r="O32" s="529">
        <f t="shared" si="97"/>
        <v>0</v>
      </c>
      <c r="P32" s="529">
        <f t="shared" si="97"/>
        <v>0</v>
      </c>
      <c r="Q32" s="1001" t="s">
        <v>701</v>
      </c>
      <c r="R32" s="528" t="str">
        <f t="shared" ref="R32:S32" si="98">R374</f>
        <v>Oil/Air</v>
      </c>
      <c r="S32" s="529">
        <f t="shared" si="98"/>
        <v>15</v>
      </c>
      <c r="T32" s="1001" t="s">
        <v>701</v>
      </c>
      <c r="U32" s="530">
        <f t="shared" ref="U32:V32" si="99">U374</f>
        <v>0</v>
      </c>
      <c r="V32" s="529">
        <f t="shared" si="99"/>
        <v>0</v>
      </c>
      <c r="W32" s="1001" t="s">
        <v>701</v>
      </c>
      <c r="X32" s="1001" t="s">
        <v>701</v>
      </c>
      <c r="Y32" s="531">
        <f t="shared" ref="Y32" si="100">Y374</f>
        <v>0</v>
      </c>
      <c r="Z32" s="1001" t="s">
        <v>701</v>
      </c>
      <c r="AA32" s="1098"/>
      <c r="AB32" s="1091"/>
      <c r="AC32" s="1099"/>
      <c r="AD32" s="1100">
        <f t="shared" si="96"/>
        <v>0</v>
      </c>
      <c r="AE32" s="1091"/>
      <c r="AF32" s="1091"/>
      <c r="AG32" s="1091"/>
      <c r="AH32" s="1091"/>
      <c r="AI32" s="1091"/>
      <c r="AJ32" s="1041" t="str">
        <f t="shared" si="10"/>
        <v/>
      </c>
    </row>
    <row r="33" spans="4:36" ht="11.25" customHeight="1" x14ac:dyDescent="0.2">
      <c r="D33" s="1092"/>
      <c r="E33" s="1093"/>
      <c r="F33" s="1093"/>
      <c r="G33" s="1093"/>
      <c r="H33" s="1094"/>
      <c r="I33" s="1095"/>
      <c r="J33" s="1096"/>
      <c r="K33" s="1096"/>
      <c r="L33" s="1096"/>
      <c r="M33" s="1097"/>
      <c r="N33" s="528">
        <f t="shared" ref="N33:P33" si="101">N375</f>
        <v>0</v>
      </c>
      <c r="O33" s="529">
        <f t="shared" si="101"/>
        <v>0</v>
      </c>
      <c r="P33" s="529">
        <f t="shared" si="101"/>
        <v>0</v>
      </c>
      <c r="Q33" s="1001" t="s">
        <v>701</v>
      </c>
      <c r="R33" s="528">
        <f t="shared" ref="R33:S33" si="102">R375</f>
        <v>0</v>
      </c>
      <c r="S33" s="529">
        <f t="shared" si="102"/>
        <v>0</v>
      </c>
      <c r="T33" s="1001" t="s">
        <v>701</v>
      </c>
      <c r="U33" s="530">
        <f t="shared" ref="U33:V33" si="103">U375</f>
        <v>0</v>
      </c>
      <c r="V33" s="529">
        <f t="shared" si="103"/>
        <v>0</v>
      </c>
      <c r="W33" s="1001" t="s">
        <v>701</v>
      </c>
      <c r="X33" s="1001" t="s">
        <v>701</v>
      </c>
      <c r="Y33" s="529">
        <f t="shared" ref="Y33" si="104">Y375</f>
        <v>0</v>
      </c>
      <c r="Z33" s="1001" t="s">
        <v>701</v>
      </c>
      <c r="AA33" s="1098"/>
      <c r="AB33" s="1091"/>
      <c r="AC33" s="1099"/>
      <c r="AD33" s="1100">
        <f t="shared" si="96"/>
        <v>0</v>
      </c>
      <c r="AE33" s="1091"/>
      <c r="AF33" s="1091"/>
      <c r="AG33" s="1091"/>
      <c r="AH33" s="1091"/>
      <c r="AI33" s="1091"/>
      <c r="AJ33" s="1041" t="str">
        <f t="shared" si="10"/>
        <v/>
      </c>
    </row>
    <row r="34" spans="4:36" ht="11.25" customHeight="1" x14ac:dyDescent="0.2">
      <c r="D34" s="1092"/>
      <c r="E34" s="1093"/>
      <c r="F34" s="1093"/>
      <c r="G34" s="1093"/>
      <c r="H34" s="1094"/>
      <c r="I34" s="1095"/>
      <c r="J34" s="1096"/>
      <c r="K34" s="1096"/>
      <c r="L34" s="1096"/>
      <c r="M34" s="1097"/>
      <c r="N34" s="528">
        <f t="shared" ref="N34:P34" si="105">N376</f>
        <v>0</v>
      </c>
      <c r="O34" s="529">
        <f t="shared" si="105"/>
        <v>0</v>
      </c>
      <c r="P34" s="529">
        <f t="shared" si="105"/>
        <v>0</v>
      </c>
      <c r="Q34" s="1001" t="s">
        <v>701</v>
      </c>
      <c r="R34" s="528">
        <f t="shared" ref="R34:S34" si="106">R376</f>
        <v>0</v>
      </c>
      <c r="S34" s="529">
        <f t="shared" si="106"/>
        <v>0</v>
      </c>
      <c r="T34" s="1001" t="s">
        <v>701</v>
      </c>
      <c r="U34" s="530">
        <f t="shared" ref="U34:V34" si="107">U376</f>
        <v>0</v>
      </c>
      <c r="V34" s="529">
        <f t="shared" si="107"/>
        <v>0</v>
      </c>
      <c r="W34" s="1001" t="s">
        <v>701</v>
      </c>
      <c r="X34" s="1001" t="s">
        <v>701</v>
      </c>
      <c r="Y34" s="529">
        <f t="shared" ref="Y34" si="108">Y376</f>
        <v>0</v>
      </c>
      <c r="Z34" s="1001" t="s">
        <v>701</v>
      </c>
      <c r="AA34" s="1098"/>
      <c r="AB34" s="1091"/>
      <c r="AC34" s="1099"/>
      <c r="AD34" s="1100">
        <f t="shared" si="96"/>
        <v>0</v>
      </c>
      <c r="AE34" s="1091"/>
      <c r="AF34" s="1091"/>
      <c r="AG34" s="1091"/>
      <c r="AH34" s="1091"/>
      <c r="AI34" s="1091"/>
      <c r="AJ34" s="1041" t="str">
        <f t="shared" si="10"/>
        <v/>
      </c>
    </row>
    <row r="35" spans="4:36" ht="11.25" customHeight="1" x14ac:dyDescent="0.2">
      <c r="D35" s="1092"/>
      <c r="E35" s="1093"/>
      <c r="F35" s="1093"/>
      <c r="G35" s="1093"/>
      <c r="H35" s="1094"/>
      <c r="I35" s="1095"/>
      <c r="J35" s="1096"/>
      <c r="K35" s="1096"/>
      <c r="L35" s="1096"/>
      <c r="M35" s="1097"/>
      <c r="N35" s="528">
        <f t="shared" ref="N35:P35" si="109">N377</f>
        <v>0</v>
      </c>
      <c r="O35" s="529">
        <f t="shared" si="109"/>
        <v>0</v>
      </c>
      <c r="P35" s="529">
        <f t="shared" si="109"/>
        <v>0</v>
      </c>
      <c r="Q35" s="1001" t="s">
        <v>701</v>
      </c>
      <c r="R35" s="528">
        <f t="shared" ref="R35:S35" si="110">R377</f>
        <v>0</v>
      </c>
      <c r="S35" s="529">
        <f t="shared" si="110"/>
        <v>0</v>
      </c>
      <c r="T35" s="1001" t="s">
        <v>701</v>
      </c>
      <c r="U35" s="530">
        <f t="shared" ref="U35:V35" si="111">U377</f>
        <v>0</v>
      </c>
      <c r="V35" s="529">
        <f t="shared" si="111"/>
        <v>0</v>
      </c>
      <c r="W35" s="1001" t="s">
        <v>701</v>
      </c>
      <c r="X35" s="1001" t="s">
        <v>701</v>
      </c>
      <c r="Y35" s="529">
        <f t="shared" ref="Y35" si="112">Y377</f>
        <v>0</v>
      </c>
      <c r="Z35" s="1001" t="s">
        <v>701</v>
      </c>
      <c r="AA35" s="1098"/>
      <c r="AB35" s="1091"/>
      <c r="AC35" s="1099"/>
      <c r="AD35" s="1100">
        <f t="shared" si="96"/>
        <v>0</v>
      </c>
      <c r="AE35" s="1091"/>
      <c r="AF35" s="1091"/>
      <c r="AG35" s="1091"/>
      <c r="AH35" s="1091"/>
      <c r="AI35" s="1091"/>
      <c r="AJ35" s="1041" t="str">
        <f t="shared" si="10"/>
        <v/>
      </c>
    </row>
    <row r="36" spans="4:36" ht="11.25" customHeight="1" x14ac:dyDescent="0.2">
      <c r="D36" s="1092"/>
      <c r="E36" s="1093"/>
      <c r="F36" s="1093"/>
      <c r="G36" s="1093"/>
      <c r="H36" s="1094"/>
      <c r="I36" s="1095"/>
      <c r="J36" s="1096"/>
      <c r="K36" s="1096"/>
      <c r="L36" s="1096"/>
      <c r="M36" s="1097"/>
      <c r="N36" s="528">
        <f t="shared" ref="N36:P36" si="113">N378</f>
        <v>0</v>
      </c>
      <c r="O36" s="529">
        <f t="shared" si="113"/>
        <v>0</v>
      </c>
      <c r="P36" s="529">
        <f t="shared" si="113"/>
        <v>0</v>
      </c>
      <c r="Q36" s="1001" t="s">
        <v>701</v>
      </c>
      <c r="R36" s="528">
        <f t="shared" ref="R36:S36" si="114">R378</f>
        <v>0</v>
      </c>
      <c r="S36" s="529">
        <f t="shared" si="114"/>
        <v>0</v>
      </c>
      <c r="T36" s="1001" t="s">
        <v>701</v>
      </c>
      <c r="U36" s="530">
        <f t="shared" ref="U36:V36" si="115">U378</f>
        <v>0</v>
      </c>
      <c r="V36" s="529">
        <f t="shared" si="115"/>
        <v>0</v>
      </c>
      <c r="W36" s="1001" t="s">
        <v>701</v>
      </c>
      <c r="X36" s="1001" t="s">
        <v>701</v>
      </c>
      <c r="Y36" s="529">
        <f t="shared" ref="Y36" si="116">Y378</f>
        <v>0</v>
      </c>
      <c r="Z36" s="1001" t="s">
        <v>701</v>
      </c>
      <c r="AA36" s="1098"/>
      <c r="AB36" s="1091"/>
      <c r="AC36" s="1099"/>
      <c r="AD36" s="1100">
        <f t="shared" si="96"/>
        <v>0</v>
      </c>
      <c r="AE36" s="1091"/>
      <c r="AF36" s="1091"/>
      <c r="AG36" s="1091"/>
      <c r="AH36" s="1091"/>
      <c r="AI36" s="1091"/>
      <c r="AJ36" s="1041" t="str">
        <f t="shared" si="10"/>
        <v/>
      </c>
    </row>
    <row r="37" spans="4:36" ht="11.25" customHeight="1" thickBot="1" x14ac:dyDescent="0.25">
      <c r="D37" s="532" t="s">
        <v>418</v>
      </c>
      <c r="E37" s="533"/>
      <c r="F37" s="534"/>
      <c r="G37" s="535"/>
      <c r="H37" s="535"/>
      <c r="I37" s="534"/>
      <c r="J37" s="535"/>
      <c r="K37" s="535"/>
      <c r="L37" s="535"/>
      <c r="M37" s="536"/>
      <c r="N37" s="913">
        <f>SUM(N31:N36)</f>
        <v>1</v>
      </c>
      <c r="O37" s="913">
        <f t="shared" ref="O37" si="117">SUM(O31:O36)</f>
        <v>375</v>
      </c>
      <c r="P37" s="914"/>
      <c r="Q37" s="1002" t="s">
        <v>701</v>
      </c>
      <c r="R37" s="915"/>
      <c r="S37" s="916">
        <f t="shared" ref="S37" si="118">SUM(S31:S36)</f>
        <v>21</v>
      </c>
      <c r="T37" s="1003" t="s">
        <v>701</v>
      </c>
      <c r="U37" s="915"/>
      <c r="V37" s="916">
        <f t="shared" ref="V37" si="119">SUM(V31:V36)</f>
        <v>0</v>
      </c>
      <c r="W37" s="1003" t="s">
        <v>701</v>
      </c>
      <c r="X37" s="1003" t="s">
        <v>701</v>
      </c>
      <c r="Y37" s="916">
        <f t="shared" ref="Y37" si="120">SUM(Y31:Y36)</f>
        <v>6258.1603726708072</v>
      </c>
      <c r="Z37" s="1003" t="s">
        <v>701</v>
      </c>
      <c r="AA37" s="1003" t="s">
        <v>701</v>
      </c>
      <c r="AB37" s="1004" t="s">
        <v>701</v>
      </c>
      <c r="AC37" s="1005" t="s">
        <v>701</v>
      </c>
      <c r="AD37" s="917"/>
      <c r="AE37" s="1004" t="s">
        <v>701</v>
      </c>
      <c r="AF37" s="1004" t="s">
        <v>701</v>
      </c>
      <c r="AG37" s="1004" t="s">
        <v>701</v>
      </c>
      <c r="AH37" s="1004" t="s">
        <v>701</v>
      </c>
      <c r="AI37" s="1004" t="s">
        <v>701</v>
      </c>
      <c r="AJ37" s="1042" t="str">
        <f t="shared" si="10"/>
        <v/>
      </c>
    </row>
    <row r="38" spans="4:36" ht="11.25" customHeight="1" x14ac:dyDescent="0.25">
      <c r="D38" s="1092">
        <f>D380</f>
        <v>0</v>
      </c>
      <c r="E38" s="1093">
        <f t="shared" ref="E38:P38" si="121">E380</f>
        <v>0</v>
      </c>
      <c r="F38" s="1093">
        <f t="shared" si="121"/>
        <v>0</v>
      </c>
      <c r="G38" s="1093">
        <f t="shared" si="121"/>
        <v>0</v>
      </c>
      <c r="H38" s="1094">
        <f t="shared" si="121"/>
        <v>0</v>
      </c>
      <c r="I38" s="1095">
        <f t="shared" si="121"/>
        <v>0</v>
      </c>
      <c r="J38" s="1096">
        <f t="shared" si="121"/>
        <v>0</v>
      </c>
      <c r="K38" s="1096">
        <f t="shared" si="121"/>
        <v>0</v>
      </c>
      <c r="L38" s="1096">
        <f t="shared" si="121"/>
        <v>0</v>
      </c>
      <c r="M38" s="1097">
        <f t="shared" si="121"/>
        <v>0</v>
      </c>
      <c r="N38" s="522">
        <f t="shared" si="121"/>
        <v>0</v>
      </c>
      <c r="O38" s="523">
        <f t="shared" si="121"/>
        <v>0</v>
      </c>
      <c r="P38" s="524">
        <f t="shared" si="121"/>
        <v>0</v>
      </c>
      <c r="Q38" s="1000" t="s">
        <v>701</v>
      </c>
      <c r="R38" s="525">
        <f t="shared" ref="R38:S38" si="122">R380</f>
        <v>0</v>
      </c>
      <c r="S38" s="524">
        <f t="shared" si="122"/>
        <v>0</v>
      </c>
      <c r="T38" s="1000" t="s">
        <v>701</v>
      </c>
      <c r="U38" s="526">
        <f t="shared" ref="U38:V38" si="123">U380</f>
        <v>0</v>
      </c>
      <c r="V38" s="524">
        <f t="shared" si="123"/>
        <v>0</v>
      </c>
      <c r="W38" s="1000" t="s">
        <v>701</v>
      </c>
      <c r="X38" s="1000" t="s">
        <v>701</v>
      </c>
      <c r="Y38" s="527">
        <f t="shared" ref="Y38" si="124">Y380</f>
        <v>0</v>
      </c>
      <c r="Z38" s="1000" t="s">
        <v>701</v>
      </c>
      <c r="AA38" s="1098" t="s">
        <v>701</v>
      </c>
      <c r="AB38" s="1091" t="s">
        <v>701</v>
      </c>
      <c r="AC38" s="1099"/>
      <c r="AD38" s="1100">
        <f t="shared" ref="AD38:AD43" si="125">AD380</f>
        <v>0</v>
      </c>
      <c r="AE38" s="1091" t="s">
        <v>701</v>
      </c>
      <c r="AF38" s="1091" t="s">
        <v>701</v>
      </c>
      <c r="AG38" s="1091" t="s">
        <v>701</v>
      </c>
      <c r="AH38" s="1091" t="s">
        <v>701</v>
      </c>
      <c r="AI38" s="1091" t="s">
        <v>701</v>
      </c>
      <c r="AJ38" s="1040">
        <f t="shared" si="10"/>
        <v>0</v>
      </c>
    </row>
    <row r="39" spans="4:36" ht="11.25" customHeight="1" x14ac:dyDescent="0.2">
      <c r="D39" s="1092"/>
      <c r="E39" s="1093"/>
      <c r="F39" s="1093"/>
      <c r="G39" s="1093"/>
      <c r="H39" s="1094"/>
      <c r="I39" s="1095"/>
      <c r="J39" s="1096"/>
      <c r="K39" s="1096"/>
      <c r="L39" s="1096"/>
      <c r="M39" s="1097"/>
      <c r="N39" s="528">
        <f t="shared" ref="N39:P39" si="126">N381</f>
        <v>0</v>
      </c>
      <c r="O39" s="529">
        <f t="shared" si="126"/>
        <v>0</v>
      </c>
      <c r="P39" s="529">
        <f t="shared" si="126"/>
        <v>0</v>
      </c>
      <c r="Q39" s="1001" t="s">
        <v>701</v>
      </c>
      <c r="R39" s="528">
        <f t="shared" ref="R39:S39" si="127">R381</f>
        <v>0</v>
      </c>
      <c r="S39" s="529">
        <f t="shared" si="127"/>
        <v>0</v>
      </c>
      <c r="T39" s="1001" t="s">
        <v>701</v>
      </c>
      <c r="U39" s="530">
        <f t="shared" ref="U39:V39" si="128">U381</f>
        <v>0</v>
      </c>
      <c r="V39" s="529">
        <f t="shared" si="128"/>
        <v>0</v>
      </c>
      <c r="W39" s="1001" t="s">
        <v>701</v>
      </c>
      <c r="X39" s="1001" t="s">
        <v>701</v>
      </c>
      <c r="Y39" s="531">
        <f t="shared" ref="Y39" si="129">Y381</f>
        <v>0</v>
      </c>
      <c r="Z39" s="1001" t="s">
        <v>701</v>
      </c>
      <c r="AA39" s="1098"/>
      <c r="AB39" s="1091"/>
      <c r="AC39" s="1099"/>
      <c r="AD39" s="1100">
        <f t="shared" si="125"/>
        <v>0</v>
      </c>
      <c r="AE39" s="1091"/>
      <c r="AF39" s="1091"/>
      <c r="AG39" s="1091"/>
      <c r="AH39" s="1091"/>
      <c r="AI39" s="1091"/>
      <c r="AJ39" s="1041">
        <f t="shared" si="10"/>
        <v>0</v>
      </c>
    </row>
    <row r="40" spans="4:36" ht="11.25" customHeight="1" x14ac:dyDescent="0.2">
      <c r="D40" s="1092"/>
      <c r="E40" s="1093"/>
      <c r="F40" s="1093"/>
      <c r="G40" s="1093"/>
      <c r="H40" s="1094"/>
      <c r="I40" s="1095"/>
      <c r="J40" s="1096"/>
      <c r="K40" s="1096"/>
      <c r="L40" s="1096"/>
      <c r="M40" s="1097"/>
      <c r="N40" s="528">
        <f t="shared" ref="N40:P40" si="130">N382</f>
        <v>0</v>
      </c>
      <c r="O40" s="529">
        <f t="shared" si="130"/>
        <v>0</v>
      </c>
      <c r="P40" s="529">
        <f t="shared" si="130"/>
        <v>0</v>
      </c>
      <c r="Q40" s="1001" t="s">
        <v>701</v>
      </c>
      <c r="R40" s="528">
        <f t="shared" ref="R40:S40" si="131">R382</f>
        <v>0</v>
      </c>
      <c r="S40" s="529">
        <f t="shared" si="131"/>
        <v>0</v>
      </c>
      <c r="T40" s="1001" t="s">
        <v>701</v>
      </c>
      <c r="U40" s="530">
        <f t="shared" ref="U40:V40" si="132">U382</f>
        <v>0</v>
      </c>
      <c r="V40" s="529">
        <f t="shared" si="132"/>
        <v>0</v>
      </c>
      <c r="W40" s="1001" t="s">
        <v>701</v>
      </c>
      <c r="X40" s="1001" t="s">
        <v>701</v>
      </c>
      <c r="Y40" s="529">
        <f t="shared" ref="Y40" si="133">Y382</f>
        <v>0</v>
      </c>
      <c r="Z40" s="1001" t="s">
        <v>701</v>
      </c>
      <c r="AA40" s="1098"/>
      <c r="AB40" s="1091"/>
      <c r="AC40" s="1099"/>
      <c r="AD40" s="1100">
        <f t="shared" si="125"/>
        <v>0</v>
      </c>
      <c r="AE40" s="1091"/>
      <c r="AF40" s="1091"/>
      <c r="AG40" s="1091"/>
      <c r="AH40" s="1091"/>
      <c r="AI40" s="1091"/>
      <c r="AJ40" s="1041">
        <f t="shared" si="10"/>
        <v>0</v>
      </c>
    </row>
    <row r="41" spans="4:36" ht="11.25" customHeight="1" x14ac:dyDescent="0.2">
      <c r="D41" s="1092"/>
      <c r="E41" s="1093"/>
      <c r="F41" s="1093"/>
      <c r="G41" s="1093"/>
      <c r="H41" s="1094"/>
      <c r="I41" s="1095"/>
      <c r="J41" s="1096"/>
      <c r="K41" s="1096"/>
      <c r="L41" s="1096"/>
      <c r="M41" s="1097"/>
      <c r="N41" s="528">
        <f t="shared" ref="N41:P41" si="134">N383</f>
        <v>0</v>
      </c>
      <c r="O41" s="529">
        <f t="shared" si="134"/>
        <v>0</v>
      </c>
      <c r="P41" s="529">
        <f t="shared" si="134"/>
        <v>0</v>
      </c>
      <c r="Q41" s="1001" t="s">
        <v>701</v>
      </c>
      <c r="R41" s="528">
        <f t="shared" ref="R41:S41" si="135">R383</f>
        <v>0</v>
      </c>
      <c r="S41" s="529">
        <f t="shared" si="135"/>
        <v>0</v>
      </c>
      <c r="T41" s="1001" t="s">
        <v>701</v>
      </c>
      <c r="U41" s="530">
        <f t="shared" ref="U41:V41" si="136">U383</f>
        <v>0</v>
      </c>
      <c r="V41" s="529">
        <f t="shared" si="136"/>
        <v>0</v>
      </c>
      <c r="W41" s="1001" t="s">
        <v>701</v>
      </c>
      <c r="X41" s="1001" t="s">
        <v>701</v>
      </c>
      <c r="Y41" s="529">
        <f t="shared" ref="Y41" si="137">Y383</f>
        <v>0</v>
      </c>
      <c r="Z41" s="1001" t="s">
        <v>701</v>
      </c>
      <c r="AA41" s="1098"/>
      <c r="AB41" s="1091"/>
      <c r="AC41" s="1099"/>
      <c r="AD41" s="1100">
        <f t="shared" si="125"/>
        <v>0</v>
      </c>
      <c r="AE41" s="1091"/>
      <c r="AF41" s="1091"/>
      <c r="AG41" s="1091"/>
      <c r="AH41" s="1091"/>
      <c r="AI41" s="1091"/>
      <c r="AJ41" s="1041">
        <f t="shared" si="10"/>
        <v>0</v>
      </c>
    </row>
    <row r="42" spans="4:36" ht="11.25" customHeight="1" x14ac:dyDescent="0.2">
      <c r="D42" s="1092"/>
      <c r="E42" s="1093"/>
      <c r="F42" s="1093"/>
      <c r="G42" s="1093"/>
      <c r="H42" s="1094"/>
      <c r="I42" s="1095"/>
      <c r="J42" s="1096"/>
      <c r="K42" s="1096"/>
      <c r="L42" s="1096"/>
      <c r="M42" s="1097"/>
      <c r="N42" s="528">
        <f t="shared" ref="N42:P42" si="138">N384</f>
        <v>0</v>
      </c>
      <c r="O42" s="529">
        <f t="shared" si="138"/>
        <v>0</v>
      </c>
      <c r="P42" s="529">
        <f t="shared" si="138"/>
        <v>0</v>
      </c>
      <c r="Q42" s="1001" t="s">
        <v>701</v>
      </c>
      <c r="R42" s="528">
        <f t="shared" ref="R42:S42" si="139">R384</f>
        <v>0</v>
      </c>
      <c r="S42" s="529">
        <f t="shared" si="139"/>
        <v>0</v>
      </c>
      <c r="T42" s="1001" t="s">
        <v>701</v>
      </c>
      <c r="U42" s="530">
        <f t="shared" ref="U42:V42" si="140">U384</f>
        <v>0</v>
      </c>
      <c r="V42" s="529">
        <f t="shared" si="140"/>
        <v>0</v>
      </c>
      <c r="W42" s="1001" t="s">
        <v>701</v>
      </c>
      <c r="X42" s="1001" t="s">
        <v>701</v>
      </c>
      <c r="Y42" s="529">
        <f t="shared" ref="Y42" si="141">Y384</f>
        <v>0</v>
      </c>
      <c r="Z42" s="1001" t="s">
        <v>701</v>
      </c>
      <c r="AA42" s="1098"/>
      <c r="AB42" s="1091"/>
      <c r="AC42" s="1099"/>
      <c r="AD42" s="1100">
        <f t="shared" si="125"/>
        <v>0</v>
      </c>
      <c r="AE42" s="1091"/>
      <c r="AF42" s="1091"/>
      <c r="AG42" s="1091"/>
      <c r="AH42" s="1091"/>
      <c r="AI42" s="1091"/>
      <c r="AJ42" s="1041">
        <f t="shared" si="10"/>
        <v>0</v>
      </c>
    </row>
    <row r="43" spans="4:36" ht="11.25" customHeight="1" x14ac:dyDescent="0.2">
      <c r="D43" s="1092"/>
      <c r="E43" s="1093"/>
      <c r="F43" s="1093"/>
      <c r="G43" s="1093"/>
      <c r="H43" s="1094"/>
      <c r="I43" s="1095"/>
      <c r="J43" s="1096"/>
      <c r="K43" s="1096"/>
      <c r="L43" s="1096"/>
      <c r="M43" s="1097"/>
      <c r="N43" s="528">
        <f t="shared" ref="N43:P43" si="142">N385</f>
        <v>0</v>
      </c>
      <c r="O43" s="529">
        <f t="shared" si="142"/>
        <v>0</v>
      </c>
      <c r="P43" s="529">
        <f t="shared" si="142"/>
        <v>0</v>
      </c>
      <c r="Q43" s="1001" t="s">
        <v>701</v>
      </c>
      <c r="R43" s="528">
        <f t="shared" ref="R43:S43" si="143">R385</f>
        <v>0</v>
      </c>
      <c r="S43" s="529">
        <f t="shared" si="143"/>
        <v>0</v>
      </c>
      <c r="T43" s="1001" t="s">
        <v>701</v>
      </c>
      <c r="U43" s="530">
        <f t="shared" ref="U43:V43" si="144">U385</f>
        <v>0</v>
      </c>
      <c r="V43" s="529">
        <f t="shared" si="144"/>
        <v>0</v>
      </c>
      <c r="W43" s="1001" t="s">
        <v>701</v>
      </c>
      <c r="X43" s="1001" t="s">
        <v>701</v>
      </c>
      <c r="Y43" s="529">
        <f t="shared" ref="Y43" si="145">Y385</f>
        <v>0</v>
      </c>
      <c r="Z43" s="1001" t="s">
        <v>701</v>
      </c>
      <c r="AA43" s="1098"/>
      <c r="AB43" s="1091"/>
      <c r="AC43" s="1099"/>
      <c r="AD43" s="1100">
        <f t="shared" si="125"/>
        <v>0</v>
      </c>
      <c r="AE43" s="1091"/>
      <c r="AF43" s="1091"/>
      <c r="AG43" s="1091"/>
      <c r="AH43" s="1091"/>
      <c r="AI43" s="1091"/>
      <c r="AJ43" s="1041">
        <f t="shared" si="10"/>
        <v>0</v>
      </c>
    </row>
    <row r="44" spans="4:36" ht="11.25" customHeight="1" thickBot="1" x14ac:dyDescent="0.25">
      <c r="D44" s="532" t="s">
        <v>418</v>
      </c>
      <c r="E44" s="533"/>
      <c r="F44" s="534"/>
      <c r="G44" s="535"/>
      <c r="H44" s="535"/>
      <c r="I44" s="534"/>
      <c r="J44" s="535"/>
      <c r="K44" s="535"/>
      <c r="L44" s="535"/>
      <c r="M44" s="536"/>
      <c r="N44" s="913">
        <f>SUM(N38:N43)</f>
        <v>0</v>
      </c>
      <c r="O44" s="913">
        <f t="shared" ref="O44" si="146">SUM(O38:O43)</f>
        <v>0</v>
      </c>
      <c r="P44" s="914"/>
      <c r="Q44" s="1002" t="s">
        <v>701</v>
      </c>
      <c r="R44" s="915"/>
      <c r="S44" s="916">
        <f t="shared" ref="S44" si="147">SUM(S38:S43)</f>
        <v>0</v>
      </c>
      <c r="T44" s="1003" t="s">
        <v>701</v>
      </c>
      <c r="U44" s="915"/>
      <c r="V44" s="916">
        <f t="shared" ref="V44" si="148">SUM(V38:V43)</f>
        <v>0</v>
      </c>
      <c r="W44" s="1003" t="s">
        <v>701</v>
      </c>
      <c r="X44" s="1003" t="s">
        <v>701</v>
      </c>
      <c r="Y44" s="916">
        <f t="shared" ref="Y44" si="149">SUM(Y38:Y43)</f>
        <v>0</v>
      </c>
      <c r="Z44" s="1003" t="s">
        <v>701</v>
      </c>
      <c r="AA44" s="1003" t="s">
        <v>701</v>
      </c>
      <c r="AB44" s="1004" t="s">
        <v>701</v>
      </c>
      <c r="AC44" s="1005" t="s">
        <v>701</v>
      </c>
      <c r="AD44" s="917"/>
      <c r="AE44" s="1004" t="s">
        <v>701</v>
      </c>
      <c r="AF44" s="1004" t="s">
        <v>701</v>
      </c>
      <c r="AG44" s="1004" t="s">
        <v>701</v>
      </c>
      <c r="AH44" s="1004" t="s">
        <v>701</v>
      </c>
      <c r="AI44" s="1004" t="s">
        <v>701</v>
      </c>
      <c r="AJ44" s="1042">
        <f t="shared" si="10"/>
        <v>0</v>
      </c>
    </row>
    <row r="45" spans="4:36" ht="11.25" customHeight="1" x14ac:dyDescent="0.25">
      <c r="D45" s="1092" t="str">
        <f>D387</f>
        <v>Kangaroo Valley</v>
      </c>
      <c r="E45" s="1093" t="str">
        <f t="shared" ref="E45:P45" si="150">E387</f>
        <v>Switching station</v>
      </c>
      <c r="F45" s="1093">
        <f t="shared" si="150"/>
        <v>2145</v>
      </c>
      <c r="G45" s="1093" t="str">
        <f t="shared" si="150"/>
        <v>Voltage upgrade</v>
      </c>
      <c r="H45" s="1094" t="str">
        <f t="shared" si="150"/>
        <v>Voltage issues</v>
      </c>
      <c r="I45" s="1095">
        <f t="shared" si="150"/>
        <v>330</v>
      </c>
      <c r="J45" s="1096" t="str">
        <f t="shared" si="150"/>
        <v>N/A</v>
      </c>
      <c r="K45" s="1096" t="str">
        <f t="shared" si="150"/>
        <v>N/A</v>
      </c>
      <c r="L45" s="1096" t="str">
        <f t="shared" si="150"/>
        <v>N/A</v>
      </c>
      <c r="M45" s="1097" t="str">
        <f t="shared" si="150"/>
        <v>N/A</v>
      </c>
      <c r="N45" s="522">
        <f t="shared" si="150"/>
        <v>0</v>
      </c>
      <c r="O45" s="523">
        <f t="shared" si="150"/>
        <v>0</v>
      </c>
      <c r="P45" s="524">
        <f t="shared" si="150"/>
        <v>0</v>
      </c>
      <c r="Q45" s="1000" t="s">
        <v>701</v>
      </c>
      <c r="R45" s="525" t="str">
        <f t="shared" ref="R45:S45" si="151">R387</f>
        <v>SF6</v>
      </c>
      <c r="S45" s="524">
        <f t="shared" si="151"/>
        <v>1</v>
      </c>
      <c r="T45" s="1000" t="s">
        <v>701</v>
      </c>
      <c r="U45" s="526" t="str">
        <f t="shared" ref="U45:V45" si="152">U387</f>
        <v>Shunt Reactor</v>
      </c>
      <c r="V45" s="524">
        <f t="shared" si="152"/>
        <v>1</v>
      </c>
      <c r="W45" s="1000" t="s">
        <v>701</v>
      </c>
      <c r="X45" s="1000" t="s">
        <v>701</v>
      </c>
      <c r="Y45" s="527">
        <f t="shared" ref="Y45" si="153">Y387</f>
        <v>2339.8208695652174</v>
      </c>
      <c r="Z45" s="1000" t="s">
        <v>701</v>
      </c>
      <c r="AA45" s="1098" t="s">
        <v>701</v>
      </c>
      <c r="AB45" s="1091" t="s">
        <v>701</v>
      </c>
      <c r="AC45" s="1099"/>
      <c r="AD45" s="1100">
        <f t="shared" ref="AD45:AD50" si="154">AD387</f>
        <v>0</v>
      </c>
      <c r="AE45" s="1091" t="s">
        <v>701</v>
      </c>
      <c r="AF45" s="1091" t="s">
        <v>701</v>
      </c>
      <c r="AG45" s="1091" t="s">
        <v>701</v>
      </c>
      <c r="AH45" s="1091" t="s">
        <v>701</v>
      </c>
      <c r="AI45" s="1091" t="s">
        <v>701</v>
      </c>
      <c r="AJ45" s="1040" t="str">
        <f t="shared" si="10"/>
        <v/>
      </c>
    </row>
    <row r="46" spans="4:36" ht="11.25" customHeight="1" x14ac:dyDescent="0.2">
      <c r="D46" s="1092"/>
      <c r="E46" s="1093"/>
      <c r="F46" s="1093"/>
      <c r="G46" s="1093"/>
      <c r="H46" s="1094"/>
      <c r="I46" s="1095"/>
      <c r="J46" s="1096"/>
      <c r="K46" s="1096"/>
      <c r="L46" s="1096"/>
      <c r="M46" s="1097"/>
      <c r="N46" s="528">
        <f t="shared" ref="N46:P46" si="155">N388</f>
        <v>0</v>
      </c>
      <c r="O46" s="529">
        <f t="shared" si="155"/>
        <v>0</v>
      </c>
      <c r="P46" s="529">
        <f t="shared" si="155"/>
        <v>0</v>
      </c>
      <c r="Q46" s="1001" t="s">
        <v>701</v>
      </c>
      <c r="R46" s="528" t="str">
        <f t="shared" ref="R46:S46" si="156">R388</f>
        <v>Oil/Air</v>
      </c>
      <c r="S46" s="529">
        <f t="shared" si="156"/>
        <v>4</v>
      </c>
      <c r="T46" s="1001" t="s">
        <v>701</v>
      </c>
      <c r="U46" s="530">
        <f t="shared" ref="U46:V46" si="157">U388</f>
        <v>0</v>
      </c>
      <c r="V46" s="529">
        <f t="shared" si="157"/>
        <v>0</v>
      </c>
      <c r="W46" s="1001" t="s">
        <v>701</v>
      </c>
      <c r="X46" s="1001" t="s">
        <v>701</v>
      </c>
      <c r="Y46" s="531">
        <f t="shared" ref="Y46" si="158">Y388</f>
        <v>0</v>
      </c>
      <c r="Z46" s="1001" t="s">
        <v>701</v>
      </c>
      <c r="AA46" s="1098"/>
      <c r="AB46" s="1091"/>
      <c r="AC46" s="1099"/>
      <c r="AD46" s="1100">
        <f t="shared" si="154"/>
        <v>0</v>
      </c>
      <c r="AE46" s="1091"/>
      <c r="AF46" s="1091"/>
      <c r="AG46" s="1091"/>
      <c r="AH46" s="1091"/>
      <c r="AI46" s="1091"/>
      <c r="AJ46" s="1041" t="str">
        <f t="shared" si="10"/>
        <v/>
      </c>
    </row>
    <row r="47" spans="4:36" ht="11.25" customHeight="1" x14ac:dyDescent="0.2">
      <c r="D47" s="1092"/>
      <c r="E47" s="1093"/>
      <c r="F47" s="1093"/>
      <c r="G47" s="1093"/>
      <c r="H47" s="1094"/>
      <c r="I47" s="1095"/>
      <c r="J47" s="1096"/>
      <c r="K47" s="1096"/>
      <c r="L47" s="1096"/>
      <c r="M47" s="1097"/>
      <c r="N47" s="528">
        <f t="shared" ref="N47:P47" si="159">N389</f>
        <v>0</v>
      </c>
      <c r="O47" s="529">
        <f t="shared" si="159"/>
        <v>0</v>
      </c>
      <c r="P47" s="529">
        <f t="shared" si="159"/>
        <v>0</v>
      </c>
      <c r="Q47" s="1001" t="s">
        <v>701</v>
      </c>
      <c r="R47" s="528">
        <f t="shared" ref="R47:S47" si="160">R389</f>
        <v>0</v>
      </c>
      <c r="S47" s="529">
        <f t="shared" si="160"/>
        <v>0</v>
      </c>
      <c r="T47" s="1001" t="s">
        <v>701</v>
      </c>
      <c r="U47" s="530">
        <f t="shared" ref="U47:V47" si="161">U389</f>
        <v>0</v>
      </c>
      <c r="V47" s="529">
        <f t="shared" si="161"/>
        <v>0</v>
      </c>
      <c r="W47" s="1001" t="s">
        <v>701</v>
      </c>
      <c r="X47" s="1001" t="s">
        <v>701</v>
      </c>
      <c r="Y47" s="529">
        <f t="shared" ref="Y47" si="162">Y389</f>
        <v>0</v>
      </c>
      <c r="Z47" s="1001" t="s">
        <v>701</v>
      </c>
      <c r="AA47" s="1098"/>
      <c r="AB47" s="1091"/>
      <c r="AC47" s="1099"/>
      <c r="AD47" s="1100">
        <f t="shared" si="154"/>
        <v>0</v>
      </c>
      <c r="AE47" s="1091"/>
      <c r="AF47" s="1091"/>
      <c r="AG47" s="1091"/>
      <c r="AH47" s="1091"/>
      <c r="AI47" s="1091"/>
      <c r="AJ47" s="1041" t="str">
        <f t="shared" si="10"/>
        <v/>
      </c>
    </row>
    <row r="48" spans="4:36" ht="11.25" customHeight="1" x14ac:dyDescent="0.2">
      <c r="D48" s="1092"/>
      <c r="E48" s="1093"/>
      <c r="F48" s="1093"/>
      <c r="G48" s="1093"/>
      <c r="H48" s="1094"/>
      <c r="I48" s="1095"/>
      <c r="J48" s="1096"/>
      <c r="K48" s="1096"/>
      <c r="L48" s="1096"/>
      <c r="M48" s="1097"/>
      <c r="N48" s="528">
        <f t="shared" ref="N48:P48" si="163">N390</f>
        <v>0</v>
      </c>
      <c r="O48" s="529">
        <f t="shared" si="163"/>
        <v>0</v>
      </c>
      <c r="P48" s="529">
        <f t="shared" si="163"/>
        <v>0</v>
      </c>
      <c r="Q48" s="1001" t="s">
        <v>701</v>
      </c>
      <c r="R48" s="528">
        <f t="shared" ref="R48:S48" si="164">R390</f>
        <v>0</v>
      </c>
      <c r="S48" s="529">
        <f t="shared" si="164"/>
        <v>0</v>
      </c>
      <c r="T48" s="1001" t="s">
        <v>701</v>
      </c>
      <c r="U48" s="530">
        <f t="shared" ref="U48:V48" si="165">U390</f>
        <v>0</v>
      </c>
      <c r="V48" s="529">
        <f t="shared" si="165"/>
        <v>0</v>
      </c>
      <c r="W48" s="1001" t="s">
        <v>701</v>
      </c>
      <c r="X48" s="1001" t="s">
        <v>701</v>
      </c>
      <c r="Y48" s="529">
        <f t="shared" ref="Y48" si="166">Y390</f>
        <v>0</v>
      </c>
      <c r="Z48" s="1001" t="s">
        <v>701</v>
      </c>
      <c r="AA48" s="1098"/>
      <c r="AB48" s="1091"/>
      <c r="AC48" s="1099"/>
      <c r="AD48" s="1100">
        <f t="shared" si="154"/>
        <v>0</v>
      </c>
      <c r="AE48" s="1091"/>
      <c r="AF48" s="1091"/>
      <c r="AG48" s="1091"/>
      <c r="AH48" s="1091"/>
      <c r="AI48" s="1091"/>
      <c r="AJ48" s="1041" t="str">
        <f t="shared" si="10"/>
        <v/>
      </c>
    </row>
    <row r="49" spans="4:36" ht="11.25" customHeight="1" x14ac:dyDescent="0.2">
      <c r="D49" s="1092"/>
      <c r="E49" s="1093"/>
      <c r="F49" s="1093"/>
      <c r="G49" s="1093"/>
      <c r="H49" s="1094"/>
      <c r="I49" s="1095"/>
      <c r="J49" s="1096"/>
      <c r="K49" s="1096"/>
      <c r="L49" s="1096"/>
      <c r="M49" s="1097"/>
      <c r="N49" s="528">
        <f t="shared" ref="N49:P49" si="167">N391</f>
        <v>0</v>
      </c>
      <c r="O49" s="529">
        <f t="shared" si="167"/>
        <v>0</v>
      </c>
      <c r="P49" s="529">
        <f t="shared" si="167"/>
        <v>0</v>
      </c>
      <c r="Q49" s="1001" t="s">
        <v>701</v>
      </c>
      <c r="R49" s="528">
        <f t="shared" ref="R49:S49" si="168">R391</f>
        <v>0</v>
      </c>
      <c r="S49" s="529">
        <f t="shared" si="168"/>
        <v>0</v>
      </c>
      <c r="T49" s="1001" t="s">
        <v>701</v>
      </c>
      <c r="U49" s="530">
        <f t="shared" ref="U49:V49" si="169">U391</f>
        <v>0</v>
      </c>
      <c r="V49" s="529">
        <f t="shared" si="169"/>
        <v>0</v>
      </c>
      <c r="W49" s="1001" t="s">
        <v>701</v>
      </c>
      <c r="X49" s="1001" t="s">
        <v>701</v>
      </c>
      <c r="Y49" s="529">
        <f t="shared" ref="Y49" si="170">Y391</f>
        <v>0</v>
      </c>
      <c r="Z49" s="1001" t="s">
        <v>701</v>
      </c>
      <c r="AA49" s="1098"/>
      <c r="AB49" s="1091"/>
      <c r="AC49" s="1099"/>
      <c r="AD49" s="1100">
        <f t="shared" si="154"/>
        <v>0</v>
      </c>
      <c r="AE49" s="1091"/>
      <c r="AF49" s="1091"/>
      <c r="AG49" s="1091"/>
      <c r="AH49" s="1091"/>
      <c r="AI49" s="1091"/>
      <c r="AJ49" s="1041" t="str">
        <f t="shared" si="10"/>
        <v/>
      </c>
    </row>
    <row r="50" spans="4:36" ht="11.25" customHeight="1" x14ac:dyDescent="0.2">
      <c r="D50" s="1092"/>
      <c r="E50" s="1093"/>
      <c r="F50" s="1093"/>
      <c r="G50" s="1093"/>
      <c r="H50" s="1094"/>
      <c r="I50" s="1095"/>
      <c r="J50" s="1096"/>
      <c r="K50" s="1096"/>
      <c r="L50" s="1096"/>
      <c r="M50" s="1097"/>
      <c r="N50" s="528">
        <f t="shared" ref="N50:P50" si="171">N392</f>
        <v>0</v>
      </c>
      <c r="O50" s="529">
        <f t="shared" si="171"/>
        <v>0</v>
      </c>
      <c r="P50" s="529">
        <f t="shared" si="171"/>
        <v>0</v>
      </c>
      <c r="Q50" s="1001" t="s">
        <v>701</v>
      </c>
      <c r="R50" s="528">
        <f t="shared" ref="R50:S50" si="172">R392</f>
        <v>0</v>
      </c>
      <c r="S50" s="529">
        <f t="shared" si="172"/>
        <v>0</v>
      </c>
      <c r="T50" s="1001" t="s">
        <v>701</v>
      </c>
      <c r="U50" s="530">
        <f t="shared" ref="U50:V50" si="173">U392</f>
        <v>0</v>
      </c>
      <c r="V50" s="529">
        <f t="shared" si="173"/>
        <v>0</v>
      </c>
      <c r="W50" s="1001" t="s">
        <v>701</v>
      </c>
      <c r="X50" s="1001" t="s">
        <v>701</v>
      </c>
      <c r="Y50" s="529">
        <f t="shared" ref="Y50" si="174">Y392</f>
        <v>0</v>
      </c>
      <c r="Z50" s="1001" t="s">
        <v>701</v>
      </c>
      <c r="AA50" s="1098"/>
      <c r="AB50" s="1091"/>
      <c r="AC50" s="1099"/>
      <c r="AD50" s="1100">
        <f t="shared" si="154"/>
        <v>0</v>
      </c>
      <c r="AE50" s="1091"/>
      <c r="AF50" s="1091"/>
      <c r="AG50" s="1091"/>
      <c r="AH50" s="1091"/>
      <c r="AI50" s="1091"/>
      <c r="AJ50" s="1041" t="str">
        <f t="shared" si="10"/>
        <v/>
      </c>
    </row>
    <row r="51" spans="4:36" ht="11.25" customHeight="1" thickBot="1" x14ac:dyDescent="0.25">
      <c r="D51" s="532" t="s">
        <v>418</v>
      </c>
      <c r="E51" s="533"/>
      <c r="F51" s="534"/>
      <c r="G51" s="535"/>
      <c r="H51" s="535"/>
      <c r="I51" s="534"/>
      <c r="J51" s="535"/>
      <c r="K51" s="535"/>
      <c r="L51" s="535"/>
      <c r="M51" s="536"/>
      <c r="N51" s="913">
        <f>SUM(N45:N50)</f>
        <v>0</v>
      </c>
      <c r="O51" s="913">
        <f t="shared" ref="O51" si="175">SUM(O45:O50)</f>
        <v>0</v>
      </c>
      <c r="P51" s="914"/>
      <c r="Q51" s="1002" t="s">
        <v>701</v>
      </c>
      <c r="R51" s="915"/>
      <c r="S51" s="916">
        <f t="shared" ref="S51" si="176">SUM(S45:S50)</f>
        <v>5</v>
      </c>
      <c r="T51" s="1003" t="s">
        <v>701</v>
      </c>
      <c r="U51" s="915"/>
      <c r="V51" s="916">
        <f t="shared" ref="V51" si="177">SUM(V45:V50)</f>
        <v>1</v>
      </c>
      <c r="W51" s="1003" t="s">
        <v>701</v>
      </c>
      <c r="X51" s="1003" t="s">
        <v>701</v>
      </c>
      <c r="Y51" s="916">
        <f t="shared" ref="Y51" si="178">SUM(Y45:Y50)</f>
        <v>2339.8208695652174</v>
      </c>
      <c r="Z51" s="1003" t="s">
        <v>701</v>
      </c>
      <c r="AA51" s="1003" t="s">
        <v>701</v>
      </c>
      <c r="AB51" s="1004" t="s">
        <v>701</v>
      </c>
      <c r="AC51" s="1005" t="s">
        <v>701</v>
      </c>
      <c r="AD51" s="917"/>
      <c r="AE51" s="1004" t="s">
        <v>701</v>
      </c>
      <c r="AF51" s="1004" t="s">
        <v>701</v>
      </c>
      <c r="AG51" s="1004" t="s">
        <v>701</v>
      </c>
      <c r="AH51" s="1004" t="s">
        <v>701</v>
      </c>
      <c r="AI51" s="1004" t="s">
        <v>701</v>
      </c>
      <c r="AJ51" s="1042" t="str">
        <f t="shared" si="10"/>
        <v/>
      </c>
    </row>
    <row r="52" spans="4:36" ht="11.25" customHeight="1" x14ac:dyDescent="0.25">
      <c r="D52" s="1092" t="str">
        <f>D394</f>
        <v>Darlington Point</v>
      </c>
      <c r="E52" s="1093" t="str">
        <f t="shared" ref="E52:P52" si="179">E394</f>
        <v>Transmission substation</v>
      </c>
      <c r="F52" s="1093">
        <f t="shared" si="179"/>
        <v>2145</v>
      </c>
      <c r="G52" s="1093" t="str">
        <f t="shared" si="179"/>
        <v>Voltage upgrade</v>
      </c>
      <c r="H52" s="1094" t="str">
        <f t="shared" si="179"/>
        <v>Voltage issues</v>
      </c>
      <c r="I52" s="1095" t="str">
        <f t="shared" si="179"/>
        <v>330/132</v>
      </c>
      <c r="J52" s="1096">
        <f t="shared" si="179"/>
        <v>960</v>
      </c>
      <c r="K52" s="1096">
        <f t="shared" si="179"/>
        <v>960</v>
      </c>
      <c r="L52" s="1096">
        <f t="shared" si="179"/>
        <v>680</v>
      </c>
      <c r="M52" s="1097">
        <f t="shared" si="179"/>
        <v>680</v>
      </c>
      <c r="N52" s="522">
        <f t="shared" si="179"/>
        <v>0</v>
      </c>
      <c r="O52" s="523">
        <f t="shared" si="179"/>
        <v>0</v>
      </c>
      <c r="P52" s="524">
        <f t="shared" si="179"/>
        <v>0</v>
      </c>
      <c r="Q52" s="1000" t="s">
        <v>701</v>
      </c>
      <c r="R52" s="525" t="str">
        <f t="shared" ref="R52:S52" si="180">R394</f>
        <v>SF6</v>
      </c>
      <c r="S52" s="524">
        <f t="shared" si="180"/>
        <v>2</v>
      </c>
      <c r="T52" s="1000" t="s">
        <v>701</v>
      </c>
      <c r="U52" s="526" t="str">
        <f t="shared" ref="U52:V52" si="181">U394</f>
        <v>Shunt Reactors</v>
      </c>
      <c r="V52" s="524">
        <f t="shared" si="181"/>
        <v>2</v>
      </c>
      <c r="W52" s="1000" t="s">
        <v>701</v>
      </c>
      <c r="X52" s="1000" t="s">
        <v>701</v>
      </c>
      <c r="Y52" s="527">
        <f t="shared" ref="Y52" si="182">Y394</f>
        <v>2609.13900621118</v>
      </c>
      <c r="Z52" s="1000" t="s">
        <v>701</v>
      </c>
      <c r="AA52" s="1098" t="s">
        <v>701</v>
      </c>
      <c r="AB52" s="1091" t="s">
        <v>701</v>
      </c>
      <c r="AC52" s="1099"/>
      <c r="AD52" s="1100">
        <f t="shared" ref="AD52:AD57" si="183">AD394</f>
        <v>0</v>
      </c>
      <c r="AE52" s="1091" t="s">
        <v>701</v>
      </c>
      <c r="AF52" s="1091" t="s">
        <v>701</v>
      </c>
      <c r="AG52" s="1091" t="s">
        <v>701</v>
      </c>
      <c r="AH52" s="1091" t="s">
        <v>701</v>
      </c>
      <c r="AI52" s="1091" t="s">
        <v>701</v>
      </c>
      <c r="AJ52" s="1040" t="str">
        <f t="shared" si="10"/>
        <v/>
      </c>
    </row>
    <row r="53" spans="4:36" ht="11.25" customHeight="1" x14ac:dyDescent="0.2">
      <c r="D53" s="1092"/>
      <c r="E53" s="1093"/>
      <c r="F53" s="1093"/>
      <c r="G53" s="1093"/>
      <c r="H53" s="1094"/>
      <c r="I53" s="1095"/>
      <c r="J53" s="1096"/>
      <c r="K53" s="1096"/>
      <c r="L53" s="1096"/>
      <c r="M53" s="1097"/>
      <c r="N53" s="528">
        <f t="shared" ref="N53:P53" si="184">N395</f>
        <v>0</v>
      </c>
      <c r="O53" s="529">
        <f t="shared" si="184"/>
        <v>0</v>
      </c>
      <c r="P53" s="529">
        <f t="shared" si="184"/>
        <v>0</v>
      </c>
      <c r="Q53" s="1001" t="s">
        <v>701</v>
      </c>
      <c r="R53" s="528" t="str">
        <f t="shared" ref="R53:S53" si="185">R395</f>
        <v>Oil/Air</v>
      </c>
      <c r="S53" s="529">
        <f t="shared" si="185"/>
        <v>8</v>
      </c>
      <c r="T53" s="1001" t="s">
        <v>701</v>
      </c>
      <c r="U53" s="530">
        <f t="shared" ref="U53:V53" si="186">U395</f>
        <v>0</v>
      </c>
      <c r="V53" s="529">
        <f t="shared" si="186"/>
        <v>0</v>
      </c>
      <c r="W53" s="1001" t="s">
        <v>701</v>
      </c>
      <c r="X53" s="1001" t="s">
        <v>701</v>
      </c>
      <c r="Y53" s="531">
        <f t="shared" ref="Y53" si="187">Y395</f>
        <v>0</v>
      </c>
      <c r="Z53" s="1001" t="s">
        <v>701</v>
      </c>
      <c r="AA53" s="1098"/>
      <c r="AB53" s="1091"/>
      <c r="AC53" s="1099"/>
      <c r="AD53" s="1100">
        <f t="shared" si="183"/>
        <v>0</v>
      </c>
      <c r="AE53" s="1091"/>
      <c r="AF53" s="1091"/>
      <c r="AG53" s="1091"/>
      <c r="AH53" s="1091"/>
      <c r="AI53" s="1091"/>
      <c r="AJ53" s="1041" t="str">
        <f t="shared" si="10"/>
        <v/>
      </c>
    </row>
    <row r="54" spans="4:36" ht="11.25" customHeight="1" x14ac:dyDescent="0.2">
      <c r="D54" s="1092"/>
      <c r="E54" s="1093"/>
      <c r="F54" s="1093"/>
      <c r="G54" s="1093"/>
      <c r="H54" s="1094"/>
      <c r="I54" s="1095"/>
      <c r="J54" s="1096"/>
      <c r="K54" s="1096"/>
      <c r="L54" s="1096"/>
      <c r="M54" s="1097"/>
      <c r="N54" s="528">
        <f t="shared" ref="N54:P54" si="188">N396</f>
        <v>0</v>
      </c>
      <c r="O54" s="529">
        <f t="shared" si="188"/>
        <v>0</v>
      </c>
      <c r="P54" s="529">
        <f t="shared" si="188"/>
        <v>0</v>
      </c>
      <c r="Q54" s="1001" t="s">
        <v>701</v>
      </c>
      <c r="R54" s="528">
        <f t="shared" ref="R54:S54" si="189">R396</f>
        <v>0</v>
      </c>
      <c r="S54" s="529">
        <f t="shared" si="189"/>
        <v>0</v>
      </c>
      <c r="T54" s="1001" t="s">
        <v>701</v>
      </c>
      <c r="U54" s="530">
        <f t="shared" ref="U54:V54" si="190">U396</f>
        <v>0</v>
      </c>
      <c r="V54" s="529">
        <f t="shared" si="190"/>
        <v>0</v>
      </c>
      <c r="W54" s="1001" t="s">
        <v>701</v>
      </c>
      <c r="X54" s="1001" t="s">
        <v>701</v>
      </c>
      <c r="Y54" s="529">
        <f t="shared" ref="Y54" si="191">Y396</f>
        <v>0</v>
      </c>
      <c r="Z54" s="1001" t="s">
        <v>701</v>
      </c>
      <c r="AA54" s="1098"/>
      <c r="AB54" s="1091"/>
      <c r="AC54" s="1099"/>
      <c r="AD54" s="1100">
        <f t="shared" si="183"/>
        <v>0</v>
      </c>
      <c r="AE54" s="1091"/>
      <c r="AF54" s="1091"/>
      <c r="AG54" s="1091"/>
      <c r="AH54" s="1091"/>
      <c r="AI54" s="1091"/>
      <c r="AJ54" s="1041" t="str">
        <f t="shared" si="10"/>
        <v/>
      </c>
    </row>
    <row r="55" spans="4:36" ht="11.25" customHeight="1" x14ac:dyDescent="0.2">
      <c r="D55" s="1092"/>
      <c r="E55" s="1093"/>
      <c r="F55" s="1093"/>
      <c r="G55" s="1093"/>
      <c r="H55" s="1094"/>
      <c r="I55" s="1095"/>
      <c r="J55" s="1096"/>
      <c r="K55" s="1096"/>
      <c r="L55" s="1096"/>
      <c r="M55" s="1097"/>
      <c r="N55" s="528">
        <f t="shared" ref="N55:P55" si="192">N397</f>
        <v>0</v>
      </c>
      <c r="O55" s="529">
        <f t="shared" si="192"/>
        <v>0</v>
      </c>
      <c r="P55" s="529">
        <f t="shared" si="192"/>
        <v>0</v>
      </c>
      <c r="Q55" s="1001" t="s">
        <v>701</v>
      </c>
      <c r="R55" s="528">
        <f t="shared" ref="R55:S55" si="193">R397</f>
        <v>0</v>
      </c>
      <c r="S55" s="529">
        <f t="shared" si="193"/>
        <v>0</v>
      </c>
      <c r="T55" s="1001" t="s">
        <v>701</v>
      </c>
      <c r="U55" s="530">
        <f t="shared" ref="U55:V55" si="194">U397</f>
        <v>0</v>
      </c>
      <c r="V55" s="529">
        <f t="shared" si="194"/>
        <v>0</v>
      </c>
      <c r="W55" s="1001" t="s">
        <v>701</v>
      </c>
      <c r="X55" s="1001" t="s">
        <v>701</v>
      </c>
      <c r="Y55" s="529">
        <f t="shared" ref="Y55" si="195">Y397</f>
        <v>0</v>
      </c>
      <c r="Z55" s="1001" t="s">
        <v>701</v>
      </c>
      <c r="AA55" s="1098"/>
      <c r="AB55" s="1091"/>
      <c r="AC55" s="1099"/>
      <c r="AD55" s="1100">
        <f t="shared" si="183"/>
        <v>0</v>
      </c>
      <c r="AE55" s="1091"/>
      <c r="AF55" s="1091"/>
      <c r="AG55" s="1091"/>
      <c r="AH55" s="1091"/>
      <c r="AI55" s="1091"/>
      <c r="AJ55" s="1041" t="str">
        <f t="shared" si="10"/>
        <v/>
      </c>
    </row>
    <row r="56" spans="4:36" ht="11.25" customHeight="1" x14ac:dyDescent="0.2">
      <c r="D56" s="1092"/>
      <c r="E56" s="1093"/>
      <c r="F56" s="1093"/>
      <c r="G56" s="1093"/>
      <c r="H56" s="1094"/>
      <c r="I56" s="1095"/>
      <c r="J56" s="1096"/>
      <c r="K56" s="1096"/>
      <c r="L56" s="1096"/>
      <c r="M56" s="1097"/>
      <c r="N56" s="528">
        <f t="shared" ref="N56:P56" si="196">N398</f>
        <v>0</v>
      </c>
      <c r="O56" s="529">
        <f t="shared" si="196"/>
        <v>0</v>
      </c>
      <c r="P56" s="529">
        <f t="shared" si="196"/>
        <v>0</v>
      </c>
      <c r="Q56" s="1001" t="s">
        <v>701</v>
      </c>
      <c r="R56" s="528">
        <f t="shared" ref="R56:S56" si="197">R398</f>
        <v>0</v>
      </c>
      <c r="S56" s="529">
        <f t="shared" si="197"/>
        <v>0</v>
      </c>
      <c r="T56" s="1001" t="s">
        <v>701</v>
      </c>
      <c r="U56" s="530">
        <f t="shared" ref="U56:V56" si="198">U398</f>
        <v>0</v>
      </c>
      <c r="V56" s="529">
        <f t="shared" si="198"/>
        <v>0</v>
      </c>
      <c r="W56" s="1001" t="s">
        <v>701</v>
      </c>
      <c r="X56" s="1001" t="s">
        <v>701</v>
      </c>
      <c r="Y56" s="529">
        <f t="shared" ref="Y56" si="199">Y398</f>
        <v>0</v>
      </c>
      <c r="Z56" s="1001" t="s">
        <v>701</v>
      </c>
      <c r="AA56" s="1098"/>
      <c r="AB56" s="1091"/>
      <c r="AC56" s="1099"/>
      <c r="AD56" s="1100">
        <f t="shared" si="183"/>
        <v>0</v>
      </c>
      <c r="AE56" s="1091"/>
      <c r="AF56" s="1091"/>
      <c r="AG56" s="1091"/>
      <c r="AH56" s="1091"/>
      <c r="AI56" s="1091"/>
      <c r="AJ56" s="1041" t="str">
        <f t="shared" si="10"/>
        <v/>
      </c>
    </row>
    <row r="57" spans="4:36" ht="11.25" customHeight="1" x14ac:dyDescent="0.2">
      <c r="D57" s="1092"/>
      <c r="E57" s="1093"/>
      <c r="F57" s="1093"/>
      <c r="G57" s="1093"/>
      <c r="H57" s="1094"/>
      <c r="I57" s="1095"/>
      <c r="J57" s="1096"/>
      <c r="K57" s="1096"/>
      <c r="L57" s="1096"/>
      <c r="M57" s="1097"/>
      <c r="N57" s="528">
        <f t="shared" ref="N57:P57" si="200">N399</f>
        <v>0</v>
      </c>
      <c r="O57" s="529">
        <f t="shared" si="200"/>
        <v>0</v>
      </c>
      <c r="P57" s="529">
        <f t="shared" si="200"/>
        <v>0</v>
      </c>
      <c r="Q57" s="1001" t="s">
        <v>701</v>
      </c>
      <c r="R57" s="528">
        <f t="shared" ref="R57:S57" si="201">R399</f>
        <v>0</v>
      </c>
      <c r="S57" s="529">
        <f t="shared" si="201"/>
        <v>0</v>
      </c>
      <c r="T57" s="1001" t="s">
        <v>701</v>
      </c>
      <c r="U57" s="530">
        <f t="shared" ref="U57:V57" si="202">U399</f>
        <v>0</v>
      </c>
      <c r="V57" s="529">
        <f t="shared" si="202"/>
        <v>0</v>
      </c>
      <c r="W57" s="1001" t="s">
        <v>701</v>
      </c>
      <c r="X57" s="1001" t="s">
        <v>701</v>
      </c>
      <c r="Y57" s="529">
        <f t="shared" ref="Y57" si="203">Y399</f>
        <v>0</v>
      </c>
      <c r="Z57" s="1001" t="s">
        <v>701</v>
      </c>
      <c r="AA57" s="1098"/>
      <c r="AB57" s="1091"/>
      <c r="AC57" s="1099"/>
      <c r="AD57" s="1100">
        <f t="shared" si="183"/>
        <v>0</v>
      </c>
      <c r="AE57" s="1091"/>
      <c r="AF57" s="1091"/>
      <c r="AG57" s="1091"/>
      <c r="AH57" s="1091"/>
      <c r="AI57" s="1091"/>
      <c r="AJ57" s="1041" t="str">
        <f t="shared" si="10"/>
        <v/>
      </c>
    </row>
    <row r="58" spans="4:36" ht="11.25" customHeight="1" thickBot="1" x14ac:dyDescent="0.25">
      <c r="D58" s="532" t="s">
        <v>418</v>
      </c>
      <c r="E58" s="533"/>
      <c r="F58" s="534"/>
      <c r="G58" s="535"/>
      <c r="H58" s="535"/>
      <c r="I58" s="534"/>
      <c r="J58" s="535"/>
      <c r="K58" s="535"/>
      <c r="L58" s="535"/>
      <c r="M58" s="536"/>
      <c r="N58" s="913">
        <f>SUM(N52:N57)</f>
        <v>0</v>
      </c>
      <c r="O58" s="913">
        <f t="shared" ref="O58" si="204">SUM(O52:O57)</f>
        <v>0</v>
      </c>
      <c r="P58" s="914"/>
      <c r="Q58" s="1002" t="s">
        <v>701</v>
      </c>
      <c r="R58" s="915"/>
      <c r="S58" s="916">
        <f t="shared" ref="S58" si="205">SUM(S52:S57)</f>
        <v>10</v>
      </c>
      <c r="T58" s="1003" t="s">
        <v>701</v>
      </c>
      <c r="U58" s="915"/>
      <c r="V58" s="916">
        <f t="shared" ref="V58" si="206">SUM(V52:V57)</f>
        <v>2</v>
      </c>
      <c r="W58" s="1003" t="s">
        <v>701</v>
      </c>
      <c r="X58" s="1003" t="s">
        <v>701</v>
      </c>
      <c r="Y58" s="916">
        <f t="shared" ref="Y58" si="207">SUM(Y52:Y57)</f>
        <v>2609.13900621118</v>
      </c>
      <c r="Z58" s="1003" t="s">
        <v>701</v>
      </c>
      <c r="AA58" s="1003" t="s">
        <v>701</v>
      </c>
      <c r="AB58" s="1004" t="s">
        <v>701</v>
      </c>
      <c r="AC58" s="1005" t="s">
        <v>701</v>
      </c>
      <c r="AD58" s="917"/>
      <c r="AE58" s="1004" t="s">
        <v>701</v>
      </c>
      <c r="AF58" s="1004" t="s">
        <v>701</v>
      </c>
      <c r="AG58" s="1004" t="s">
        <v>701</v>
      </c>
      <c r="AH58" s="1004" t="s">
        <v>701</v>
      </c>
      <c r="AI58" s="1004" t="s">
        <v>701</v>
      </c>
      <c r="AJ58" s="1042" t="str">
        <f t="shared" si="10"/>
        <v/>
      </c>
    </row>
    <row r="59" spans="4:36" ht="11.25" customHeight="1" x14ac:dyDescent="0.25">
      <c r="D59" s="1092" t="str">
        <f>D401</f>
        <v>Balranald</v>
      </c>
      <c r="E59" s="1093" t="str">
        <f t="shared" ref="E59:P59" si="208">E401</f>
        <v>Transmission substation</v>
      </c>
      <c r="F59" s="1093">
        <f t="shared" si="208"/>
        <v>2145</v>
      </c>
      <c r="G59" s="1093" t="str">
        <f t="shared" si="208"/>
        <v>Voltage upgrade</v>
      </c>
      <c r="H59" s="1094" t="str">
        <f t="shared" si="208"/>
        <v>Voltage issues</v>
      </c>
      <c r="I59" s="1095" t="str">
        <f t="shared" si="208"/>
        <v>220/22</v>
      </c>
      <c r="J59" s="1096">
        <f t="shared" si="208"/>
        <v>30</v>
      </c>
      <c r="K59" s="1096">
        <f t="shared" si="208"/>
        <v>30</v>
      </c>
      <c r="L59" s="1096">
        <f t="shared" si="208"/>
        <v>0</v>
      </c>
      <c r="M59" s="1097">
        <f t="shared" si="208"/>
        <v>0</v>
      </c>
      <c r="N59" s="522">
        <f t="shared" si="208"/>
        <v>0</v>
      </c>
      <c r="O59" s="523">
        <f t="shared" si="208"/>
        <v>0</v>
      </c>
      <c r="P59" s="524">
        <f t="shared" si="208"/>
        <v>0</v>
      </c>
      <c r="Q59" s="1000" t="s">
        <v>701</v>
      </c>
      <c r="R59" s="525" t="str">
        <f t="shared" ref="R59:S59" si="209">R401</f>
        <v>SF6</v>
      </c>
      <c r="S59" s="524">
        <f t="shared" si="209"/>
        <v>1</v>
      </c>
      <c r="T59" s="1000" t="s">
        <v>701</v>
      </c>
      <c r="U59" s="526" t="str">
        <f t="shared" ref="U59:V59" si="210">U401</f>
        <v>Shunt Reactor</v>
      </c>
      <c r="V59" s="524">
        <f t="shared" si="210"/>
        <v>1</v>
      </c>
      <c r="W59" s="1000" t="s">
        <v>701</v>
      </c>
      <c r="X59" s="1000" t="s">
        <v>701</v>
      </c>
      <c r="Y59" s="527">
        <f t="shared" ref="Y59" si="211">Y401</f>
        <v>1787.56</v>
      </c>
      <c r="Z59" s="1000" t="s">
        <v>701</v>
      </c>
      <c r="AA59" s="1098" t="s">
        <v>701</v>
      </c>
      <c r="AB59" s="1091" t="s">
        <v>701</v>
      </c>
      <c r="AC59" s="1099"/>
      <c r="AD59" s="1100">
        <f t="shared" ref="AD59:AD64" si="212">AD401</f>
        <v>0</v>
      </c>
      <c r="AE59" s="1091" t="s">
        <v>701</v>
      </c>
      <c r="AF59" s="1091" t="s">
        <v>701</v>
      </c>
      <c r="AG59" s="1091" t="s">
        <v>701</v>
      </c>
      <c r="AH59" s="1091" t="s">
        <v>701</v>
      </c>
      <c r="AI59" s="1091" t="s">
        <v>701</v>
      </c>
      <c r="AJ59" s="1040" t="str">
        <f t="shared" si="10"/>
        <v/>
      </c>
    </row>
    <row r="60" spans="4:36" ht="11.25" customHeight="1" x14ac:dyDescent="0.2">
      <c r="D60" s="1092"/>
      <c r="E60" s="1093"/>
      <c r="F60" s="1093"/>
      <c r="G60" s="1093"/>
      <c r="H60" s="1094"/>
      <c r="I60" s="1095"/>
      <c r="J60" s="1096"/>
      <c r="K60" s="1096"/>
      <c r="L60" s="1096"/>
      <c r="M60" s="1097"/>
      <c r="N60" s="528">
        <f t="shared" ref="N60:P60" si="213">N402</f>
        <v>0</v>
      </c>
      <c r="O60" s="529">
        <f t="shared" si="213"/>
        <v>0</v>
      </c>
      <c r="P60" s="529">
        <f t="shared" si="213"/>
        <v>0</v>
      </c>
      <c r="Q60" s="1001" t="s">
        <v>701</v>
      </c>
      <c r="R60" s="528" t="str">
        <f t="shared" ref="R60:S60" si="214">R402</f>
        <v>Oil/Air</v>
      </c>
      <c r="S60" s="529">
        <f t="shared" si="214"/>
        <v>4</v>
      </c>
      <c r="T60" s="1001" t="s">
        <v>701</v>
      </c>
      <c r="U60" s="530">
        <f t="shared" ref="U60:V60" si="215">U402</f>
        <v>0</v>
      </c>
      <c r="V60" s="529">
        <f t="shared" si="215"/>
        <v>0</v>
      </c>
      <c r="W60" s="1001" t="s">
        <v>701</v>
      </c>
      <c r="X60" s="1001" t="s">
        <v>701</v>
      </c>
      <c r="Y60" s="531">
        <f t="shared" ref="Y60" si="216">Y402</f>
        <v>0</v>
      </c>
      <c r="Z60" s="1001" t="s">
        <v>701</v>
      </c>
      <c r="AA60" s="1098"/>
      <c r="AB60" s="1091"/>
      <c r="AC60" s="1099"/>
      <c r="AD60" s="1100">
        <f t="shared" si="212"/>
        <v>0</v>
      </c>
      <c r="AE60" s="1091"/>
      <c r="AF60" s="1091"/>
      <c r="AG60" s="1091"/>
      <c r="AH60" s="1091"/>
      <c r="AI60" s="1091"/>
      <c r="AJ60" s="1041" t="str">
        <f t="shared" si="10"/>
        <v/>
      </c>
    </row>
    <row r="61" spans="4:36" ht="11.25" customHeight="1" x14ac:dyDescent="0.2">
      <c r="D61" s="1092"/>
      <c r="E61" s="1093"/>
      <c r="F61" s="1093"/>
      <c r="G61" s="1093"/>
      <c r="H61" s="1094"/>
      <c r="I61" s="1095"/>
      <c r="J61" s="1096"/>
      <c r="K61" s="1096"/>
      <c r="L61" s="1096"/>
      <c r="M61" s="1097"/>
      <c r="N61" s="528">
        <f t="shared" ref="N61:P61" si="217">N403</f>
        <v>0</v>
      </c>
      <c r="O61" s="529">
        <f t="shared" si="217"/>
        <v>0</v>
      </c>
      <c r="P61" s="529">
        <f t="shared" si="217"/>
        <v>0</v>
      </c>
      <c r="Q61" s="1001" t="s">
        <v>701</v>
      </c>
      <c r="R61" s="528">
        <f t="shared" ref="R61:S61" si="218">R403</f>
        <v>0</v>
      </c>
      <c r="S61" s="529">
        <f t="shared" si="218"/>
        <v>0</v>
      </c>
      <c r="T61" s="1001" t="s">
        <v>701</v>
      </c>
      <c r="U61" s="530">
        <f t="shared" ref="U61:V61" si="219">U403</f>
        <v>0</v>
      </c>
      <c r="V61" s="529">
        <f t="shared" si="219"/>
        <v>0</v>
      </c>
      <c r="W61" s="1001" t="s">
        <v>701</v>
      </c>
      <c r="X61" s="1001" t="s">
        <v>701</v>
      </c>
      <c r="Y61" s="529">
        <f t="shared" ref="Y61" si="220">Y403</f>
        <v>0</v>
      </c>
      <c r="Z61" s="1001" t="s">
        <v>701</v>
      </c>
      <c r="AA61" s="1098"/>
      <c r="AB61" s="1091"/>
      <c r="AC61" s="1099"/>
      <c r="AD61" s="1100">
        <f t="shared" si="212"/>
        <v>0</v>
      </c>
      <c r="AE61" s="1091"/>
      <c r="AF61" s="1091"/>
      <c r="AG61" s="1091"/>
      <c r="AH61" s="1091"/>
      <c r="AI61" s="1091"/>
      <c r="AJ61" s="1041" t="str">
        <f t="shared" si="10"/>
        <v/>
      </c>
    </row>
    <row r="62" spans="4:36" ht="11.25" customHeight="1" x14ac:dyDescent="0.2">
      <c r="D62" s="1092"/>
      <c r="E62" s="1093"/>
      <c r="F62" s="1093"/>
      <c r="G62" s="1093"/>
      <c r="H62" s="1094"/>
      <c r="I62" s="1095"/>
      <c r="J62" s="1096"/>
      <c r="K62" s="1096"/>
      <c r="L62" s="1096"/>
      <c r="M62" s="1097"/>
      <c r="N62" s="528">
        <f t="shared" ref="N62:P62" si="221">N404</f>
        <v>0</v>
      </c>
      <c r="O62" s="529">
        <f t="shared" si="221"/>
        <v>0</v>
      </c>
      <c r="P62" s="529">
        <f t="shared" si="221"/>
        <v>0</v>
      </c>
      <c r="Q62" s="1001" t="s">
        <v>701</v>
      </c>
      <c r="R62" s="528">
        <f t="shared" ref="R62:S62" si="222">R404</f>
        <v>0</v>
      </c>
      <c r="S62" s="529">
        <f t="shared" si="222"/>
        <v>0</v>
      </c>
      <c r="T62" s="1001" t="s">
        <v>701</v>
      </c>
      <c r="U62" s="530">
        <f t="shared" ref="U62:V62" si="223">U404</f>
        <v>0</v>
      </c>
      <c r="V62" s="529">
        <f t="shared" si="223"/>
        <v>0</v>
      </c>
      <c r="W62" s="1001" t="s">
        <v>701</v>
      </c>
      <c r="X62" s="1001" t="s">
        <v>701</v>
      </c>
      <c r="Y62" s="529">
        <f t="shared" ref="Y62" si="224">Y404</f>
        <v>0</v>
      </c>
      <c r="Z62" s="1001" t="s">
        <v>701</v>
      </c>
      <c r="AA62" s="1098"/>
      <c r="AB62" s="1091"/>
      <c r="AC62" s="1099"/>
      <c r="AD62" s="1100">
        <f t="shared" si="212"/>
        <v>0</v>
      </c>
      <c r="AE62" s="1091"/>
      <c r="AF62" s="1091"/>
      <c r="AG62" s="1091"/>
      <c r="AH62" s="1091"/>
      <c r="AI62" s="1091"/>
      <c r="AJ62" s="1041" t="str">
        <f t="shared" si="10"/>
        <v/>
      </c>
    </row>
    <row r="63" spans="4:36" ht="11.25" customHeight="1" x14ac:dyDescent="0.2">
      <c r="D63" s="1092"/>
      <c r="E63" s="1093"/>
      <c r="F63" s="1093"/>
      <c r="G63" s="1093"/>
      <c r="H63" s="1094"/>
      <c r="I63" s="1095"/>
      <c r="J63" s="1096"/>
      <c r="K63" s="1096"/>
      <c r="L63" s="1096"/>
      <c r="M63" s="1097"/>
      <c r="N63" s="528">
        <f t="shared" ref="N63:P63" si="225">N405</f>
        <v>0</v>
      </c>
      <c r="O63" s="529">
        <f t="shared" si="225"/>
        <v>0</v>
      </c>
      <c r="P63" s="529">
        <f t="shared" si="225"/>
        <v>0</v>
      </c>
      <c r="Q63" s="1001" t="s">
        <v>701</v>
      </c>
      <c r="R63" s="528">
        <f t="shared" ref="R63:S63" si="226">R405</f>
        <v>0</v>
      </c>
      <c r="S63" s="529">
        <f t="shared" si="226"/>
        <v>0</v>
      </c>
      <c r="T63" s="1001" t="s">
        <v>701</v>
      </c>
      <c r="U63" s="530">
        <f t="shared" ref="U63:V63" si="227">U405</f>
        <v>0</v>
      </c>
      <c r="V63" s="529">
        <f t="shared" si="227"/>
        <v>0</v>
      </c>
      <c r="W63" s="1001" t="s">
        <v>701</v>
      </c>
      <c r="X63" s="1001" t="s">
        <v>701</v>
      </c>
      <c r="Y63" s="529">
        <f t="shared" ref="Y63" si="228">Y405</f>
        <v>0</v>
      </c>
      <c r="Z63" s="1001" t="s">
        <v>701</v>
      </c>
      <c r="AA63" s="1098"/>
      <c r="AB63" s="1091"/>
      <c r="AC63" s="1099"/>
      <c r="AD63" s="1100">
        <f t="shared" si="212"/>
        <v>0</v>
      </c>
      <c r="AE63" s="1091"/>
      <c r="AF63" s="1091"/>
      <c r="AG63" s="1091"/>
      <c r="AH63" s="1091"/>
      <c r="AI63" s="1091"/>
      <c r="AJ63" s="1041" t="str">
        <f t="shared" si="10"/>
        <v/>
      </c>
    </row>
    <row r="64" spans="4:36" ht="11.25" customHeight="1" x14ac:dyDescent="0.2">
      <c r="D64" s="1092"/>
      <c r="E64" s="1093"/>
      <c r="F64" s="1093"/>
      <c r="G64" s="1093"/>
      <c r="H64" s="1094"/>
      <c r="I64" s="1095"/>
      <c r="J64" s="1096"/>
      <c r="K64" s="1096"/>
      <c r="L64" s="1096"/>
      <c r="M64" s="1097"/>
      <c r="N64" s="528">
        <f t="shared" ref="N64:P64" si="229">N406</f>
        <v>0</v>
      </c>
      <c r="O64" s="529">
        <f t="shared" si="229"/>
        <v>0</v>
      </c>
      <c r="P64" s="529">
        <f t="shared" si="229"/>
        <v>0</v>
      </c>
      <c r="Q64" s="1001" t="s">
        <v>701</v>
      </c>
      <c r="R64" s="528">
        <f t="shared" ref="R64:S64" si="230">R406</f>
        <v>0</v>
      </c>
      <c r="S64" s="529">
        <f t="shared" si="230"/>
        <v>0</v>
      </c>
      <c r="T64" s="1001" t="s">
        <v>701</v>
      </c>
      <c r="U64" s="530">
        <f t="shared" ref="U64:V64" si="231">U406</f>
        <v>0</v>
      </c>
      <c r="V64" s="529">
        <f t="shared" si="231"/>
        <v>0</v>
      </c>
      <c r="W64" s="1001" t="s">
        <v>701</v>
      </c>
      <c r="X64" s="1001" t="s">
        <v>701</v>
      </c>
      <c r="Y64" s="529">
        <f t="shared" ref="Y64" si="232">Y406</f>
        <v>0</v>
      </c>
      <c r="Z64" s="1001" t="s">
        <v>701</v>
      </c>
      <c r="AA64" s="1098"/>
      <c r="AB64" s="1091"/>
      <c r="AC64" s="1099"/>
      <c r="AD64" s="1100">
        <f t="shared" si="212"/>
        <v>0</v>
      </c>
      <c r="AE64" s="1091"/>
      <c r="AF64" s="1091"/>
      <c r="AG64" s="1091"/>
      <c r="AH64" s="1091"/>
      <c r="AI64" s="1091"/>
      <c r="AJ64" s="1041" t="str">
        <f t="shared" si="10"/>
        <v/>
      </c>
    </row>
    <row r="65" spans="4:36" ht="11.25" customHeight="1" thickBot="1" x14ac:dyDescent="0.25">
      <c r="D65" s="532" t="s">
        <v>418</v>
      </c>
      <c r="E65" s="533"/>
      <c r="F65" s="534"/>
      <c r="G65" s="535"/>
      <c r="H65" s="535"/>
      <c r="I65" s="534"/>
      <c r="J65" s="535"/>
      <c r="K65" s="535"/>
      <c r="L65" s="535"/>
      <c r="M65" s="536"/>
      <c r="N65" s="913">
        <f>SUM(N59:N64)</f>
        <v>0</v>
      </c>
      <c r="O65" s="913">
        <f t="shared" ref="O65" si="233">SUM(O59:O64)</f>
        <v>0</v>
      </c>
      <c r="P65" s="914"/>
      <c r="Q65" s="1002" t="s">
        <v>701</v>
      </c>
      <c r="R65" s="915"/>
      <c r="S65" s="916">
        <f t="shared" ref="S65" si="234">SUM(S59:S64)</f>
        <v>5</v>
      </c>
      <c r="T65" s="1003" t="s">
        <v>701</v>
      </c>
      <c r="U65" s="915"/>
      <c r="V65" s="916">
        <f t="shared" ref="V65" si="235">SUM(V59:V64)</f>
        <v>1</v>
      </c>
      <c r="W65" s="1003" t="s">
        <v>701</v>
      </c>
      <c r="X65" s="1003" t="s">
        <v>701</v>
      </c>
      <c r="Y65" s="916">
        <f t="shared" ref="Y65" si="236">SUM(Y59:Y64)</f>
        <v>1787.56</v>
      </c>
      <c r="Z65" s="1003" t="s">
        <v>701</v>
      </c>
      <c r="AA65" s="1003" t="s">
        <v>701</v>
      </c>
      <c r="AB65" s="1004" t="s">
        <v>701</v>
      </c>
      <c r="AC65" s="1005" t="s">
        <v>701</v>
      </c>
      <c r="AD65" s="917"/>
      <c r="AE65" s="1004" t="s">
        <v>701</v>
      </c>
      <c r="AF65" s="1004" t="s">
        <v>701</v>
      </c>
      <c r="AG65" s="1004" t="s">
        <v>701</v>
      </c>
      <c r="AH65" s="1004" t="s">
        <v>701</v>
      </c>
      <c r="AI65" s="1004" t="s">
        <v>701</v>
      </c>
      <c r="AJ65" s="1042" t="str">
        <f t="shared" si="10"/>
        <v/>
      </c>
    </row>
    <row r="66" spans="4:36" ht="11.25" customHeight="1" x14ac:dyDescent="0.25">
      <c r="D66" s="1092">
        <f>D408</f>
        <v>0</v>
      </c>
      <c r="E66" s="1093">
        <f t="shared" ref="E66:P66" si="237">E408</f>
        <v>0</v>
      </c>
      <c r="F66" s="1093">
        <f t="shared" si="237"/>
        <v>0</v>
      </c>
      <c r="G66" s="1093">
        <f t="shared" si="237"/>
        <v>0</v>
      </c>
      <c r="H66" s="1094">
        <f t="shared" si="237"/>
        <v>0</v>
      </c>
      <c r="I66" s="1095">
        <f t="shared" si="237"/>
        <v>0</v>
      </c>
      <c r="J66" s="1096">
        <f t="shared" si="237"/>
        <v>0</v>
      </c>
      <c r="K66" s="1096">
        <f t="shared" si="237"/>
        <v>0</v>
      </c>
      <c r="L66" s="1096">
        <f t="shared" si="237"/>
        <v>0</v>
      </c>
      <c r="M66" s="1097">
        <f t="shared" si="237"/>
        <v>0</v>
      </c>
      <c r="N66" s="522">
        <f t="shared" si="237"/>
        <v>0</v>
      </c>
      <c r="O66" s="523">
        <f t="shared" si="237"/>
        <v>0</v>
      </c>
      <c r="P66" s="524">
        <f t="shared" si="237"/>
        <v>0</v>
      </c>
      <c r="Q66" s="1000" t="s">
        <v>701</v>
      </c>
      <c r="R66" s="525">
        <f t="shared" ref="R66:S66" si="238">R408</f>
        <v>0</v>
      </c>
      <c r="S66" s="524">
        <f t="shared" si="238"/>
        <v>0</v>
      </c>
      <c r="T66" s="1000" t="s">
        <v>701</v>
      </c>
      <c r="U66" s="526">
        <f t="shared" ref="U66:V66" si="239">U408</f>
        <v>0</v>
      </c>
      <c r="V66" s="524">
        <f t="shared" si="239"/>
        <v>0</v>
      </c>
      <c r="W66" s="1000" t="s">
        <v>701</v>
      </c>
      <c r="X66" s="1000" t="s">
        <v>701</v>
      </c>
      <c r="Y66" s="527">
        <f t="shared" ref="Y66" si="240">Y408</f>
        <v>0</v>
      </c>
      <c r="Z66" s="1000" t="s">
        <v>701</v>
      </c>
      <c r="AA66" s="1098" t="s">
        <v>701</v>
      </c>
      <c r="AB66" s="1091" t="s">
        <v>701</v>
      </c>
      <c r="AC66" s="1099"/>
      <c r="AD66" s="1100">
        <f t="shared" ref="AD66:AD71" si="241">AD408</f>
        <v>0</v>
      </c>
      <c r="AE66" s="1091" t="s">
        <v>701</v>
      </c>
      <c r="AF66" s="1091" t="s">
        <v>701</v>
      </c>
      <c r="AG66" s="1091" t="s">
        <v>701</v>
      </c>
      <c r="AH66" s="1091" t="s">
        <v>701</v>
      </c>
      <c r="AI66" s="1091" t="s">
        <v>701</v>
      </c>
      <c r="AJ66" s="1040">
        <f t="shared" si="10"/>
        <v>0</v>
      </c>
    </row>
    <row r="67" spans="4:36" ht="11.25" customHeight="1" x14ac:dyDescent="0.2">
      <c r="D67" s="1092"/>
      <c r="E67" s="1093"/>
      <c r="F67" s="1093"/>
      <c r="G67" s="1093"/>
      <c r="H67" s="1094"/>
      <c r="I67" s="1095"/>
      <c r="J67" s="1096"/>
      <c r="K67" s="1096"/>
      <c r="L67" s="1096"/>
      <c r="M67" s="1097"/>
      <c r="N67" s="528">
        <f t="shared" ref="N67:P67" si="242">N409</f>
        <v>0</v>
      </c>
      <c r="O67" s="529">
        <f t="shared" si="242"/>
        <v>0</v>
      </c>
      <c r="P67" s="529">
        <f t="shared" si="242"/>
        <v>0</v>
      </c>
      <c r="Q67" s="1001" t="s">
        <v>701</v>
      </c>
      <c r="R67" s="528">
        <f t="shared" ref="R67:S67" si="243">R409</f>
        <v>0</v>
      </c>
      <c r="S67" s="529">
        <f t="shared" si="243"/>
        <v>0</v>
      </c>
      <c r="T67" s="1001" t="s">
        <v>701</v>
      </c>
      <c r="U67" s="530">
        <f t="shared" ref="U67:V67" si="244">U409</f>
        <v>0</v>
      </c>
      <c r="V67" s="529">
        <f t="shared" si="244"/>
        <v>0</v>
      </c>
      <c r="W67" s="1001" t="s">
        <v>701</v>
      </c>
      <c r="X67" s="1001" t="s">
        <v>701</v>
      </c>
      <c r="Y67" s="531">
        <f t="shared" ref="Y67" si="245">Y409</f>
        <v>0</v>
      </c>
      <c r="Z67" s="1001" t="s">
        <v>701</v>
      </c>
      <c r="AA67" s="1098"/>
      <c r="AB67" s="1091"/>
      <c r="AC67" s="1099"/>
      <c r="AD67" s="1100">
        <f t="shared" si="241"/>
        <v>0</v>
      </c>
      <c r="AE67" s="1091"/>
      <c r="AF67" s="1091"/>
      <c r="AG67" s="1091"/>
      <c r="AH67" s="1091"/>
      <c r="AI67" s="1091"/>
      <c r="AJ67" s="1041">
        <f t="shared" si="10"/>
        <v>0</v>
      </c>
    </row>
    <row r="68" spans="4:36" ht="11.25" customHeight="1" x14ac:dyDescent="0.2">
      <c r="D68" s="1092"/>
      <c r="E68" s="1093"/>
      <c r="F68" s="1093"/>
      <c r="G68" s="1093"/>
      <c r="H68" s="1094"/>
      <c r="I68" s="1095"/>
      <c r="J68" s="1096"/>
      <c r="K68" s="1096"/>
      <c r="L68" s="1096"/>
      <c r="M68" s="1097"/>
      <c r="N68" s="528">
        <f t="shared" ref="N68:P68" si="246">N410</f>
        <v>0</v>
      </c>
      <c r="O68" s="529">
        <f t="shared" si="246"/>
        <v>0</v>
      </c>
      <c r="P68" s="529">
        <f t="shared" si="246"/>
        <v>0</v>
      </c>
      <c r="Q68" s="1001" t="s">
        <v>701</v>
      </c>
      <c r="R68" s="528">
        <f t="shared" ref="R68:S68" si="247">R410</f>
        <v>0</v>
      </c>
      <c r="S68" s="529">
        <f t="shared" si="247"/>
        <v>0</v>
      </c>
      <c r="T68" s="1001" t="s">
        <v>701</v>
      </c>
      <c r="U68" s="530">
        <f t="shared" ref="U68:V68" si="248">U410</f>
        <v>0</v>
      </c>
      <c r="V68" s="529">
        <f t="shared" si="248"/>
        <v>0</v>
      </c>
      <c r="W68" s="1001" t="s">
        <v>701</v>
      </c>
      <c r="X68" s="1001" t="s">
        <v>701</v>
      </c>
      <c r="Y68" s="529">
        <f t="shared" ref="Y68" si="249">Y410</f>
        <v>0</v>
      </c>
      <c r="Z68" s="1001" t="s">
        <v>701</v>
      </c>
      <c r="AA68" s="1098"/>
      <c r="AB68" s="1091"/>
      <c r="AC68" s="1099"/>
      <c r="AD68" s="1100">
        <f t="shared" si="241"/>
        <v>0</v>
      </c>
      <c r="AE68" s="1091"/>
      <c r="AF68" s="1091"/>
      <c r="AG68" s="1091"/>
      <c r="AH68" s="1091"/>
      <c r="AI68" s="1091"/>
      <c r="AJ68" s="1041">
        <f t="shared" si="10"/>
        <v>0</v>
      </c>
    </row>
    <row r="69" spans="4:36" ht="11.25" customHeight="1" x14ac:dyDescent="0.2">
      <c r="D69" s="1092"/>
      <c r="E69" s="1093"/>
      <c r="F69" s="1093"/>
      <c r="G69" s="1093"/>
      <c r="H69" s="1094"/>
      <c r="I69" s="1095"/>
      <c r="J69" s="1096"/>
      <c r="K69" s="1096"/>
      <c r="L69" s="1096"/>
      <c r="M69" s="1097"/>
      <c r="N69" s="528">
        <f t="shared" ref="N69:P69" si="250">N411</f>
        <v>0</v>
      </c>
      <c r="O69" s="529">
        <f t="shared" si="250"/>
        <v>0</v>
      </c>
      <c r="P69" s="529">
        <f t="shared" si="250"/>
        <v>0</v>
      </c>
      <c r="Q69" s="1001" t="s">
        <v>701</v>
      </c>
      <c r="R69" s="528">
        <f t="shared" ref="R69:S69" si="251">R411</f>
        <v>0</v>
      </c>
      <c r="S69" s="529">
        <f t="shared" si="251"/>
        <v>0</v>
      </c>
      <c r="T69" s="1001" t="s">
        <v>701</v>
      </c>
      <c r="U69" s="530">
        <f t="shared" ref="U69:V69" si="252">U411</f>
        <v>0</v>
      </c>
      <c r="V69" s="529">
        <f t="shared" si="252"/>
        <v>0</v>
      </c>
      <c r="W69" s="1001" t="s">
        <v>701</v>
      </c>
      <c r="X69" s="1001" t="s">
        <v>701</v>
      </c>
      <c r="Y69" s="529">
        <f t="shared" ref="Y69" si="253">Y411</f>
        <v>0</v>
      </c>
      <c r="Z69" s="1001" t="s">
        <v>701</v>
      </c>
      <c r="AA69" s="1098"/>
      <c r="AB69" s="1091"/>
      <c r="AC69" s="1099"/>
      <c r="AD69" s="1100">
        <f t="shared" si="241"/>
        <v>0</v>
      </c>
      <c r="AE69" s="1091"/>
      <c r="AF69" s="1091"/>
      <c r="AG69" s="1091"/>
      <c r="AH69" s="1091"/>
      <c r="AI69" s="1091"/>
      <c r="AJ69" s="1041">
        <f t="shared" si="10"/>
        <v>0</v>
      </c>
    </row>
    <row r="70" spans="4:36" ht="11.25" customHeight="1" x14ac:dyDescent="0.2">
      <c r="D70" s="1092"/>
      <c r="E70" s="1093"/>
      <c r="F70" s="1093"/>
      <c r="G70" s="1093"/>
      <c r="H70" s="1094"/>
      <c r="I70" s="1095"/>
      <c r="J70" s="1096"/>
      <c r="K70" s="1096"/>
      <c r="L70" s="1096"/>
      <c r="M70" s="1097"/>
      <c r="N70" s="528">
        <f t="shared" ref="N70:P70" si="254">N412</f>
        <v>0</v>
      </c>
      <c r="O70" s="529">
        <f t="shared" si="254"/>
        <v>0</v>
      </c>
      <c r="P70" s="529">
        <f t="shared" si="254"/>
        <v>0</v>
      </c>
      <c r="Q70" s="1001" t="s">
        <v>701</v>
      </c>
      <c r="R70" s="528">
        <f t="shared" ref="R70:S70" si="255">R412</f>
        <v>0</v>
      </c>
      <c r="S70" s="529">
        <f t="shared" si="255"/>
        <v>0</v>
      </c>
      <c r="T70" s="1001" t="s">
        <v>701</v>
      </c>
      <c r="U70" s="530">
        <f t="shared" ref="U70:V70" si="256">U412</f>
        <v>0</v>
      </c>
      <c r="V70" s="529">
        <f t="shared" si="256"/>
        <v>0</v>
      </c>
      <c r="W70" s="1001" t="s">
        <v>701</v>
      </c>
      <c r="X70" s="1001" t="s">
        <v>701</v>
      </c>
      <c r="Y70" s="529">
        <f t="shared" ref="Y70" si="257">Y412</f>
        <v>0</v>
      </c>
      <c r="Z70" s="1001" t="s">
        <v>701</v>
      </c>
      <c r="AA70" s="1098"/>
      <c r="AB70" s="1091"/>
      <c r="AC70" s="1099"/>
      <c r="AD70" s="1100">
        <f t="shared" si="241"/>
        <v>0</v>
      </c>
      <c r="AE70" s="1091"/>
      <c r="AF70" s="1091"/>
      <c r="AG70" s="1091"/>
      <c r="AH70" s="1091"/>
      <c r="AI70" s="1091"/>
      <c r="AJ70" s="1041">
        <f t="shared" si="10"/>
        <v>0</v>
      </c>
    </row>
    <row r="71" spans="4:36" ht="11.25" customHeight="1" x14ac:dyDescent="0.2">
      <c r="D71" s="1092"/>
      <c r="E71" s="1093"/>
      <c r="F71" s="1093"/>
      <c r="G71" s="1093"/>
      <c r="H71" s="1094"/>
      <c r="I71" s="1095"/>
      <c r="J71" s="1096"/>
      <c r="K71" s="1096"/>
      <c r="L71" s="1096"/>
      <c r="M71" s="1097"/>
      <c r="N71" s="528">
        <f t="shared" ref="N71:P71" si="258">N413</f>
        <v>0</v>
      </c>
      <c r="O71" s="529">
        <f t="shared" si="258"/>
        <v>0</v>
      </c>
      <c r="P71" s="529">
        <f t="shared" si="258"/>
        <v>0</v>
      </c>
      <c r="Q71" s="1001" t="s">
        <v>701</v>
      </c>
      <c r="R71" s="528">
        <f t="shared" ref="R71:S71" si="259">R413</f>
        <v>0</v>
      </c>
      <c r="S71" s="529">
        <f t="shared" si="259"/>
        <v>0</v>
      </c>
      <c r="T71" s="1001" t="s">
        <v>701</v>
      </c>
      <c r="U71" s="530">
        <f t="shared" ref="U71:V71" si="260">U413</f>
        <v>0</v>
      </c>
      <c r="V71" s="529">
        <f t="shared" si="260"/>
        <v>0</v>
      </c>
      <c r="W71" s="1001" t="s">
        <v>701</v>
      </c>
      <c r="X71" s="1001" t="s">
        <v>701</v>
      </c>
      <c r="Y71" s="529">
        <f t="shared" ref="Y71" si="261">Y413</f>
        <v>0</v>
      </c>
      <c r="Z71" s="1001" t="s">
        <v>701</v>
      </c>
      <c r="AA71" s="1098"/>
      <c r="AB71" s="1091"/>
      <c r="AC71" s="1099"/>
      <c r="AD71" s="1100">
        <f t="shared" si="241"/>
        <v>0</v>
      </c>
      <c r="AE71" s="1091"/>
      <c r="AF71" s="1091"/>
      <c r="AG71" s="1091"/>
      <c r="AH71" s="1091"/>
      <c r="AI71" s="1091"/>
      <c r="AJ71" s="1041">
        <f t="shared" si="10"/>
        <v>0</v>
      </c>
    </row>
    <row r="72" spans="4:36" ht="11.25" customHeight="1" thickBot="1" x14ac:dyDescent="0.25">
      <c r="D72" s="532" t="s">
        <v>418</v>
      </c>
      <c r="E72" s="533"/>
      <c r="F72" s="534"/>
      <c r="G72" s="535"/>
      <c r="H72" s="535"/>
      <c r="I72" s="534"/>
      <c r="J72" s="535"/>
      <c r="K72" s="535"/>
      <c r="L72" s="535"/>
      <c r="M72" s="536"/>
      <c r="N72" s="913">
        <f>SUM(N66:N71)</f>
        <v>0</v>
      </c>
      <c r="O72" s="913">
        <f t="shared" ref="O72" si="262">SUM(O66:O71)</f>
        <v>0</v>
      </c>
      <c r="P72" s="914"/>
      <c r="Q72" s="1002" t="s">
        <v>701</v>
      </c>
      <c r="R72" s="915"/>
      <c r="S72" s="916">
        <f t="shared" ref="S72" si="263">SUM(S66:S71)</f>
        <v>0</v>
      </c>
      <c r="T72" s="1003" t="s">
        <v>701</v>
      </c>
      <c r="U72" s="915"/>
      <c r="V72" s="916">
        <f t="shared" ref="V72" si="264">SUM(V66:V71)</f>
        <v>0</v>
      </c>
      <c r="W72" s="1003" t="s">
        <v>701</v>
      </c>
      <c r="X72" s="1003" t="s">
        <v>701</v>
      </c>
      <c r="Y72" s="916">
        <f t="shared" ref="Y72" si="265">SUM(Y66:Y71)</f>
        <v>0</v>
      </c>
      <c r="Z72" s="1003" t="s">
        <v>701</v>
      </c>
      <c r="AA72" s="1003" t="s">
        <v>701</v>
      </c>
      <c r="AB72" s="1004" t="s">
        <v>701</v>
      </c>
      <c r="AC72" s="1005" t="s">
        <v>701</v>
      </c>
      <c r="AD72" s="917"/>
      <c r="AE72" s="1004" t="s">
        <v>701</v>
      </c>
      <c r="AF72" s="1004" t="s">
        <v>701</v>
      </c>
      <c r="AG72" s="1004" t="s">
        <v>701</v>
      </c>
      <c r="AH72" s="1004" t="s">
        <v>701</v>
      </c>
      <c r="AI72" s="1004" t="s">
        <v>701</v>
      </c>
      <c r="AJ72" s="1042">
        <f t="shared" si="10"/>
        <v>0</v>
      </c>
    </row>
    <row r="73" spans="4:36" ht="11.25" customHeight="1" x14ac:dyDescent="0.25">
      <c r="D73" s="1092" t="str">
        <f>D415</f>
        <v>Beaconsfield</v>
      </c>
      <c r="E73" s="1093" t="str">
        <f t="shared" ref="E73:P73" si="266">E415</f>
        <v>Transmission substation</v>
      </c>
      <c r="F73" s="1093" t="str">
        <f t="shared" si="266"/>
        <v>N2584</v>
      </c>
      <c r="G73" s="1093" t="str">
        <f t="shared" si="266"/>
        <v>Voltage upgrade</v>
      </c>
      <c r="H73" s="1094" t="str">
        <f t="shared" si="266"/>
        <v>Voltage issues</v>
      </c>
      <c r="I73" s="1095" t="str">
        <f t="shared" si="266"/>
        <v>330/132</v>
      </c>
      <c r="J73" s="1096">
        <f t="shared" si="266"/>
        <v>750</v>
      </c>
      <c r="K73" s="1096">
        <f t="shared" si="266"/>
        <v>750</v>
      </c>
      <c r="L73" s="1096">
        <f t="shared" si="266"/>
        <v>375</v>
      </c>
      <c r="M73" s="1097">
        <f t="shared" si="266"/>
        <v>375</v>
      </c>
      <c r="N73" s="522">
        <f t="shared" si="266"/>
        <v>0</v>
      </c>
      <c r="O73" s="523">
        <f t="shared" si="266"/>
        <v>0</v>
      </c>
      <c r="P73" s="524">
        <f t="shared" si="266"/>
        <v>0</v>
      </c>
      <c r="Q73" s="1000" t="s">
        <v>701</v>
      </c>
      <c r="R73" s="525" t="str">
        <f t="shared" ref="R73:S73" si="267">R415</f>
        <v>SF6</v>
      </c>
      <c r="S73" s="524">
        <f t="shared" si="267"/>
        <v>4</v>
      </c>
      <c r="T73" s="1000" t="s">
        <v>701</v>
      </c>
      <c r="U73" s="526" t="str">
        <f t="shared" ref="U73:V73" si="268">U415</f>
        <v>Shunt Reactor</v>
      </c>
      <c r="V73" s="524">
        <f t="shared" si="268"/>
        <v>1</v>
      </c>
      <c r="W73" s="1000" t="s">
        <v>701</v>
      </c>
      <c r="X73" s="1000" t="s">
        <v>701</v>
      </c>
      <c r="Y73" s="527">
        <f t="shared" ref="Y73" si="269">Y415</f>
        <v>4718.292795031055</v>
      </c>
      <c r="Z73" s="1000" t="s">
        <v>701</v>
      </c>
      <c r="AA73" s="1098" t="s">
        <v>701</v>
      </c>
      <c r="AB73" s="1091" t="s">
        <v>701</v>
      </c>
      <c r="AC73" s="1099"/>
      <c r="AD73" s="1100">
        <f t="shared" ref="AD73:AD78" si="270">AD415</f>
        <v>0</v>
      </c>
      <c r="AE73" s="1091" t="s">
        <v>701</v>
      </c>
      <c r="AF73" s="1091" t="s">
        <v>701</v>
      </c>
      <c r="AG73" s="1091" t="s">
        <v>701</v>
      </c>
      <c r="AH73" s="1091" t="s">
        <v>701</v>
      </c>
      <c r="AI73" s="1091" t="s">
        <v>701</v>
      </c>
      <c r="AJ73" s="1040" t="str">
        <f t="shared" si="10"/>
        <v/>
      </c>
    </row>
    <row r="74" spans="4:36" ht="11.25" customHeight="1" x14ac:dyDescent="0.2">
      <c r="D74" s="1092"/>
      <c r="E74" s="1093"/>
      <c r="F74" s="1093"/>
      <c r="G74" s="1093"/>
      <c r="H74" s="1094"/>
      <c r="I74" s="1095"/>
      <c r="J74" s="1096"/>
      <c r="K74" s="1096"/>
      <c r="L74" s="1096"/>
      <c r="M74" s="1097"/>
      <c r="N74" s="528">
        <f t="shared" ref="N74:P74" si="271">N416</f>
        <v>0</v>
      </c>
      <c r="O74" s="529">
        <f t="shared" si="271"/>
        <v>0</v>
      </c>
      <c r="P74" s="529">
        <f t="shared" si="271"/>
        <v>0</v>
      </c>
      <c r="Q74" s="1001" t="s">
        <v>701</v>
      </c>
      <c r="R74" s="528" t="str">
        <f t="shared" ref="R74:S74" si="272">R416</f>
        <v>Oil/Air</v>
      </c>
      <c r="S74" s="529">
        <f t="shared" si="272"/>
        <v>4</v>
      </c>
      <c r="T74" s="1001" t="s">
        <v>701</v>
      </c>
      <c r="U74" s="530">
        <f t="shared" ref="U74:V74" si="273">U416</f>
        <v>0</v>
      </c>
      <c r="V74" s="529">
        <f t="shared" si="273"/>
        <v>0</v>
      </c>
      <c r="W74" s="1001" t="s">
        <v>701</v>
      </c>
      <c r="X74" s="1001" t="s">
        <v>701</v>
      </c>
      <c r="Y74" s="531">
        <f t="shared" ref="Y74" si="274">Y416</f>
        <v>0</v>
      </c>
      <c r="Z74" s="1001" t="s">
        <v>701</v>
      </c>
      <c r="AA74" s="1098"/>
      <c r="AB74" s="1091"/>
      <c r="AC74" s="1099"/>
      <c r="AD74" s="1100">
        <f t="shared" si="270"/>
        <v>0</v>
      </c>
      <c r="AE74" s="1091"/>
      <c r="AF74" s="1091"/>
      <c r="AG74" s="1091"/>
      <c r="AH74" s="1091"/>
      <c r="AI74" s="1091"/>
      <c r="AJ74" s="1041" t="str">
        <f t="shared" si="10"/>
        <v/>
      </c>
    </row>
    <row r="75" spans="4:36" ht="11.25" customHeight="1" x14ac:dyDescent="0.2">
      <c r="D75" s="1092"/>
      <c r="E75" s="1093"/>
      <c r="F75" s="1093"/>
      <c r="G75" s="1093"/>
      <c r="H75" s="1094"/>
      <c r="I75" s="1095"/>
      <c r="J75" s="1096"/>
      <c r="K75" s="1096"/>
      <c r="L75" s="1096"/>
      <c r="M75" s="1097"/>
      <c r="N75" s="528">
        <f t="shared" ref="N75:P75" si="275">N417</f>
        <v>0</v>
      </c>
      <c r="O75" s="529">
        <f t="shared" si="275"/>
        <v>0</v>
      </c>
      <c r="P75" s="529">
        <f t="shared" si="275"/>
        <v>0</v>
      </c>
      <c r="Q75" s="1001" t="s">
        <v>701</v>
      </c>
      <c r="R75" s="528">
        <f t="shared" ref="R75:S75" si="276">R417</f>
        <v>0</v>
      </c>
      <c r="S75" s="529">
        <f t="shared" si="276"/>
        <v>0</v>
      </c>
      <c r="T75" s="1001" t="s">
        <v>701</v>
      </c>
      <c r="U75" s="530">
        <f t="shared" ref="U75:V75" si="277">U417</f>
        <v>0</v>
      </c>
      <c r="V75" s="529">
        <f t="shared" si="277"/>
        <v>0</v>
      </c>
      <c r="W75" s="1001" t="s">
        <v>701</v>
      </c>
      <c r="X75" s="1001" t="s">
        <v>701</v>
      </c>
      <c r="Y75" s="529">
        <f t="shared" ref="Y75" si="278">Y417</f>
        <v>0</v>
      </c>
      <c r="Z75" s="1001" t="s">
        <v>701</v>
      </c>
      <c r="AA75" s="1098"/>
      <c r="AB75" s="1091"/>
      <c r="AC75" s="1099"/>
      <c r="AD75" s="1100">
        <f t="shared" si="270"/>
        <v>0</v>
      </c>
      <c r="AE75" s="1091"/>
      <c r="AF75" s="1091"/>
      <c r="AG75" s="1091"/>
      <c r="AH75" s="1091"/>
      <c r="AI75" s="1091"/>
      <c r="AJ75" s="1041" t="str">
        <f t="shared" ref="AJ75:AJ138" si="279">AJ417</f>
        <v/>
      </c>
    </row>
    <row r="76" spans="4:36" ht="11.25" customHeight="1" x14ac:dyDescent="0.2">
      <c r="D76" s="1092"/>
      <c r="E76" s="1093"/>
      <c r="F76" s="1093"/>
      <c r="G76" s="1093"/>
      <c r="H76" s="1094"/>
      <c r="I76" s="1095"/>
      <c r="J76" s="1096"/>
      <c r="K76" s="1096"/>
      <c r="L76" s="1096"/>
      <c r="M76" s="1097"/>
      <c r="N76" s="528">
        <f t="shared" ref="N76:P76" si="280">N418</f>
        <v>0</v>
      </c>
      <c r="O76" s="529">
        <f t="shared" si="280"/>
        <v>0</v>
      </c>
      <c r="P76" s="529">
        <f t="shared" si="280"/>
        <v>0</v>
      </c>
      <c r="Q76" s="1001" t="s">
        <v>701</v>
      </c>
      <c r="R76" s="528">
        <f t="shared" ref="R76:S76" si="281">R418</f>
        <v>0</v>
      </c>
      <c r="S76" s="529">
        <f t="shared" si="281"/>
        <v>0</v>
      </c>
      <c r="T76" s="1001" t="s">
        <v>701</v>
      </c>
      <c r="U76" s="530">
        <f t="shared" ref="U76:V76" si="282">U418</f>
        <v>0</v>
      </c>
      <c r="V76" s="529">
        <f t="shared" si="282"/>
        <v>0</v>
      </c>
      <c r="W76" s="1001" t="s">
        <v>701</v>
      </c>
      <c r="X76" s="1001" t="s">
        <v>701</v>
      </c>
      <c r="Y76" s="529">
        <f t="shared" ref="Y76" si="283">Y418</f>
        <v>0</v>
      </c>
      <c r="Z76" s="1001" t="s">
        <v>701</v>
      </c>
      <c r="AA76" s="1098"/>
      <c r="AB76" s="1091"/>
      <c r="AC76" s="1099"/>
      <c r="AD76" s="1100">
        <f t="shared" si="270"/>
        <v>0</v>
      </c>
      <c r="AE76" s="1091"/>
      <c r="AF76" s="1091"/>
      <c r="AG76" s="1091"/>
      <c r="AH76" s="1091"/>
      <c r="AI76" s="1091"/>
      <c r="AJ76" s="1041" t="str">
        <f t="shared" si="279"/>
        <v/>
      </c>
    </row>
    <row r="77" spans="4:36" ht="11.25" customHeight="1" x14ac:dyDescent="0.2">
      <c r="D77" s="1092"/>
      <c r="E77" s="1093"/>
      <c r="F77" s="1093"/>
      <c r="G77" s="1093"/>
      <c r="H77" s="1094"/>
      <c r="I77" s="1095"/>
      <c r="J77" s="1096"/>
      <c r="K77" s="1096"/>
      <c r="L77" s="1096"/>
      <c r="M77" s="1097"/>
      <c r="N77" s="528">
        <f t="shared" ref="N77:P77" si="284">N419</f>
        <v>0</v>
      </c>
      <c r="O77" s="529">
        <f t="shared" si="284"/>
        <v>0</v>
      </c>
      <c r="P77" s="529">
        <f t="shared" si="284"/>
        <v>0</v>
      </c>
      <c r="Q77" s="1001" t="s">
        <v>701</v>
      </c>
      <c r="R77" s="528">
        <f t="shared" ref="R77:S77" si="285">R419</f>
        <v>0</v>
      </c>
      <c r="S77" s="529">
        <f t="shared" si="285"/>
        <v>0</v>
      </c>
      <c r="T77" s="1001" t="s">
        <v>701</v>
      </c>
      <c r="U77" s="530">
        <f t="shared" ref="U77:V77" si="286">U419</f>
        <v>0</v>
      </c>
      <c r="V77" s="529">
        <f t="shared" si="286"/>
        <v>0</v>
      </c>
      <c r="W77" s="1001" t="s">
        <v>701</v>
      </c>
      <c r="X77" s="1001" t="s">
        <v>701</v>
      </c>
      <c r="Y77" s="529">
        <f t="shared" ref="Y77" si="287">Y419</f>
        <v>0</v>
      </c>
      <c r="Z77" s="1001" t="s">
        <v>701</v>
      </c>
      <c r="AA77" s="1098"/>
      <c r="AB77" s="1091"/>
      <c r="AC77" s="1099"/>
      <c r="AD77" s="1100">
        <f t="shared" si="270"/>
        <v>0</v>
      </c>
      <c r="AE77" s="1091"/>
      <c r="AF77" s="1091"/>
      <c r="AG77" s="1091"/>
      <c r="AH77" s="1091"/>
      <c r="AI77" s="1091"/>
      <c r="AJ77" s="1041" t="str">
        <f t="shared" si="279"/>
        <v/>
      </c>
    </row>
    <row r="78" spans="4:36" ht="11.25" customHeight="1" x14ac:dyDescent="0.2">
      <c r="D78" s="1092"/>
      <c r="E78" s="1093"/>
      <c r="F78" s="1093"/>
      <c r="G78" s="1093"/>
      <c r="H78" s="1094"/>
      <c r="I78" s="1095"/>
      <c r="J78" s="1096"/>
      <c r="K78" s="1096"/>
      <c r="L78" s="1096"/>
      <c r="M78" s="1097"/>
      <c r="N78" s="528">
        <f t="shared" ref="N78:P78" si="288">N420</f>
        <v>0</v>
      </c>
      <c r="O78" s="529">
        <f t="shared" si="288"/>
        <v>0</v>
      </c>
      <c r="P78" s="529">
        <f t="shared" si="288"/>
        <v>0</v>
      </c>
      <c r="Q78" s="1001" t="s">
        <v>701</v>
      </c>
      <c r="R78" s="528">
        <f t="shared" ref="R78:S78" si="289">R420</f>
        <v>0</v>
      </c>
      <c r="S78" s="529">
        <f t="shared" si="289"/>
        <v>0</v>
      </c>
      <c r="T78" s="1001" t="s">
        <v>701</v>
      </c>
      <c r="U78" s="530">
        <f t="shared" ref="U78:V78" si="290">U420</f>
        <v>0</v>
      </c>
      <c r="V78" s="529">
        <f t="shared" si="290"/>
        <v>0</v>
      </c>
      <c r="W78" s="1001" t="s">
        <v>701</v>
      </c>
      <c r="X78" s="1001" t="s">
        <v>701</v>
      </c>
      <c r="Y78" s="529">
        <f t="shared" ref="Y78" si="291">Y420</f>
        <v>0</v>
      </c>
      <c r="Z78" s="1001" t="s">
        <v>701</v>
      </c>
      <c r="AA78" s="1098"/>
      <c r="AB78" s="1091"/>
      <c r="AC78" s="1099"/>
      <c r="AD78" s="1100">
        <f t="shared" si="270"/>
        <v>0</v>
      </c>
      <c r="AE78" s="1091"/>
      <c r="AF78" s="1091"/>
      <c r="AG78" s="1091"/>
      <c r="AH78" s="1091"/>
      <c r="AI78" s="1091"/>
      <c r="AJ78" s="1041" t="str">
        <f t="shared" si="279"/>
        <v/>
      </c>
    </row>
    <row r="79" spans="4:36" ht="11.25" customHeight="1" thickBot="1" x14ac:dyDescent="0.25">
      <c r="D79" s="532" t="s">
        <v>418</v>
      </c>
      <c r="E79" s="533"/>
      <c r="F79" s="534"/>
      <c r="G79" s="535"/>
      <c r="H79" s="535"/>
      <c r="I79" s="534"/>
      <c r="J79" s="535"/>
      <c r="K79" s="535"/>
      <c r="L79" s="535"/>
      <c r="M79" s="536"/>
      <c r="N79" s="913">
        <f>SUM(N73:N78)</f>
        <v>0</v>
      </c>
      <c r="O79" s="913">
        <f t="shared" ref="O79" si="292">SUM(O73:O78)</f>
        <v>0</v>
      </c>
      <c r="P79" s="914"/>
      <c r="Q79" s="1002" t="s">
        <v>701</v>
      </c>
      <c r="R79" s="915"/>
      <c r="S79" s="916">
        <f t="shared" ref="S79" si="293">SUM(S73:S78)</f>
        <v>8</v>
      </c>
      <c r="T79" s="1003" t="s">
        <v>701</v>
      </c>
      <c r="U79" s="915"/>
      <c r="V79" s="916">
        <f t="shared" ref="V79" si="294">SUM(V73:V78)</f>
        <v>1</v>
      </c>
      <c r="W79" s="1003" t="s">
        <v>701</v>
      </c>
      <c r="X79" s="1003" t="s">
        <v>701</v>
      </c>
      <c r="Y79" s="916">
        <f t="shared" ref="Y79" si="295">SUM(Y73:Y78)</f>
        <v>4718.292795031055</v>
      </c>
      <c r="Z79" s="1003" t="s">
        <v>701</v>
      </c>
      <c r="AA79" s="1003" t="s">
        <v>701</v>
      </c>
      <c r="AB79" s="1004" t="s">
        <v>701</v>
      </c>
      <c r="AC79" s="1005" t="s">
        <v>701</v>
      </c>
      <c r="AD79" s="917"/>
      <c r="AE79" s="1004" t="s">
        <v>701</v>
      </c>
      <c r="AF79" s="1004" t="s">
        <v>701</v>
      </c>
      <c r="AG79" s="1004" t="s">
        <v>701</v>
      </c>
      <c r="AH79" s="1004" t="s">
        <v>701</v>
      </c>
      <c r="AI79" s="1004" t="s">
        <v>701</v>
      </c>
      <c r="AJ79" s="1042" t="str">
        <f t="shared" si="279"/>
        <v/>
      </c>
    </row>
    <row r="80" spans="4:36" ht="11.25" customHeight="1" x14ac:dyDescent="0.25">
      <c r="D80" s="1092">
        <f>D422</f>
        <v>0</v>
      </c>
      <c r="E80" s="1093">
        <f t="shared" ref="E80:P80" si="296">E422</f>
        <v>0</v>
      </c>
      <c r="F80" s="1093">
        <f t="shared" si="296"/>
        <v>0</v>
      </c>
      <c r="G80" s="1093">
        <f t="shared" si="296"/>
        <v>0</v>
      </c>
      <c r="H80" s="1094">
        <f t="shared" si="296"/>
        <v>0</v>
      </c>
      <c r="I80" s="1095">
        <f t="shared" si="296"/>
        <v>0</v>
      </c>
      <c r="J80" s="1096">
        <f t="shared" si="296"/>
        <v>0</v>
      </c>
      <c r="K80" s="1096">
        <f t="shared" si="296"/>
        <v>0</v>
      </c>
      <c r="L80" s="1096">
        <f t="shared" si="296"/>
        <v>0</v>
      </c>
      <c r="M80" s="1097">
        <f t="shared" si="296"/>
        <v>0</v>
      </c>
      <c r="N80" s="522">
        <f t="shared" si="296"/>
        <v>0</v>
      </c>
      <c r="O80" s="523">
        <f t="shared" si="296"/>
        <v>0</v>
      </c>
      <c r="P80" s="524">
        <f t="shared" si="296"/>
        <v>0</v>
      </c>
      <c r="Q80" s="1000" t="s">
        <v>701</v>
      </c>
      <c r="R80" s="525">
        <f t="shared" ref="R80:S80" si="297">R422</f>
        <v>0</v>
      </c>
      <c r="S80" s="524">
        <f t="shared" si="297"/>
        <v>0</v>
      </c>
      <c r="T80" s="1000" t="s">
        <v>701</v>
      </c>
      <c r="U80" s="526">
        <f t="shared" ref="U80:V80" si="298">U422</f>
        <v>0</v>
      </c>
      <c r="V80" s="524">
        <f t="shared" si="298"/>
        <v>0</v>
      </c>
      <c r="W80" s="1000" t="s">
        <v>701</v>
      </c>
      <c r="X80" s="1000" t="s">
        <v>701</v>
      </c>
      <c r="Y80" s="527">
        <f t="shared" ref="Y80" si="299">Y422</f>
        <v>0</v>
      </c>
      <c r="Z80" s="1000" t="s">
        <v>701</v>
      </c>
      <c r="AA80" s="1098" t="s">
        <v>701</v>
      </c>
      <c r="AB80" s="1091" t="s">
        <v>701</v>
      </c>
      <c r="AC80" s="1099"/>
      <c r="AD80" s="1100">
        <f t="shared" ref="AD80:AD85" si="300">AD422</f>
        <v>0</v>
      </c>
      <c r="AE80" s="1091" t="s">
        <v>701</v>
      </c>
      <c r="AF80" s="1091" t="s">
        <v>701</v>
      </c>
      <c r="AG80" s="1091" t="s">
        <v>701</v>
      </c>
      <c r="AH80" s="1091" t="s">
        <v>701</v>
      </c>
      <c r="AI80" s="1091" t="s">
        <v>701</v>
      </c>
      <c r="AJ80" s="1040">
        <f t="shared" si="279"/>
        <v>0</v>
      </c>
    </row>
    <row r="81" spans="4:36" ht="11.25" customHeight="1" x14ac:dyDescent="0.2">
      <c r="D81" s="1092"/>
      <c r="E81" s="1093"/>
      <c r="F81" s="1093"/>
      <c r="G81" s="1093"/>
      <c r="H81" s="1094"/>
      <c r="I81" s="1095"/>
      <c r="J81" s="1096"/>
      <c r="K81" s="1096"/>
      <c r="L81" s="1096"/>
      <c r="M81" s="1097"/>
      <c r="N81" s="528">
        <f t="shared" ref="N81:P81" si="301">N423</f>
        <v>0</v>
      </c>
      <c r="O81" s="529">
        <f t="shared" si="301"/>
        <v>0</v>
      </c>
      <c r="P81" s="529">
        <f t="shared" si="301"/>
        <v>0</v>
      </c>
      <c r="Q81" s="1001" t="s">
        <v>701</v>
      </c>
      <c r="R81" s="528">
        <f t="shared" ref="R81:S81" si="302">R423</f>
        <v>0</v>
      </c>
      <c r="S81" s="529">
        <f t="shared" si="302"/>
        <v>0</v>
      </c>
      <c r="T81" s="1001" t="s">
        <v>701</v>
      </c>
      <c r="U81" s="530">
        <f t="shared" ref="U81:V81" si="303">U423</f>
        <v>0</v>
      </c>
      <c r="V81" s="529">
        <f t="shared" si="303"/>
        <v>0</v>
      </c>
      <c r="W81" s="1001" t="s">
        <v>701</v>
      </c>
      <c r="X81" s="1001" t="s">
        <v>701</v>
      </c>
      <c r="Y81" s="531">
        <f t="shared" ref="Y81" si="304">Y423</f>
        <v>0</v>
      </c>
      <c r="Z81" s="1001" t="s">
        <v>701</v>
      </c>
      <c r="AA81" s="1098"/>
      <c r="AB81" s="1091"/>
      <c r="AC81" s="1099"/>
      <c r="AD81" s="1100">
        <f t="shared" si="300"/>
        <v>0</v>
      </c>
      <c r="AE81" s="1091"/>
      <c r="AF81" s="1091"/>
      <c r="AG81" s="1091"/>
      <c r="AH81" s="1091"/>
      <c r="AI81" s="1091"/>
      <c r="AJ81" s="1041">
        <f t="shared" si="279"/>
        <v>0</v>
      </c>
    </row>
    <row r="82" spans="4:36" ht="11.25" customHeight="1" x14ac:dyDescent="0.2">
      <c r="D82" s="1092"/>
      <c r="E82" s="1093"/>
      <c r="F82" s="1093"/>
      <c r="G82" s="1093"/>
      <c r="H82" s="1094"/>
      <c r="I82" s="1095"/>
      <c r="J82" s="1096"/>
      <c r="K82" s="1096"/>
      <c r="L82" s="1096"/>
      <c r="M82" s="1097"/>
      <c r="N82" s="528">
        <f t="shared" ref="N82:P82" si="305">N424</f>
        <v>0</v>
      </c>
      <c r="O82" s="529">
        <f t="shared" si="305"/>
        <v>0</v>
      </c>
      <c r="P82" s="529">
        <f t="shared" si="305"/>
        <v>0</v>
      </c>
      <c r="Q82" s="1001" t="s">
        <v>701</v>
      </c>
      <c r="R82" s="528">
        <f t="shared" ref="R82:S82" si="306">R424</f>
        <v>0</v>
      </c>
      <c r="S82" s="529">
        <f t="shared" si="306"/>
        <v>0</v>
      </c>
      <c r="T82" s="1001" t="s">
        <v>701</v>
      </c>
      <c r="U82" s="530">
        <f t="shared" ref="U82:V82" si="307">U424</f>
        <v>0</v>
      </c>
      <c r="V82" s="529">
        <f t="shared" si="307"/>
        <v>0</v>
      </c>
      <c r="W82" s="1001" t="s">
        <v>701</v>
      </c>
      <c r="X82" s="1001" t="s">
        <v>701</v>
      </c>
      <c r="Y82" s="529">
        <f t="shared" ref="Y82" si="308">Y424</f>
        <v>0</v>
      </c>
      <c r="Z82" s="1001" t="s">
        <v>701</v>
      </c>
      <c r="AA82" s="1098"/>
      <c r="AB82" s="1091"/>
      <c r="AC82" s="1099"/>
      <c r="AD82" s="1100">
        <f t="shared" si="300"/>
        <v>0</v>
      </c>
      <c r="AE82" s="1091"/>
      <c r="AF82" s="1091"/>
      <c r="AG82" s="1091"/>
      <c r="AH82" s="1091"/>
      <c r="AI82" s="1091"/>
      <c r="AJ82" s="1041">
        <f t="shared" si="279"/>
        <v>0</v>
      </c>
    </row>
    <row r="83" spans="4:36" ht="11.25" customHeight="1" x14ac:dyDescent="0.2">
      <c r="D83" s="1092"/>
      <c r="E83" s="1093"/>
      <c r="F83" s="1093"/>
      <c r="G83" s="1093"/>
      <c r="H83" s="1094"/>
      <c r="I83" s="1095"/>
      <c r="J83" s="1096"/>
      <c r="K83" s="1096"/>
      <c r="L83" s="1096"/>
      <c r="M83" s="1097"/>
      <c r="N83" s="528">
        <f t="shared" ref="N83:P83" si="309">N425</f>
        <v>0</v>
      </c>
      <c r="O83" s="529">
        <f t="shared" si="309"/>
        <v>0</v>
      </c>
      <c r="P83" s="529">
        <f t="shared" si="309"/>
        <v>0</v>
      </c>
      <c r="Q83" s="1001" t="s">
        <v>701</v>
      </c>
      <c r="R83" s="528">
        <f t="shared" ref="R83:S83" si="310">R425</f>
        <v>0</v>
      </c>
      <c r="S83" s="529">
        <f t="shared" si="310"/>
        <v>0</v>
      </c>
      <c r="T83" s="1001" t="s">
        <v>701</v>
      </c>
      <c r="U83" s="530">
        <f t="shared" ref="U83:V83" si="311">U425</f>
        <v>0</v>
      </c>
      <c r="V83" s="529">
        <f t="shared" si="311"/>
        <v>0</v>
      </c>
      <c r="W83" s="1001" t="s">
        <v>701</v>
      </c>
      <c r="X83" s="1001" t="s">
        <v>701</v>
      </c>
      <c r="Y83" s="529">
        <f t="shared" ref="Y83" si="312">Y425</f>
        <v>0</v>
      </c>
      <c r="Z83" s="1001" t="s">
        <v>701</v>
      </c>
      <c r="AA83" s="1098"/>
      <c r="AB83" s="1091"/>
      <c r="AC83" s="1099"/>
      <c r="AD83" s="1100">
        <f t="shared" si="300"/>
        <v>0</v>
      </c>
      <c r="AE83" s="1091"/>
      <c r="AF83" s="1091"/>
      <c r="AG83" s="1091"/>
      <c r="AH83" s="1091"/>
      <c r="AI83" s="1091"/>
      <c r="AJ83" s="1041">
        <f t="shared" si="279"/>
        <v>0</v>
      </c>
    </row>
    <row r="84" spans="4:36" ht="11.25" customHeight="1" x14ac:dyDescent="0.2">
      <c r="D84" s="1092"/>
      <c r="E84" s="1093"/>
      <c r="F84" s="1093"/>
      <c r="G84" s="1093"/>
      <c r="H84" s="1094"/>
      <c r="I84" s="1095"/>
      <c r="J84" s="1096"/>
      <c r="K84" s="1096"/>
      <c r="L84" s="1096"/>
      <c r="M84" s="1097"/>
      <c r="N84" s="528">
        <f t="shared" ref="N84:P84" si="313">N426</f>
        <v>0</v>
      </c>
      <c r="O84" s="529">
        <f t="shared" si="313"/>
        <v>0</v>
      </c>
      <c r="P84" s="529">
        <f t="shared" si="313"/>
        <v>0</v>
      </c>
      <c r="Q84" s="1001" t="s">
        <v>701</v>
      </c>
      <c r="R84" s="528">
        <f t="shared" ref="R84:S84" si="314">R426</f>
        <v>0</v>
      </c>
      <c r="S84" s="529">
        <f t="shared" si="314"/>
        <v>0</v>
      </c>
      <c r="T84" s="1001" t="s">
        <v>701</v>
      </c>
      <c r="U84" s="530">
        <f t="shared" ref="U84:V84" si="315">U426</f>
        <v>0</v>
      </c>
      <c r="V84" s="529">
        <f t="shared" si="315"/>
        <v>0</v>
      </c>
      <c r="W84" s="1001" t="s">
        <v>701</v>
      </c>
      <c r="X84" s="1001" t="s">
        <v>701</v>
      </c>
      <c r="Y84" s="529">
        <f t="shared" ref="Y84" si="316">Y426</f>
        <v>0</v>
      </c>
      <c r="Z84" s="1001" t="s">
        <v>701</v>
      </c>
      <c r="AA84" s="1098"/>
      <c r="AB84" s="1091"/>
      <c r="AC84" s="1099"/>
      <c r="AD84" s="1100">
        <f t="shared" si="300"/>
        <v>0</v>
      </c>
      <c r="AE84" s="1091"/>
      <c r="AF84" s="1091"/>
      <c r="AG84" s="1091"/>
      <c r="AH84" s="1091"/>
      <c r="AI84" s="1091"/>
      <c r="AJ84" s="1041">
        <f t="shared" si="279"/>
        <v>0</v>
      </c>
    </row>
    <row r="85" spans="4:36" ht="11.25" customHeight="1" x14ac:dyDescent="0.2">
      <c r="D85" s="1092"/>
      <c r="E85" s="1093"/>
      <c r="F85" s="1093"/>
      <c r="G85" s="1093"/>
      <c r="H85" s="1094"/>
      <c r="I85" s="1095"/>
      <c r="J85" s="1096"/>
      <c r="K85" s="1096"/>
      <c r="L85" s="1096"/>
      <c r="M85" s="1097"/>
      <c r="N85" s="528">
        <f t="shared" ref="N85:P85" si="317">N427</f>
        <v>0</v>
      </c>
      <c r="O85" s="529">
        <f t="shared" si="317"/>
        <v>0</v>
      </c>
      <c r="P85" s="529">
        <f t="shared" si="317"/>
        <v>0</v>
      </c>
      <c r="Q85" s="1001" t="s">
        <v>701</v>
      </c>
      <c r="R85" s="528">
        <f t="shared" ref="R85:S85" si="318">R427</f>
        <v>0</v>
      </c>
      <c r="S85" s="529">
        <f t="shared" si="318"/>
        <v>0</v>
      </c>
      <c r="T85" s="1001" t="s">
        <v>701</v>
      </c>
      <c r="U85" s="530">
        <f t="shared" ref="U85:V85" si="319">U427</f>
        <v>0</v>
      </c>
      <c r="V85" s="529">
        <f t="shared" si="319"/>
        <v>0</v>
      </c>
      <c r="W85" s="1001" t="s">
        <v>701</v>
      </c>
      <c r="X85" s="1001" t="s">
        <v>701</v>
      </c>
      <c r="Y85" s="529">
        <f t="shared" ref="Y85" si="320">Y427</f>
        <v>0</v>
      </c>
      <c r="Z85" s="1001" t="s">
        <v>701</v>
      </c>
      <c r="AA85" s="1098"/>
      <c r="AB85" s="1091"/>
      <c r="AC85" s="1099"/>
      <c r="AD85" s="1100">
        <f t="shared" si="300"/>
        <v>0</v>
      </c>
      <c r="AE85" s="1091"/>
      <c r="AF85" s="1091"/>
      <c r="AG85" s="1091"/>
      <c r="AH85" s="1091"/>
      <c r="AI85" s="1091"/>
      <c r="AJ85" s="1041">
        <f t="shared" si="279"/>
        <v>0</v>
      </c>
    </row>
    <row r="86" spans="4:36" ht="11.25" customHeight="1" thickBot="1" x14ac:dyDescent="0.25">
      <c r="D86" s="532" t="s">
        <v>418</v>
      </c>
      <c r="E86" s="533"/>
      <c r="F86" s="534"/>
      <c r="G86" s="535"/>
      <c r="H86" s="535"/>
      <c r="I86" s="534"/>
      <c r="J86" s="535"/>
      <c r="K86" s="535"/>
      <c r="L86" s="535"/>
      <c r="M86" s="536"/>
      <c r="N86" s="913">
        <f>SUM(N80:N85)</f>
        <v>0</v>
      </c>
      <c r="O86" s="913">
        <f t="shared" ref="O86" si="321">SUM(O80:O85)</f>
        <v>0</v>
      </c>
      <c r="P86" s="914"/>
      <c r="Q86" s="1002" t="s">
        <v>701</v>
      </c>
      <c r="R86" s="915"/>
      <c r="S86" s="916">
        <f t="shared" ref="S86" si="322">SUM(S80:S85)</f>
        <v>0</v>
      </c>
      <c r="T86" s="1003" t="s">
        <v>701</v>
      </c>
      <c r="U86" s="915"/>
      <c r="V86" s="916">
        <f t="shared" ref="V86" si="323">SUM(V80:V85)</f>
        <v>0</v>
      </c>
      <c r="W86" s="1003" t="s">
        <v>701</v>
      </c>
      <c r="X86" s="1003" t="s">
        <v>701</v>
      </c>
      <c r="Y86" s="916">
        <f t="shared" ref="Y86" si="324">SUM(Y80:Y85)</f>
        <v>0</v>
      </c>
      <c r="Z86" s="1003" t="s">
        <v>701</v>
      </c>
      <c r="AA86" s="1003" t="s">
        <v>701</v>
      </c>
      <c r="AB86" s="1004" t="s">
        <v>701</v>
      </c>
      <c r="AC86" s="1005" t="s">
        <v>701</v>
      </c>
      <c r="AD86" s="917"/>
      <c r="AE86" s="1004" t="s">
        <v>701</v>
      </c>
      <c r="AF86" s="1004" t="s">
        <v>701</v>
      </c>
      <c r="AG86" s="1004" t="s">
        <v>701</v>
      </c>
      <c r="AH86" s="1004" t="s">
        <v>701</v>
      </c>
      <c r="AI86" s="1004" t="s">
        <v>701</v>
      </c>
      <c r="AJ86" s="1042">
        <f t="shared" si="279"/>
        <v>0</v>
      </c>
    </row>
    <row r="87" spans="4:36" ht="11.25" customHeight="1" x14ac:dyDescent="0.25">
      <c r="D87" s="1092" t="str">
        <f>D429</f>
        <v>Broken Hill</v>
      </c>
      <c r="E87" s="1093" t="str">
        <f t="shared" ref="E87:P87" si="325">E429</f>
        <v>Transmission substation</v>
      </c>
      <c r="F87" s="1093">
        <f t="shared" si="325"/>
        <v>1698</v>
      </c>
      <c r="G87" s="1093" t="str">
        <f t="shared" si="325"/>
        <v>Voltage upgrade</v>
      </c>
      <c r="H87" s="1094" t="str">
        <f t="shared" si="325"/>
        <v>Demand growth</v>
      </c>
      <c r="I87" s="1095" t="str">
        <f t="shared" si="325"/>
        <v>220/22</v>
      </c>
      <c r="J87" s="1096">
        <f t="shared" si="325"/>
        <v>200</v>
      </c>
      <c r="K87" s="1096">
        <f t="shared" si="325"/>
        <v>200</v>
      </c>
      <c r="L87" s="1096">
        <f t="shared" si="325"/>
        <v>100</v>
      </c>
      <c r="M87" s="1097">
        <f t="shared" si="325"/>
        <v>100</v>
      </c>
      <c r="N87" s="522">
        <f t="shared" si="325"/>
        <v>0</v>
      </c>
      <c r="O87" s="523">
        <f t="shared" si="325"/>
        <v>0</v>
      </c>
      <c r="P87" s="524">
        <f t="shared" si="325"/>
        <v>0</v>
      </c>
      <c r="Q87" s="1000" t="s">
        <v>701</v>
      </c>
      <c r="R87" s="525" t="str">
        <f t="shared" ref="R87:S87" si="326">R429</f>
        <v>SF6</v>
      </c>
      <c r="S87" s="524">
        <f t="shared" si="326"/>
        <v>5</v>
      </c>
      <c r="T87" s="1000" t="s">
        <v>701</v>
      </c>
      <c r="U87" s="526" t="str">
        <f t="shared" ref="U87:V87" si="327">U429</f>
        <v>Capacitor Banks</v>
      </c>
      <c r="V87" s="524">
        <f t="shared" si="327"/>
        <v>2</v>
      </c>
      <c r="W87" s="1000" t="s">
        <v>701</v>
      </c>
      <c r="X87" s="1000" t="s">
        <v>701</v>
      </c>
      <c r="Y87" s="527">
        <f t="shared" ref="Y87" si="328">Y429</f>
        <v>3893.334658385093</v>
      </c>
      <c r="Z87" s="1000" t="s">
        <v>701</v>
      </c>
      <c r="AA87" s="1098" t="s">
        <v>701</v>
      </c>
      <c r="AB87" s="1091" t="s">
        <v>701</v>
      </c>
      <c r="AC87" s="1099"/>
      <c r="AD87" s="1100">
        <f t="shared" ref="AD87:AD92" si="329">AD429</f>
        <v>0</v>
      </c>
      <c r="AE87" s="1091" t="s">
        <v>701</v>
      </c>
      <c r="AF87" s="1091" t="s">
        <v>701</v>
      </c>
      <c r="AG87" s="1091" t="s">
        <v>701</v>
      </c>
      <c r="AH87" s="1091" t="s">
        <v>701</v>
      </c>
      <c r="AI87" s="1091" t="s">
        <v>701</v>
      </c>
      <c r="AJ87" s="1040" t="str">
        <f t="shared" si="279"/>
        <v/>
      </c>
    </row>
    <row r="88" spans="4:36" ht="11.25" customHeight="1" x14ac:dyDescent="0.2">
      <c r="D88" s="1092"/>
      <c r="E88" s="1093"/>
      <c r="F88" s="1093"/>
      <c r="G88" s="1093"/>
      <c r="H88" s="1094"/>
      <c r="I88" s="1095"/>
      <c r="J88" s="1096"/>
      <c r="K88" s="1096"/>
      <c r="L88" s="1096"/>
      <c r="M88" s="1097"/>
      <c r="N88" s="528">
        <f t="shared" ref="N88:P88" si="330">N430</f>
        <v>0</v>
      </c>
      <c r="O88" s="529">
        <f t="shared" si="330"/>
        <v>0</v>
      </c>
      <c r="P88" s="529">
        <f t="shared" si="330"/>
        <v>0</v>
      </c>
      <c r="Q88" s="1001" t="s">
        <v>701</v>
      </c>
      <c r="R88" s="528" t="str">
        <f t="shared" ref="R88:S88" si="331">R430</f>
        <v>Oil/Air</v>
      </c>
      <c r="S88" s="529">
        <f t="shared" si="331"/>
        <v>8</v>
      </c>
      <c r="T88" s="1001" t="s">
        <v>701</v>
      </c>
      <c r="U88" s="530">
        <f t="shared" ref="U88:V88" si="332">U430</f>
        <v>0</v>
      </c>
      <c r="V88" s="529">
        <f t="shared" si="332"/>
        <v>0</v>
      </c>
      <c r="W88" s="1001" t="s">
        <v>701</v>
      </c>
      <c r="X88" s="1001" t="s">
        <v>701</v>
      </c>
      <c r="Y88" s="531">
        <f t="shared" ref="Y88" si="333">Y430</f>
        <v>0</v>
      </c>
      <c r="Z88" s="1001" t="s">
        <v>701</v>
      </c>
      <c r="AA88" s="1098"/>
      <c r="AB88" s="1091"/>
      <c r="AC88" s="1099"/>
      <c r="AD88" s="1100">
        <f t="shared" si="329"/>
        <v>0</v>
      </c>
      <c r="AE88" s="1091"/>
      <c r="AF88" s="1091"/>
      <c r="AG88" s="1091"/>
      <c r="AH88" s="1091"/>
      <c r="AI88" s="1091"/>
      <c r="AJ88" s="1041" t="str">
        <f t="shared" si="279"/>
        <v/>
      </c>
    </row>
    <row r="89" spans="4:36" ht="11.25" customHeight="1" x14ac:dyDescent="0.2">
      <c r="D89" s="1092"/>
      <c r="E89" s="1093"/>
      <c r="F89" s="1093"/>
      <c r="G89" s="1093"/>
      <c r="H89" s="1094"/>
      <c r="I89" s="1095"/>
      <c r="J89" s="1096"/>
      <c r="K89" s="1096"/>
      <c r="L89" s="1096"/>
      <c r="M89" s="1097"/>
      <c r="N89" s="528">
        <f t="shared" ref="N89:P89" si="334">N431</f>
        <v>0</v>
      </c>
      <c r="O89" s="529">
        <f t="shared" si="334"/>
        <v>0</v>
      </c>
      <c r="P89" s="529">
        <f t="shared" si="334"/>
        <v>0</v>
      </c>
      <c r="Q89" s="1001" t="s">
        <v>701</v>
      </c>
      <c r="R89" s="528">
        <f t="shared" ref="R89:S89" si="335">R431</f>
        <v>0</v>
      </c>
      <c r="S89" s="529">
        <f t="shared" si="335"/>
        <v>0</v>
      </c>
      <c r="T89" s="1001" t="s">
        <v>701</v>
      </c>
      <c r="U89" s="530">
        <f t="shared" ref="U89:V89" si="336">U431</f>
        <v>0</v>
      </c>
      <c r="V89" s="529">
        <f t="shared" si="336"/>
        <v>0</v>
      </c>
      <c r="W89" s="1001" t="s">
        <v>701</v>
      </c>
      <c r="X89" s="1001" t="s">
        <v>701</v>
      </c>
      <c r="Y89" s="529">
        <f t="shared" ref="Y89" si="337">Y431</f>
        <v>0</v>
      </c>
      <c r="Z89" s="1001" t="s">
        <v>701</v>
      </c>
      <c r="AA89" s="1098"/>
      <c r="AB89" s="1091"/>
      <c r="AC89" s="1099"/>
      <c r="AD89" s="1100">
        <f t="shared" si="329"/>
        <v>0</v>
      </c>
      <c r="AE89" s="1091"/>
      <c r="AF89" s="1091"/>
      <c r="AG89" s="1091"/>
      <c r="AH89" s="1091"/>
      <c r="AI89" s="1091"/>
      <c r="AJ89" s="1041" t="str">
        <f t="shared" si="279"/>
        <v/>
      </c>
    </row>
    <row r="90" spans="4:36" ht="11.25" customHeight="1" x14ac:dyDescent="0.2">
      <c r="D90" s="1092"/>
      <c r="E90" s="1093"/>
      <c r="F90" s="1093"/>
      <c r="G90" s="1093"/>
      <c r="H90" s="1094"/>
      <c r="I90" s="1095"/>
      <c r="J90" s="1096"/>
      <c r="K90" s="1096"/>
      <c r="L90" s="1096"/>
      <c r="M90" s="1097"/>
      <c r="N90" s="528">
        <f t="shared" ref="N90:P90" si="338">N432</f>
        <v>0</v>
      </c>
      <c r="O90" s="529">
        <f t="shared" si="338"/>
        <v>0</v>
      </c>
      <c r="P90" s="529">
        <f t="shared" si="338"/>
        <v>0</v>
      </c>
      <c r="Q90" s="1001" t="s">
        <v>701</v>
      </c>
      <c r="R90" s="528">
        <f t="shared" ref="R90:S90" si="339">R432</f>
        <v>0</v>
      </c>
      <c r="S90" s="529">
        <f t="shared" si="339"/>
        <v>0</v>
      </c>
      <c r="T90" s="1001" t="s">
        <v>701</v>
      </c>
      <c r="U90" s="530">
        <f t="shared" ref="U90:V90" si="340">U432</f>
        <v>0</v>
      </c>
      <c r="V90" s="529">
        <f t="shared" si="340"/>
        <v>0</v>
      </c>
      <c r="W90" s="1001" t="s">
        <v>701</v>
      </c>
      <c r="X90" s="1001" t="s">
        <v>701</v>
      </c>
      <c r="Y90" s="529">
        <f t="shared" ref="Y90" si="341">Y432</f>
        <v>0</v>
      </c>
      <c r="Z90" s="1001" t="s">
        <v>701</v>
      </c>
      <c r="AA90" s="1098"/>
      <c r="AB90" s="1091"/>
      <c r="AC90" s="1099"/>
      <c r="AD90" s="1100">
        <f t="shared" si="329"/>
        <v>0</v>
      </c>
      <c r="AE90" s="1091"/>
      <c r="AF90" s="1091"/>
      <c r="AG90" s="1091"/>
      <c r="AH90" s="1091"/>
      <c r="AI90" s="1091"/>
      <c r="AJ90" s="1041" t="str">
        <f t="shared" si="279"/>
        <v/>
      </c>
    </row>
    <row r="91" spans="4:36" ht="11.25" customHeight="1" x14ac:dyDescent="0.2">
      <c r="D91" s="1092"/>
      <c r="E91" s="1093"/>
      <c r="F91" s="1093"/>
      <c r="G91" s="1093"/>
      <c r="H91" s="1094"/>
      <c r="I91" s="1095"/>
      <c r="J91" s="1096"/>
      <c r="K91" s="1096"/>
      <c r="L91" s="1096"/>
      <c r="M91" s="1097"/>
      <c r="N91" s="528">
        <f t="shared" ref="N91:P91" si="342">N433</f>
        <v>0</v>
      </c>
      <c r="O91" s="529">
        <f t="shared" si="342"/>
        <v>0</v>
      </c>
      <c r="P91" s="529">
        <f t="shared" si="342"/>
        <v>0</v>
      </c>
      <c r="Q91" s="1001" t="s">
        <v>701</v>
      </c>
      <c r="R91" s="528">
        <f t="shared" ref="R91:S91" si="343">R433</f>
        <v>0</v>
      </c>
      <c r="S91" s="529">
        <f t="shared" si="343"/>
        <v>0</v>
      </c>
      <c r="T91" s="1001" t="s">
        <v>701</v>
      </c>
      <c r="U91" s="530">
        <f t="shared" ref="U91:V91" si="344">U433</f>
        <v>0</v>
      </c>
      <c r="V91" s="529">
        <f t="shared" si="344"/>
        <v>0</v>
      </c>
      <c r="W91" s="1001" t="s">
        <v>701</v>
      </c>
      <c r="X91" s="1001" t="s">
        <v>701</v>
      </c>
      <c r="Y91" s="529">
        <f t="shared" ref="Y91" si="345">Y433</f>
        <v>0</v>
      </c>
      <c r="Z91" s="1001" t="s">
        <v>701</v>
      </c>
      <c r="AA91" s="1098"/>
      <c r="AB91" s="1091"/>
      <c r="AC91" s="1099"/>
      <c r="AD91" s="1100">
        <f t="shared" si="329"/>
        <v>0</v>
      </c>
      <c r="AE91" s="1091"/>
      <c r="AF91" s="1091"/>
      <c r="AG91" s="1091"/>
      <c r="AH91" s="1091"/>
      <c r="AI91" s="1091"/>
      <c r="AJ91" s="1041" t="str">
        <f t="shared" si="279"/>
        <v/>
      </c>
    </row>
    <row r="92" spans="4:36" ht="11.25" customHeight="1" x14ac:dyDescent="0.2">
      <c r="D92" s="1092"/>
      <c r="E92" s="1093"/>
      <c r="F92" s="1093"/>
      <c r="G92" s="1093"/>
      <c r="H92" s="1094"/>
      <c r="I92" s="1095"/>
      <c r="J92" s="1096"/>
      <c r="K92" s="1096"/>
      <c r="L92" s="1096"/>
      <c r="M92" s="1097"/>
      <c r="N92" s="528">
        <f t="shared" ref="N92:P92" si="346">N434</f>
        <v>0</v>
      </c>
      <c r="O92" s="529">
        <f t="shared" si="346"/>
        <v>0</v>
      </c>
      <c r="P92" s="529">
        <f t="shared" si="346"/>
        <v>0</v>
      </c>
      <c r="Q92" s="1001" t="s">
        <v>701</v>
      </c>
      <c r="R92" s="528">
        <f t="shared" ref="R92:S92" si="347">R434</f>
        <v>0</v>
      </c>
      <c r="S92" s="529">
        <f t="shared" si="347"/>
        <v>0</v>
      </c>
      <c r="T92" s="1001" t="s">
        <v>701</v>
      </c>
      <c r="U92" s="530">
        <f t="shared" ref="U92:V92" si="348">U434</f>
        <v>0</v>
      </c>
      <c r="V92" s="529">
        <f t="shared" si="348"/>
        <v>0</v>
      </c>
      <c r="W92" s="1001" t="s">
        <v>701</v>
      </c>
      <c r="X92" s="1001" t="s">
        <v>701</v>
      </c>
      <c r="Y92" s="529">
        <f t="shared" ref="Y92" si="349">Y434</f>
        <v>0</v>
      </c>
      <c r="Z92" s="1001" t="s">
        <v>701</v>
      </c>
      <c r="AA92" s="1098"/>
      <c r="AB92" s="1091"/>
      <c r="AC92" s="1099"/>
      <c r="AD92" s="1100">
        <f t="shared" si="329"/>
        <v>0</v>
      </c>
      <c r="AE92" s="1091"/>
      <c r="AF92" s="1091"/>
      <c r="AG92" s="1091"/>
      <c r="AH92" s="1091"/>
      <c r="AI92" s="1091"/>
      <c r="AJ92" s="1041" t="str">
        <f t="shared" si="279"/>
        <v/>
      </c>
    </row>
    <row r="93" spans="4:36" ht="11.25" customHeight="1" thickBot="1" x14ac:dyDescent="0.25">
      <c r="D93" s="532" t="s">
        <v>418</v>
      </c>
      <c r="E93" s="533"/>
      <c r="F93" s="534"/>
      <c r="G93" s="535"/>
      <c r="H93" s="535"/>
      <c r="I93" s="534"/>
      <c r="J93" s="535"/>
      <c r="K93" s="535"/>
      <c r="L93" s="535"/>
      <c r="M93" s="536"/>
      <c r="N93" s="913">
        <f>SUM(N87:N92)</f>
        <v>0</v>
      </c>
      <c r="O93" s="913">
        <f t="shared" ref="O93" si="350">SUM(O87:O92)</f>
        <v>0</v>
      </c>
      <c r="P93" s="914"/>
      <c r="Q93" s="1002" t="s">
        <v>701</v>
      </c>
      <c r="R93" s="915"/>
      <c r="S93" s="916">
        <f t="shared" ref="S93" si="351">SUM(S87:S92)</f>
        <v>13</v>
      </c>
      <c r="T93" s="1003" t="s">
        <v>701</v>
      </c>
      <c r="U93" s="915"/>
      <c r="V93" s="916">
        <f t="shared" ref="V93" si="352">SUM(V87:V92)</f>
        <v>2</v>
      </c>
      <c r="W93" s="1003" t="s">
        <v>701</v>
      </c>
      <c r="X93" s="1003" t="s">
        <v>701</v>
      </c>
      <c r="Y93" s="916">
        <f t="shared" ref="Y93" si="353">SUM(Y87:Y92)</f>
        <v>3893.334658385093</v>
      </c>
      <c r="Z93" s="1003" t="s">
        <v>701</v>
      </c>
      <c r="AA93" s="1003" t="s">
        <v>701</v>
      </c>
      <c r="AB93" s="1004" t="s">
        <v>701</v>
      </c>
      <c r="AC93" s="1005" t="s">
        <v>701</v>
      </c>
      <c r="AD93" s="917"/>
      <c r="AE93" s="1004" t="s">
        <v>701</v>
      </c>
      <c r="AF93" s="1004" t="s">
        <v>701</v>
      </c>
      <c r="AG93" s="1004" t="s">
        <v>701</v>
      </c>
      <c r="AH93" s="1004" t="s">
        <v>701</v>
      </c>
      <c r="AI93" s="1004" t="s">
        <v>701</v>
      </c>
      <c r="AJ93" s="1042" t="str">
        <f t="shared" si="279"/>
        <v/>
      </c>
    </row>
    <row r="94" spans="4:36" ht="11.25" customHeight="1" x14ac:dyDescent="0.25">
      <c r="D94" s="1092" t="str">
        <f>D436</f>
        <v>Vineyard</v>
      </c>
      <c r="E94" s="1093" t="str">
        <f t="shared" ref="E94:P94" si="354">E436</f>
        <v>Transmission substation</v>
      </c>
      <c r="F94" s="1093" t="str">
        <f t="shared" si="354"/>
        <v>N2360</v>
      </c>
      <c r="G94" s="1093" t="str">
        <f t="shared" si="354"/>
        <v>Voltage upgrade</v>
      </c>
      <c r="H94" s="1094" t="str">
        <f t="shared" si="354"/>
        <v>Voltage issues</v>
      </c>
      <c r="I94" s="1095" t="str">
        <f t="shared" si="354"/>
        <v>330/132</v>
      </c>
      <c r="J94" s="1096">
        <f t="shared" si="354"/>
        <v>1125</v>
      </c>
      <c r="K94" s="1096">
        <f t="shared" si="354"/>
        <v>1125</v>
      </c>
      <c r="L94" s="1096">
        <f t="shared" si="354"/>
        <v>750</v>
      </c>
      <c r="M94" s="1097">
        <f t="shared" si="354"/>
        <v>750</v>
      </c>
      <c r="N94" s="522">
        <f t="shared" si="354"/>
        <v>0</v>
      </c>
      <c r="O94" s="523">
        <f t="shared" si="354"/>
        <v>0</v>
      </c>
      <c r="P94" s="524">
        <f t="shared" si="354"/>
        <v>0</v>
      </c>
      <c r="Q94" s="1000" t="s">
        <v>701</v>
      </c>
      <c r="R94" s="525" t="str">
        <f t="shared" ref="R94:S94" si="355">R436</f>
        <v>SF6</v>
      </c>
      <c r="S94" s="524">
        <f t="shared" si="355"/>
        <v>16</v>
      </c>
      <c r="T94" s="1000" t="s">
        <v>701</v>
      </c>
      <c r="U94" s="526">
        <f t="shared" ref="U94:V94" si="356">U436</f>
        <v>0</v>
      </c>
      <c r="V94" s="524">
        <f t="shared" si="356"/>
        <v>0</v>
      </c>
      <c r="W94" s="1000" t="s">
        <v>701</v>
      </c>
      <c r="X94" s="1000" t="s">
        <v>701</v>
      </c>
      <c r="Y94" s="527">
        <f t="shared" ref="Y94" si="357">Y436</f>
        <v>12761.45900621118</v>
      </c>
      <c r="Z94" s="1000" t="s">
        <v>701</v>
      </c>
      <c r="AA94" s="1098" t="s">
        <v>701</v>
      </c>
      <c r="AB94" s="1091" t="s">
        <v>701</v>
      </c>
      <c r="AC94" s="1099"/>
      <c r="AD94" s="1100">
        <f t="shared" ref="AD94:AD99" si="358">AD436</f>
        <v>0</v>
      </c>
      <c r="AE94" s="1091" t="s">
        <v>701</v>
      </c>
      <c r="AF94" s="1091" t="s">
        <v>701</v>
      </c>
      <c r="AG94" s="1091" t="s">
        <v>701</v>
      </c>
      <c r="AH94" s="1091" t="s">
        <v>701</v>
      </c>
      <c r="AI94" s="1091" t="s">
        <v>701</v>
      </c>
      <c r="AJ94" s="1040" t="str">
        <f t="shared" si="279"/>
        <v/>
      </c>
    </row>
    <row r="95" spans="4:36" ht="11.25" customHeight="1" x14ac:dyDescent="0.2">
      <c r="D95" s="1092"/>
      <c r="E95" s="1093"/>
      <c r="F95" s="1093"/>
      <c r="G95" s="1093"/>
      <c r="H95" s="1094"/>
      <c r="I95" s="1095"/>
      <c r="J95" s="1096"/>
      <c r="K95" s="1096"/>
      <c r="L95" s="1096"/>
      <c r="M95" s="1097"/>
      <c r="N95" s="528">
        <f t="shared" ref="N95:P95" si="359">N437</f>
        <v>0</v>
      </c>
      <c r="O95" s="529">
        <f t="shared" si="359"/>
        <v>0</v>
      </c>
      <c r="P95" s="529">
        <f t="shared" si="359"/>
        <v>0</v>
      </c>
      <c r="Q95" s="1001" t="s">
        <v>701</v>
      </c>
      <c r="R95" s="528" t="str">
        <f t="shared" ref="R95:S95" si="360">R437</f>
        <v>Oil/Air</v>
      </c>
      <c r="S95" s="529">
        <f t="shared" si="360"/>
        <v>16</v>
      </c>
      <c r="T95" s="1001" t="s">
        <v>701</v>
      </c>
      <c r="U95" s="530">
        <f t="shared" ref="U95:V95" si="361">U437</f>
        <v>0</v>
      </c>
      <c r="V95" s="529">
        <f t="shared" si="361"/>
        <v>0</v>
      </c>
      <c r="W95" s="1001" t="s">
        <v>701</v>
      </c>
      <c r="X95" s="1001" t="s">
        <v>701</v>
      </c>
      <c r="Y95" s="531">
        <f t="shared" ref="Y95" si="362">Y437</f>
        <v>0</v>
      </c>
      <c r="Z95" s="1001" t="s">
        <v>701</v>
      </c>
      <c r="AA95" s="1098"/>
      <c r="AB95" s="1091"/>
      <c r="AC95" s="1099"/>
      <c r="AD95" s="1100">
        <f t="shared" si="358"/>
        <v>0</v>
      </c>
      <c r="AE95" s="1091"/>
      <c r="AF95" s="1091"/>
      <c r="AG95" s="1091"/>
      <c r="AH95" s="1091"/>
      <c r="AI95" s="1091"/>
      <c r="AJ95" s="1041" t="str">
        <f t="shared" si="279"/>
        <v/>
      </c>
    </row>
    <row r="96" spans="4:36" ht="11.25" customHeight="1" x14ac:dyDescent="0.2">
      <c r="D96" s="1092"/>
      <c r="E96" s="1093"/>
      <c r="F96" s="1093"/>
      <c r="G96" s="1093"/>
      <c r="H96" s="1094"/>
      <c r="I96" s="1095"/>
      <c r="J96" s="1096"/>
      <c r="K96" s="1096"/>
      <c r="L96" s="1096"/>
      <c r="M96" s="1097"/>
      <c r="N96" s="528">
        <f t="shared" ref="N96:P96" si="363">N438</f>
        <v>0</v>
      </c>
      <c r="O96" s="529">
        <f t="shared" si="363"/>
        <v>0</v>
      </c>
      <c r="P96" s="529">
        <f t="shared" si="363"/>
        <v>0</v>
      </c>
      <c r="Q96" s="1001" t="s">
        <v>701</v>
      </c>
      <c r="R96" s="528">
        <f t="shared" ref="R96:S96" si="364">R438</f>
        <v>0</v>
      </c>
      <c r="S96" s="529">
        <f t="shared" si="364"/>
        <v>0</v>
      </c>
      <c r="T96" s="1001" t="s">
        <v>701</v>
      </c>
      <c r="U96" s="530">
        <f t="shared" ref="U96:V96" si="365">U438</f>
        <v>0</v>
      </c>
      <c r="V96" s="529">
        <f t="shared" si="365"/>
        <v>0</v>
      </c>
      <c r="W96" s="1001" t="s">
        <v>701</v>
      </c>
      <c r="X96" s="1001" t="s">
        <v>701</v>
      </c>
      <c r="Y96" s="529">
        <f t="shared" ref="Y96" si="366">Y438</f>
        <v>0</v>
      </c>
      <c r="Z96" s="1001" t="s">
        <v>701</v>
      </c>
      <c r="AA96" s="1098"/>
      <c r="AB96" s="1091"/>
      <c r="AC96" s="1099"/>
      <c r="AD96" s="1100">
        <f t="shared" si="358"/>
        <v>0</v>
      </c>
      <c r="AE96" s="1091"/>
      <c r="AF96" s="1091"/>
      <c r="AG96" s="1091"/>
      <c r="AH96" s="1091"/>
      <c r="AI96" s="1091"/>
      <c r="AJ96" s="1041" t="str">
        <f t="shared" si="279"/>
        <v/>
      </c>
    </row>
    <row r="97" spans="4:36" ht="11.25" customHeight="1" x14ac:dyDescent="0.2">
      <c r="D97" s="1092"/>
      <c r="E97" s="1093"/>
      <c r="F97" s="1093"/>
      <c r="G97" s="1093"/>
      <c r="H97" s="1094"/>
      <c r="I97" s="1095"/>
      <c r="J97" s="1096"/>
      <c r="K97" s="1096"/>
      <c r="L97" s="1096"/>
      <c r="M97" s="1097"/>
      <c r="N97" s="528">
        <f t="shared" ref="N97:P97" si="367">N439</f>
        <v>0</v>
      </c>
      <c r="O97" s="529">
        <f t="shared" si="367"/>
        <v>0</v>
      </c>
      <c r="P97" s="529">
        <f t="shared" si="367"/>
        <v>0</v>
      </c>
      <c r="Q97" s="1001" t="s">
        <v>701</v>
      </c>
      <c r="R97" s="528">
        <f t="shared" ref="R97:S97" si="368">R439</f>
        <v>0</v>
      </c>
      <c r="S97" s="529">
        <f t="shared" si="368"/>
        <v>0</v>
      </c>
      <c r="T97" s="1001" t="s">
        <v>701</v>
      </c>
      <c r="U97" s="530">
        <f t="shared" ref="U97:V97" si="369">U439</f>
        <v>0</v>
      </c>
      <c r="V97" s="529">
        <f t="shared" si="369"/>
        <v>0</v>
      </c>
      <c r="W97" s="1001" t="s">
        <v>701</v>
      </c>
      <c r="X97" s="1001" t="s">
        <v>701</v>
      </c>
      <c r="Y97" s="529">
        <f t="shared" ref="Y97" si="370">Y439</f>
        <v>0</v>
      </c>
      <c r="Z97" s="1001" t="s">
        <v>701</v>
      </c>
      <c r="AA97" s="1098"/>
      <c r="AB97" s="1091"/>
      <c r="AC97" s="1099"/>
      <c r="AD97" s="1100">
        <f t="shared" si="358"/>
        <v>0</v>
      </c>
      <c r="AE97" s="1091"/>
      <c r="AF97" s="1091"/>
      <c r="AG97" s="1091"/>
      <c r="AH97" s="1091"/>
      <c r="AI97" s="1091"/>
      <c r="AJ97" s="1041" t="str">
        <f t="shared" si="279"/>
        <v/>
      </c>
    </row>
    <row r="98" spans="4:36" ht="11.25" customHeight="1" x14ac:dyDescent="0.2">
      <c r="D98" s="1092"/>
      <c r="E98" s="1093"/>
      <c r="F98" s="1093"/>
      <c r="G98" s="1093"/>
      <c r="H98" s="1094"/>
      <c r="I98" s="1095"/>
      <c r="J98" s="1096"/>
      <c r="K98" s="1096"/>
      <c r="L98" s="1096"/>
      <c r="M98" s="1097"/>
      <c r="N98" s="528">
        <f t="shared" ref="N98:P98" si="371">N440</f>
        <v>0</v>
      </c>
      <c r="O98" s="529">
        <f t="shared" si="371"/>
        <v>0</v>
      </c>
      <c r="P98" s="529">
        <f t="shared" si="371"/>
        <v>0</v>
      </c>
      <c r="Q98" s="1001" t="s">
        <v>701</v>
      </c>
      <c r="R98" s="528">
        <f t="shared" ref="R98:S98" si="372">R440</f>
        <v>0</v>
      </c>
      <c r="S98" s="529">
        <f t="shared" si="372"/>
        <v>0</v>
      </c>
      <c r="T98" s="1001" t="s">
        <v>701</v>
      </c>
      <c r="U98" s="530">
        <f t="shared" ref="U98:V98" si="373">U440</f>
        <v>0</v>
      </c>
      <c r="V98" s="529">
        <f t="shared" si="373"/>
        <v>0</v>
      </c>
      <c r="W98" s="1001" t="s">
        <v>701</v>
      </c>
      <c r="X98" s="1001" t="s">
        <v>701</v>
      </c>
      <c r="Y98" s="529">
        <f t="shared" ref="Y98" si="374">Y440</f>
        <v>0</v>
      </c>
      <c r="Z98" s="1001" t="s">
        <v>701</v>
      </c>
      <c r="AA98" s="1098"/>
      <c r="AB98" s="1091"/>
      <c r="AC98" s="1099"/>
      <c r="AD98" s="1100">
        <f t="shared" si="358"/>
        <v>0</v>
      </c>
      <c r="AE98" s="1091"/>
      <c r="AF98" s="1091"/>
      <c r="AG98" s="1091"/>
      <c r="AH98" s="1091"/>
      <c r="AI98" s="1091"/>
      <c r="AJ98" s="1041" t="str">
        <f t="shared" si="279"/>
        <v/>
      </c>
    </row>
    <row r="99" spans="4:36" ht="11.25" customHeight="1" x14ac:dyDescent="0.2">
      <c r="D99" s="1092"/>
      <c r="E99" s="1093"/>
      <c r="F99" s="1093"/>
      <c r="G99" s="1093"/>
      <c r="H99" s="1094"/>
      <c r="I99" s="1095"/>
      <c r="J99" s="1096"/>
      <c r="K99" s="1096"/>
      <c r="L99" s="1096"/>
      <c r="M99" s="1097"/>
      <c r="N99" s="528">
        <f t="shared" ref="N99:P99" si="375">N441</f>
        <v>0</v>
      </c>
      <c r="O99" s="529">
        <f t="shared" si="375"/>
        <v>0</v>
      </c>
      <c r="P99" s="529">
        <f t="shared" si="375"/>
        <v>0</v>
      </c>
      <c r="Q99" s="1001" t="s">
        <v>701</v>
      </c>
      <c r="R99" s="528">
        <f t="shared" ref="R99:S99" si="376">R441</f>
        <v>0</v>
      </c>
      <c r="S99" s="529">
        <f t="shared" si="376"/>
        <v>0</v>
      </c>
      <c r="T99" s="1001" t="s">
        <v>701</v>
      </c>
      <c r="U99" s="530">
        <f t="shared" ref="U99:V99" si="377">U441</f>
        <v>0</v>
      </c>
      <c r="V99" s="529">
        <f t="shared" si="377"/>
        <v>0</v>
      </c>
      <c r="W99" s="1001" t="s">
        <v>701</v>
      </c>
      <c r="X99" s="1001" t="s">
        <v>701</v>
      </c>
      <c r="Y99" s="529">
        <f t="shared" ref="Y99" si="378">Y441</f>
        <v>0</v>
      </c>
      <c r="Z99" s="1001" t="s">
        <v>701</v>
      </c>
      <c r="AA99" s="1098"/>
      <c r="AB99" s="1091"/>
      <c r="AC99" s="1099"/>
      <c r="AD99" s="1100">
        <f t="shared" si="358"/>
        <v>0</v>
      </c>
      <c r="AE99" s="1091"/>
      <c r="AF99" s="1091"/>
      <c r="AG99" s="1091"/>
      <c r="AH99" s="1091"/>
      <c r="AI99" s="1091"/>
      <c r="AJ99" s="1041" t="str">
        <f t="shared" si="279"/>
        <v/>
      </c>
    </row>
    <row r="100" spans="4:36" ht="11.25" customHeight="1" thickBot="1" x14ac:dyDescent="0.25">
      <c r="D100" s="532" t="s">
        <v>418</v>
      </c>
      <c r="E100" s="533"/>
      <c r="F100" s="534"/>
      <c r="G100" s="535"/>
      <c r="H100" s="535"/>
      <c r="I100" s="534"/>
      <c r="J100" s="535"/>
      <c r="K100" s="535"/>
      <c r="L100" s="535"/>
      <c r="M100" s="536"/>
      <c r="N100" s="913">
        <f>SUM(N94:N99)</f>
        <v>0</v>
      </c>
      <c r="O100" s="913">
        <f t="shared" ref="O100" si="379">SUM(O94:O99)</f>
        <v>0</v>
      </c>
      <c r="P100" s="914"/>
      <c r="Q100" s="1002" t="s">
        <v>701</v>
      </c>
      <c r="R100" s="915"/>
      <c r="S100" s="916">
        <f t="shared" ref="S100" si="380">SUM(S94:S99)</f>
        <v>32</v>
      </c>
      <c r="T100" s="1003" t="s">
        <v>701</v>
      </c>
      <c r="U100" s="915"/>
      <c r="V100" s="916">
        <f t="shared" ref="V100" si="381">SUM(V94:V99)</f>
        <v>0</v>
      </c>
      <c r="W100" s="1003" t="s">
        <v>701</v>
      </c>
      <c r="X100" s="1003" t="s">
        <v>701</v>
      </c>
      <c r="Y100" s="916">
        <f t="shared" ref="Y100" si="382">SUM(Y94:Y99)</f>
        <v>12761.45900621118</v>
      </c>
      <c r="Z100" s="1003" t="s">
        <v>701</v>
      </c>
      <c r="AA100" s="1003" t="s">
        <v>701</v>
      </c>
      <c r="AB100" s="1004" t="s">
        <v>701</v>
      </c>
      <c r="AC100" s="1005" t="s">
        <v>701</v>
      </c>
      <c r="AD100" s="917"/>
      <c r="AE100" s="1004" t="s">
        <v>701</v>
      </c>
      <c r="AF100" s="1004" t="s">
        <v>701</v>
      </c>
      <c r="AG100" s="1004" t="s">
        <v>701</v>
      </c>
      <c r="AH100" s="1004" t="s">
        <v>701</v>
      </c>
      <c r="AI100" s="1004" t="s">
        <v>701</v>
      </c>
      <c r="AJ100" s="1042" t="str">
        <f t="shared" si="279"/>
        <v/>
      </c>
    </row>
    <row r="101" spans="4:36" ht="11.25" customHeight="1" x14ac:dyDescent="0.25">
      <c r="D101" s="1092" t="str">
        <f>D443</f>
        <v>Inverell</v>
      </c>
      <c r="E101" s="1093" t="str">
        <f t="shared" ref="E101:P101" si="383">E443</f>
        <v>Transmission substation</v>
      </c>
      <c r="F101" s="1093" t="str">
        <f t="shared" si="383"/>
        <v>N2649</v>
      </c>
      <c r="G101" s="1093" t="str">
        <f t="shared" si="383"/>
        <v>Voltage upgrade</v>
      </c>
      <c r="H101" s="1094" t="str">
        <f t="shared" si="383"/>
        <v>Voltage issues</v>
      </c>
      <c r="I101" s="1095" t="str">
        <f t="shared" si="383"/>
        <v>132/66</v>
      </c>
      <c r="J101" s="1096">
        <f t="shared" si="383"/>
        <v>240</v>
      </c>
      <c r="K101" s="1096">
        <f t="shared" si="383"/>
        <v>240</v>
      </c>
      <c r="L101" s="1096">
        <f t="shared" si="383"/>
        <v>120</v>
      </c>
      <c r="M101" s="1097">
        <f t="shared" si="383"/>
        <v>120</v>
      </c>
      <c r="N101" s="522">
        <f t="shared" si="383"/>
        <v>0</v>
      </c>
      <c r="O101" s="523">
        <f t="shared" si="383"/>
        <v>0</v>
      </c>
      <c r="P101" s="524">
        <f t="shared" si="383"/>
        <v>0</v>
      </c>
      <c r="Q101" s="1000" t="s">
        <v>701</v>
      </c>
      <c r="R101" s="525" t="str">
        <f t="shared" ref="R101:S101" si="384">R443</f>
        <v>SF6</v>
      </c>
      <c r="S101" s="524">
        <f t="shared" si="384"/>
        <v>1</v>
      </c>
      <c r="T101" s="1000" t="s">
        <v>701</v>
      </c>
      <c r="U101" s="526" t="str">
        <f t="shared" ref="U101:V101" si="385">U443</f>
        <v>Reactor</v>
      </c>
      <c r="V101" s="524">
        <f t="shared" si="385"/>
        <v>1</v>
      </c>
      <c r="W101" s="1000" t="s">
        <v>701</v>
      </c>
      <c r="X101" s="1000" t="s">
        <v>701</v>
      </c>
      <c r="Y101" s="527">
        <f t="shared" ref="Y101" si="386">Y443</f>
        <v>2628.6608695652171</v>
      </c>
      <c r="Z101" s="1000" t="s">
        <v>701</v>
      </c>
      <c r="AA101" s="1098" t="s">
        <v>701</v>
      </c>
      <c r="AB101" s="1091" t="s">
        <v>701</v>
      </c>
      <c r="AC101" s="1099"/>
      <c r="AD101" s="1100">
        <f t="shared" ref="AD101:AD106" si="387">AD443</f>
        <v>0</v>
      </c>
      <c r="AE101" s="1091" t="s">
        <v>701</v>
      </c>
      <c r="AF101" s="1091" t="s">
        <v>701</v>
      </c>
      <c r="AG101" s="1091" t="s">
        <v>701</v>
      </c>
      <c r="AH101" s="1091" t="s">
        <v>701</v>
      </c>
      <c r="AI101" s="1091" t="s">
        <v>701</v>
      </c>
      <c r="AJ101" s="1040" t="str">
        <f t="shared" si="279"/>
        <v/>
      </c>
    </row>
    <row r="102" spans="4:36" ht="11.25" customHeight="1" x14ac:dyDescent="0.2">
      <c r="D102" s="1092"/>
      <c r="E102" s="1093"/>
      <c r="F102" s="1093"/>
      <c r="G102" s="1093"/>
      <c r="H102" s="1094"/>
      <c r="I102" s="1095"/>
      <c r="J102" s="1096"/>
      <c r="K102" s="1096"/>
      <c r="L102" s="1096"/>
      <c r="M102" s="1097"/>
      <c r="N102" s="528">
        <f t="shared" ref="N102:P102" si="388">N444</f>
        <v>0</v>
      </c>
      <c r="O102" s="529">
        <f t="shared" si="388"/>
        <v>0</v>
      </c>
      <c r="P102" s="529">
        <f t="shared" si="388"/>
        <v>0</v>
      </c>
      <c r="Q102" s="1001" t="s">
        <v>701</v>
      </c>
      <c r="R102" s="528" t="str">
        <f t="shared" ref="R102:S102" si="389">R444</f>
        <v>Oil/Air</v>
      </c>
      <c r="S102" s="529">
        <f t="shared" si="389"/>
        <v>4</v>
      </c>
      <c r="T102" s="1001" t="s">
        <v>701</v>
      </c>
      <c r="U102" s="530">
        <f t="shared" ref="U102:V102" si="390">U444</f>
        <v>0</v>
      </c>
      <c r="V102" s="529">
        <f t="shared" si="390"/>
        <v>0</v>
      </c>
      <c r="W102" s="1001" t="s">
        <v>701</v>
      </c>
      <c r="X102" s="1001" t="s">
        <v>701</v>
      </c>
      <c r="Y102" s="531">
        <f t="shared" ref="Y102" si="391">Y444</f>
        <v>0</v>
      </c>
      <c r="Z102" s="1001" t="s">
        <v>701</v>
      </c>
      <c r="AA102" s="1098"/>
      <c r="AB102" s="1091"/>
      <c r="AC102" s="1099"/>
      <c r="AD102" s="1100">
        <f t="shared" si="387"/>
        <v>0</v>
      </c>
      <c r="AE102" s="1091"/>
      <c r="AF102" s="1091"/>
      <c r="AG102" s="1091"/>
      <c r="AH102" s="1091"/>
      <c r="AI102" s="1091"/>
      <c r="AJ102" s="1041" t="str">
        <f t="shared" si="279"/>
        <v/>
      </c>
    </row>
    <row r="103" spans="4:36" ht="11.25" customHeight="1" x14ac:dyDescent="0.2">
      <c r="D103" s="1092"/>
      <c r="E103" s="1093"/>
      <c r="F103" s="1093"/>
      <c r="G103" s="1093"/>
      <c r="H103" s="1094"/>
      <c r="I103" s="1095"/>
      <c r="J103" s="1096"/>
      <c r="K103" s="1096"/>
      <c r="L103" s="1096"/>
      <c r="M103" s="1097"/>
      <c r="N103" s="528">
        <f t="shared" ref="N103:P103" si="392">N445</f>
        <v>0</v>
      </c>
      <c r="O103" s="529">
        <f t="shared" si="392"/>
        <v>0</v>
      </c>
      <c r="P103" s="529">
        <f t="shared" si="392"/>
        <v>0</v>
      </c>
      <c r="Q103" s="1001" t="s">
        <v>701</v>
      </c>
      <c r="R103" s="528">
        <f t="shared" ref="R103:S103" si="393">R445</f>
        <v>0</v>
      </c>
      <c r="S103" s="529">
        <f t="shared" si="393"/>
        <v>0</v>
      </c>
      <c r="T103" s="1001" t="s">
        <v>701</v>
      </c>
      <c r="U103" s="530">
        <f t="shared" ref="U103:V103" si="394">U445</f>
        <v>0</v>
      </c>
      <c r="V103" s="529">
        <f t="shared" si="394"/>
        <v>0</v>
      </c>
      <c r="W103" s="1001" t="s">
        <v>701</v>
      </c>
      <c r="X103" s="1001" t="s">
        <v>701</v>
      </c>
      <c r="Y103" s="529">
        <f t="shared" ref="Y103" si="395">Y445</f>
        <v>0</v>
      </c>
      <c r="Z103" s="1001" t="s">
        <v>701</v>
      </c>
      <c r="AA103" s="1098"/>
      <c r="AB103" s="1091"/>
      <c r="AC103" s="1099"/>
      <c r="AD103" s="1100">
        <f t="shared" si="387"/>
        <v>0</v>
      </c>
      <c r="AE103" s="1091"/>
      <c r="AF103" s="1091"/>
      <c r="AG103" s="1091"/>
      <c r="AH103" s="1091"/>
      <c r="AI103" s="1091"/>
      <c r="AJ103" s="1041" t="str">
        <f t="shared" si="279"/>
        <v/>
      </c>
    </row>
    <row r="104" spans="4:36" ht="11.25" customHeight="1" x14ac:dyDescent="0.2">
      <c r="D104" s="1092"/>
      <c r="E104" s="1093"/>
      <c r="F104" s="1093"/>
      <c r="G104" s="1093"/>
      <c r="H104" s="1094"/>
      <c r="I104" s="1095"/>
      <c r="J104" s="1096"/>
      <c r="K104" s="1096"/>
      <c r="L104" s="1096"/>
      <c r="M104" s="1097"/>
      <c r="N104" s="528">
        <f t="shared" ref="N104:P104" si="396">N446</f>
        <v>0</v>
      </c>
      <c r="O104" s="529">
        <f t="shared" si="396"/>
        <v>0</v>
      </c>
      <c r="P104" s="529">
        <f t="shared" si="396"/>
        <v>0</v>
      </c>
      <c r="Q104" s="1001" t="s">
        <v>701</v>
      </c>
      <c r="R104" s="528">
        <f t="shared" ref="R104:S104" si="397">R446</f>
        <v>0</v>
      </c>
      <c r="S104" s="529">
        <f t="shared" si="397"/>
        <v>0</v>
      </c>
      <c r="T104" s="1001" t="s">
        <v>701</v>
      </c>
      <c r="U104" s="530">
        <f t="shared" ref="U104:V104" si="398">U446</f>
        <v>0</v>
      </c>
      <c r="V104" s="529">
        <f t="shared" si="398"/>
        <v>0</v>
      </c>
      <c r="W104" s="1001" t="s">
        <v>701</v>
      </c>
      <c r="X104" s="1001" t="s">
        <v>701</v>
      </c>
      <c r="Y104" s="529">
        <f t="shared" ref="Y104" si="399">Y446</f>
        <v>0</v>
      </c>
      <c r="Z104" s="1001" t="s">
        <v>701</v>
      </c>
      <c r="AA104" s="1098"/>
      <c r="AB104" s="1091"/>
      <c r="AC104" s="1099"/>
      <c r="AD104" s="1100">
        <f t="shared" si="387"/>
        <v>0</v>
      </c>
      <c r="AE104" s="1091"/>
      <c r="AF104" s="1091"/>
      <c r="AG104" s="1091"/>
      <c r="AH104" s="1091"/>
      <c r="AI104" s="1091"/>
      <c r="AJ104" s="1041" t="str">
        <f t="shared" si="279"/>
        <v/>
      </c>
    </row>
    <row r="105" spans="4:36" ht="11.25" customHeight="1" x14ac:dyDescent="0.2">
      <c r="D105" s="1092"/>
      <c r="E105" s="1093"/>
      <c r="F105" s="1093"/>
      <c r="G105" s="1093"/>
      <c r="H105" s="1094"/>
      <c r="I105" s="1095"/>
      <c r="J105" s="1096"/>
      <c r="K105" s="1096"/>
      <c r="L105" s="1096"/>
      <c r="M105" s="1097"/>
      <c r="N105" s="528">
        <f t="shared" ref="N105:P105" si="400">N447</f>
        <v>0</v>
      </c>
      <c r="O105" s="529">
        <f t="shared" si="400"/>
        <v>0</v>
      </c>
      <c r="P105" s="529">
        <f t="shared" si="400"/>
        <v>0</v>
      </c>
      <c r="Q105" s="1001" t="s">
        <v>701</v>
      </c>
      <c r="R105" s="528">
        <f t="shared" ref="R105:S105" si="401">R447</f>
        <v>0</v>
      </c>
      <c r="S105" s="529">
        <f t="shared" si="401"/>
        <v>0</v>
      </c>
      <c r="T105" s="1001" t="s">
        <v>701</v>
      </c>
      <c r="U105" s="530">
        <f t="shared" ref="U105:V105" si="402">U447</f>
        <v>0</v>
      </c>
      <c r="V105" s="529">
        <f t="shared" si="402"/>
        <v>0</v>
      </c>
      <c r="W105" s="1001" t="s">
        <v>701</v>
      </c>
      <c r="X105" s="1001" t="s">
        <v>701</v>
      </c>
      <c r="Y105" s="529">
        <f t="shared" ref="Y105" si="403">Y447</f>
        <v>0</v>
      </c>
      <c r="Z105" s="1001" t="s">
        <v>701</v>
      </c>
      <c r="AA105" s="1098"/>
      <c r="AB105" s="1091"/>
      <c r="AC105" s="1099"/>
      <c r="AD105" s="1100">
        <f t="shared" si="387"/>
        <v>0</v>
      </c>
      <c r="AE105" s="1091"/>
      <c r="AF105" s="1091"/>
      <c r="AG105" s="1091"/>
      <c r="AH105" s="1091"/>
      <c r="AI105" s="1091"/>
      <c r="AJ105" s="1041" t="str">
        <f t="shared" si="279"/>
        <v/>
      </c>
    </row>
    <row r="106" spans="4:36" ht="11.25" customHeight="1" x14ac:dyDescent="0.2">
      <c r="D106" s="1092"/>
      <c r="E106" s="1093"/>
      <c r="F106" s="1093"/>
      <c r="G106" s="1093"/>
      <c r="H106" s="1094"/>
      <c r="I106" s="1095"/>
      <c r="J106" s="1096"/>
      <c r="K106" s="1096"/>
      <c r="L106" s="1096"/>
      <c r="M106" s="1097"/>
      <c r="N106" s="528">
        <f t="shared" ref="N106:P106" si="404">N448</f>
        <v>0</v>
      </c>
      <c r="O106" s="529">
        <f t="shared" si="404"/>
        <v>0</v>
      </c>
      <c r="P106" s="529">
        <f t="shared" si="404"/>
        <v>0</v>
      </c>
      <c r="Q106" s="1001" t="s">
        <v>701</v>
      </c>
      <c r="R106" s="528">
        <f t="shared" ref="R106:S106" si="405">R448</f>
        <v>0</v>
      </c>
      <c r="S106" s="529">
        <f t="shared" si="405"/>
        <v>0</v>
      </c>
      <c r="T106" s="1001" t="s">
        <v>701</v>
      </c>
      <c r="U106" s="530">
        <f t="shared" ref="U106:V106" si="406">U448</f>
        <v>0</v>
      </c>
      <c r="V106" s="529">
        <f t="shared" si="406"/>
        <v>0</v>
      </c>
      <c r="W106" s="1001" t="s">
        <v>701</v>
      </c>
      <c r="X106" s="1001" t="s">
        <v>701</v>
      </c>
      <c r="Y106" s="529">
        <f t="shared" ref="Y106" si="407">Y448</f>
        <v>0</v>
      </c>
      <c r="Z106" s="1001" t="s">
        <v>701</v>
      </c>
      <c r="AA106" s="1098"/>
      <c r="AB106" s="1091"/>
      <c r="AC106" s="1099"/>
      <c r="AD106" s="1100">
        <f t="shared" si="387"/>
        <v>0</v>
      </c>
      <c r="AE106" s="1091"/>
      <c r="AF106" s="1091"/>
      <c r="AG106" s="1091"/>
      <c r="AH106" s="1091"/>
      <c r="AI106" s="1091"/>
      <c r="AJ106" s="1041" t="str">
        <f t="shared" si="279"/>
        <v/>
      </c>
    </row>
    <row r="107" spans="4:36" ht="11.25" customHeight="1" thickBot="1" x14ac:dyDescent="0.25">
      <c r="D107" s="532" t="s">
        <v>418</v>
      </c>
      <c r="E107" s="533"/>
      <c r="F107" s="534"/>
      <c r="G107" s="535"/>
      <c r="H107" s="535"/>
      <c r="I107" s="534"/>
      <c r="J107" s="535"/>
      <c r="K107" s="535"/>
      <c r="L107" s="535"/>
      <c r="M107" s="536"/>
      <c r="N107" s="913">
        <f>SUM(N101:N106)</f>
        <v>0</v>
      </c>
      <c r="O107" s="913">
        <f t="shared" ref="O107" si="408">SUM(O101:O106)</f>
        <v>0</v>
      </c>
      <c r="P107" s="914"/>
      <c r="Q107" s="1002" t="s">
        <v>701</v>
      </c>
      <c r="R107" s="915"/>
      <c r="S107" s="916">
        <f t="shared" ref="S107" si="409">SUM(S101:S106)</f>
        <v>5</v>
      </c>
      <c r="T107" s="1003" t="s">
        <v>701</v>
      </c>
      <c r="U107" s="915"/>
      <c r="V107" s="916">
        <f t="shared" ref="V107" si="410">SUM(V101:V106)</f>
        <v>1</v>
      </c>
      <c r="W107" s="1003" t="s">
        <v>701</v>
      </c>
      <c r="X107" s="1003" t="s">
        <v>701</v>
      </c>
      <c r="Y107" s="916">
        <f t="shared" ref="Y107" si="411">SUM(Y101:Y106)</f>
        <v>2628.6608695652171</v>
      </c>
      <c r="Z107" s="1003" t="s">
        <v>701</v>
      </c>
      <c r="AA107" s="1003" t="s">
        <v>701</v>
      </c>
      <c r="AB107" s="1004" t="s">
        <v>701</v>
      </c>
      <c r="AC107" s="1005" t="s">
        <v>701</v>
      </c>
      <c r="AD107" s="917"/>
      <c r="AE107" s="1004" t="s">
        <v>701</v>
      </c>
      <c r="AF107" s="1004" t="s">
        <v>701</v>
      </c>
      <c r="AG107" s="1004" t="s">
        <v>701</v>
      </c>
      <c r="AH107" s="1004" t="s">
        <v>701</v>
      </c>
      <c r="AI107" s="1004" t="s">
        <v>701</v>
      </c>
      <c r="AJ107" s="1042" t="str">
        <f t="shared" si="279"/>
        <v/>
      </c>
    </row>
    <row r="108" spans="4:36" ht="11.25" customHeight="1" x14ac:dyDescent="0.25">
      <c r="D108" s="1092" t="str">
        <f>D450</f>
        <v>Beryl</v>
      </c>
      <c r="E108" s="1093" t="str">
        <f t="shared" ref="E108:P108" si="412">E450</f>
        <v>Transmission substation</v>
      </c>
      <c r="F108" s="1093">
        <f t="shared" si="412"/>
        <v>1316</v>
      </c>
      <c r="G108" s="1093" t="str">
        <f t="shared" si="412"/>
        <v>Voltage upgrade</v>
      </c>
      <c r="H108" s="1094" t="str">
        <f t="shared" si="412"/>
        <v>Voltage issues</v>
      </c>
      <c r="I108" s="1095" t="str">
        <f t="shared" si="412"/>
        <v>132/66</v>
      </c>
      <c r="J108" s="1096">
        <f t="shared" si="412"/>
        <v>240</v>
      </c>
      <c r="K108" s="1096">
        <f t="shared" si="412"/>
        <v>240</v>
      </c>
      <c r="L108" s="1096">
        <f t="shared" si="412"/>
        <v>120</v>
      </c>
      <c r="M108" s="1097">
        <f t="shared" si="412"/>
        <v>120</v>
      </c>
      <c r="N108" s="522">
        <f t="shared" si="412"/>
        <v>0</v>
      </c>
      <c r="O108" s="523">
        <f t="shared" si="412"/>
        <v>0</v>
      </c>
      <c r="P108" s="524">
        <f t="shared" si="412"/>
        <v>0</v>
      </c>
      <c r="Q108" s="1000" t="s">
        <v>701</v>
      </c>
      <c r="R108" s="525" t="str">
        <f t="shared" ref="R108:S108" si="413">R450</f>
        <v>SF6</v>
      </c>
      <c r="S108" s="524">
        <f t="shared" si="413"/>
        <v>1</v>
      </c>
      <c r="T108" s="1000" t="s">
        <v>701</v>
      </c>
      <c r="U108" s="526" t="str">
        <f t="shared" ref="U108:V108" si="414">U450</f>
        <v>Syncon</v>
      </c>
      <c r="V108" s="524">
        <f t="shared" si="414"/>
        <v>1</v>
      </c>
      <c r="W108" s="1000" t="s">
        <v>701</v>
      </c>
      <c r="X108" s="1000" t="s">
        <v>701</v>
      </c>
      <c r="Y108" s="527">
        <f t="shared" ref="Y108" si="415">Y450</f>
        <v>3507.2347826086952</v>
      </c>
      <c r="Z108" s="1000" t="s">
        <v>701</v>
      </c>
      <c r="AA108" s="1098" t="s">
        <v>701</v>
      </c>
      <c r="AB108" s="1091" t="s">
        <v>701</v>
      </c>
      <c r="AC108" s="1099"/>
      <c r="AD108" s="1100">
        <f t="shared" ref="AD108:AD113" si="416">AD450</f>
        <v>0</v>
      </c>
      <c r="AE108" s="1091" t="s">
        <v>701</v>
      </c>
      <c r="AF108" s="1091" t="s">
        <v>701</v>
      </c>
      <c r="AG108" s="1091" t="s">
        <v>701</v>
      </c>
      <c r="AH108" s="1091" t="s">
        <v>701</v>
      </c>
      <c r="AI108" s="1091" t="s">
        <v>701</v>
      </c>
      <c r="AJ108" s="1040" t="str">
        <f t="shared" si="279"/>
        <v/>
      </c>
    </row>
    <row r="109" spans="4:36" ht="11.25" customHeight="1" x14ac:dyDescent="0.2">
      <c r="D109" s="1092"/>
      <c r="E109" s="1093"/>
      <c r="F109" s="1093"/>
      <c r="G109" s="1093"/>
      <c r="H109" s="1094"/>
      <c r="I109" s="1095"/>
      <c r="J109" s="1096"/>
      <c r="K109" s="1096"/>
      <c r="L109" s="1096"/>
      <c r="M109" s="1097"/>
      <c r="N109" s="528">
        <f t="shared" ref="N109:P109" si="417">N451</f>
        <v>0</v>
      </c>
      <c r="O109" s="529">
        <f t="shared" si="417"/>
        <v>0</v>
      </c>
      <c r="P109" s="529">
        <f t="shared" si="417"/>
        <v>0</v>
      </c>
      <c r="Q109" s="1001" t="s">
        <v>701</v>
      </c>
      <c r="R109" s="528" t="str">
        <f t="shared" ref="R109:S109" si="418">R451</f>
        <v>Oil/Air</v>
      </c>
      <c r="S109" s="529">
        <f t="shared" si="418"/>
        <v>8</v>
      </c>
      <c r="T109" s="1001" t="s">
        <v>701</v>
      </c>
      <c r="U109" s="530">
        <f t="shared" ref="U109:V109" si="419">U451</f>
        <v>0</v>
      </c>
      <c r="V109" s="529">
        <f t="shared" si="419"/>
        <v>0</v>
      </c>
      <c r="W109" s="1001" t="s">
        <v>701</v>
      </c>
      <c r="X109" s="1001" t="s">
        <v>701</v>
      </c>
      <c r="Y109" s="531">
        <f t="shared" ref="Y109" si="420">Y451</f>
        <v>0</v>
      </c>
      <c r="Z109" s="1001" t="s">
        <v>701</v>
      </c>
      <c r="AA109" s="1098"/>
      <c r="AB109" s="1091"/>
      <c r="AC109" s="1099"/>
      <c r="AD109" s="1100">
        <f t="shared" si="416"/>
        <v>0</v>
      </c>
      <c r="AE109" s="1091"/>
      <c r="AF109" s="1091"/>
      <c r="AG109" s="1091"/>
      <c r="AH109" s="1091"/>
      <c r="AI109" s="1091"/>
      <c r="AJ109" s="1041" t="str">
        <f t="shared" si="279"/>
        <v/>
      </c>
    </row>
    <row r="110" spans="4:36" ht="11.25" customHeight="1" x14ac:dyDescent="0.2">
      <c r="D110" s="1092"/>
      <c r="E110" s="1093"/>
      <c r="F110" s="1093"/>
      <c r="G110" s="1093"/>
      <c r="H110" s="1094"/>
      <c r="I110" s="1095"/>
      <c r="J110" s="1096"/>
      <c r="K110" s="1096"/>
      <c r="L110" s="1096"/>
      <c r="M110" s="1097"/>
      <c r="N110" s="528">
        <f t="shared" ref="N110:P110" si="421">N452</f>
        <v>0</v>
      </c>
      <c r="O110" s="529">
        <f t="shared" si="421"/>
        <v>0</v>
      </c>
      <c r="P110" s="529">
        <f t="shared" si="421"/>
        <v>0</v>
      </c>
      <c r="Q110" s="1001" t="s">
        <v>701</v>
      </c>
      <c r="R110" s="528">
        <f t="shared" ref="R110:S110" si="422">R452</f>
        <v>0</v>
      </c>
      <c r="S110" s="529">
        <f t="shared" si="422"/>
        <v>0</v>
      </c>
      <c r="T110" s="1001" t="s">
        <v>701</v>
      </c>
      <c r="U110" s="530">
        <f t="shared" ref="U110:V110" si="423">U452</f>
        <v>0</v>
      </c>
      <c r="V110" s="529">
        <f t="shared" si="423"/>
        <v>0</v>
      </c>
      <c r="W110" s="1001" t="s">
        <v>701</v>
      </c>
      <c r="X110" s="1001" t="s">
        <v>701</v>
      </c>
      <c r="Y110" s="529">
        <f t="shared" ref="Y110" si="424">Y452</f>
        <v>0</v>
      </c>
      <c r="Z110" s="1001" t="s">
        <v>701</v>
      </c>
      <c r="AA110" s="1098"/>
      <c r="AB110" s="1091"/>
      <c r="AC110" s="1099"/>
      <c r="AD110" s="1100">
        <f t="shared" si="416"/>
        <v>0</v>
      </c>
      <c r="AE110" s="1091"/>
      <c r="AF110" s="1091"/>
      <c r="AG110" s="1091"/>
      <c r="AH110" s="1091"/>
      <c r="AI110" s="1091"/>
      <c r="AJ110" s="1041" t="str">
        <f t="shared" si="279"/>
        <v/>
      </c>
    </row>
    <row r="111" spans="4:36" ht="11.25" customHeight="1" x14ac:dyDescent="0.2">
      <c r="D111" s="1092"/>
      <c r="E111" s="1093"/>
      <c r="F111" s="1093"/>
      <c r="G111" s="1093"/>
      <c r="H111" s="1094"/>
      <c r="I111" s="1095"/>
      <c r="J111" s="1096"/>
      <c r="K111" s="1096"/>
      <c r="L111" s="1096"/>
      <c r="M111" s="1097"/>
      <c r="N111" s="528">
        <f t="shared" ref="N111:P111" si="425">N453</f>
        <v>0</v>
      </c>
      <c r="O111" s="529">
        <f t="shared" si="425"/>
        <v>0</v>
      </c>
      <c r="P111" s="529">
        <f t="shared" si="425"/>
        <v>0</v>
      </c>
      <c r="Q111" s="1001" t="s">
        <v>701</v>
      </c>
      <c r="R111" s="528">
        <f t="shared" ref="R111:S111" si="426">R453</f>
        <v>0</v>
      </c>
      <c r="S111" s="529">
        <f t="shared" si="426"/>
        <v>0</v>
      </c>
      <c r="T111" s="1001" t="s">
        <v>701</v>
      </c>
      <c r="U111" s="530">
        <f t="shared" ref="U111:V111" si="427">U453</f>
        <v>0</v>
      </c>
      <c r="V111" s="529">
        <f t="shared" si="427"/>
        <v>0</v>
      </c>
      <c r="W111" s="1001" t="s">
        <v>701</v>
      </c>
      <c r="X111" s="1001" t="s">
        <v>701</v>
      </c>
      <c r="Y111" s="529">
        <f t="shared" ref="Y111" si="428">Y453</f>
        <v>0</v>
      </c>
      <c r="Z111" s="1001" t="s">
        <v>701</v>
      </c>
      <c r="AA111" s="1098"/>
      <c r="AB111" s="1091"/>
      <c r="AC111" s="1099"/>
      <c r="AD111" s="1100">
        <f t="shared" si="416"/>
        <v>0</v>
      </c>
      <c r="AE111" s="1091"/>
      <c r="AF111" s="1091"/>
      <c r="AG111" s="1091"/>
      <c r="AH111" s="1091"/>
      <c r="AI111" s="1091"/>
      <c r="AJ111" s="1041" t="str">
        <f t="shared" si="279"/>
        <v/>
      </c>
    </row>
    <row r="112" spans="4:36" ht="11.25" customHeight="1" x14ac:dyDescent="0.2">
      <c r="D112" s="1092"/>
      <c r="E112" s="1093"/>
      <c r="F112" s="1093"/>
      <c r="G112" s="1093"/>
      <c r="H112" s="1094"/>
      <c r="I112" s="1095"/>
      <c r="J112" s="1096"/>
      <c r="K112" s="1096"/>
      <c r="L112" s="1096"/>
      <c r="M112" s="1097"/>
      <c r="N112" s="528">
        <f t="shared" ref="N112:P112" si="429">N454</f>
        <v>0</v>
      </c>
      <c r="O112" s="529">
        <f t="shared" si="429"/>
        <v>0</v>
      </c>
      <c r="P112" s="529">
        <f t="shared" si="429"/>
        <v>0</v>
      </c>
      <c r="Q112" s="1001" t="s">
        <v>701</v>
      </c>
      <c r="R112" s="528">
        <f t="shared" ref="R112:S112" si="430">R454</f>
        <v>0</v>
      </c>
      <c r="S112" s="529">
        <f t="shared" si="430"/>
        <v>0</v>
      </c>
      <c r="T112" s="1001" t="s">
        <v>701</v>
      </c>
      <c r="U112" s="530">
        <f t="shared" ref="U112:V112" si="431">U454</f>
        <v>0</v>
      </c>
      <c r="V112" s="529">
        <f t="shared" si="431"/>
        <v>0</v>
      </c>
      <c r="W112" s="1001" t="s">
        <v>701</v>
      </c>
      <c r="X112" s="1001" t="s">
        <v>701</v>
      </c>
      <c r="Y112" s="529">
        <f t="shared" ref="Y112" si="432">Y454</f>
        <v>0</v>
      </c>
      <c r="Z112" s="1001" t="s">
        <v>701</v>
      </c>
      <c r="AA112" s="1098"/>
      <c r="AB112" s="1091"/>
      <c r="AC112" s="1099"/>
      <c r="AD112" s="1100">
        <f t="shared" si="416"/>
        <v>0</v>
      </c>
      <c r="AE112" s="1091"/>
      <c r="AF112" s="1091"/>
      <c r="AG112" s="1091"/>
      <c r="AH112" s="1091"/>
      <c r="AI112" s="1091"/>
      <c r="AJ112" s="1041" t="str">
        <f t="shared" si="279"/>
        <v/>
      </c>
    </row>
    <row r="113" spans="4:36" ht="11.25" customHeight="1" x14ac:dyDescent="0.2">
      <c r="D113" s="1092"/>
      <c r="E113" s="1093"/>
      <c r="F113" s="1093"/>
      <c r="G113" s="1093"/>
      <c r="H113" s="1094"/>
      <c r="I113" s="1095"/>
      <c r="J113" s="1096"/>
      <c r="K113" s="1096"/>
      <c r="L113" s="1096"/>
      <c r="M113" s="1097"/>
      <c r="N113" s="528">
        <f t="shared" ref="N113:P113" si="433">N455</f>
        <v>0</v>
      </c>
      <c r="O113" s="529">
        <f t="shared" si="433"/>
        <v>0</v>
      </c>
      <c r="P113" s="529">
        <f t="shared" si="433"/>
        <v>0</v>
      </c>
      <c r="Q113" s="1001" t="s">
        <v>701</v>
      </c>
      <c r="R113" s="528">
        <f t="shared" ref="R113:S113" si="434">R455</f>
        <v>0</v>
      </c>
      <c r="S113" s="529">
        <f t="shared" si="434"/>
        <v>0</v>
      </c>
      <c r="T113" s="1001" t="s">
        <v>701</v>
      </c>
      <c r="U113" s="530">
        <f t="shared" ref="U113:V113" si="435">U455</f>
        <v>0</v>
      </c>
      <c r="V113" s="529">
        <f t="shared" si="435"/>
        <v>0</v>
      </c>
      <c r="W113" s="1001" t="s">
        <v>701</v>
      </c>
      <c r="X113" s="1001" t="s">
        <v>701</v>
      </c>
      <c r="Y113" s="529">
        <f t="shared" ref="Y113" si="436">Y455</f>
        <v>0</v>
      </c>
      <c r="Z113" s="1001" t="s">
        <v>701</v>
      </c>
      <c r="AA113" s="1098"/>
      <c r="AB113" s="1091"/>
      <c r="AC113" s="1099"/>
      <c r="AD113" s="1100">
        <f t="shared" si="416"/>
        <v>0</v>
      </c>
      <c r="AE113" s="1091"/>
      <c r="AF113" s="1091"/>
      <c r="AG113" s="1091"/>
      <c r="AH113" s="1091"/>
      <c r="AI113" s="1091"/>
      <c r="AJ113" s="1041" t="str">
        <f t="shared" si="279"/>
        <v/>
      </c>
    </row>
    <row r="114" spans="4:36" ht="11.25" customHeight="1" thickBot="1" x14ac:dyDescent="0.25">
      <c r="D114" s="532" t="s">
        <v>418</v>
      </c>
      <c r="E114" s="533"/>
      <c r="F114" s="534"/>
      <c r="G114" s="535"/>
      <c r="H114" s="535"/>
      <c r="I114" s="534"/>
      <c r="J114" s="535"/>
      <c r="K114" s="535"/>
      <c r="L114" s="535"/>
      <c r="M114" s="536"/>
      <c r="N114" s="913">
        <f>SUM(N108:N113)</f>
        <v>0</v>
      </c>
      <c r="O114" s="913">
        <f t="shared" ref="O114" si="437">SUM(O108:O113)</f>
        <v>0</v>
      </c>
      <c r="P114" s="914"/>
      <c r="Q114" s="1002" t="s">
        <v>701</v>
      </c>
      <c r="R114" s="915"/>
      <c r="S114" s="916">
        <f t="shared" ref="S114" si="438">SUM(S108:S113)</f>
        <v>9</v>
      </c>
      <c r="T114" s="1003" t="s">
        <v>701</v>
      </c>
      <c r="U114" s="915"/>
      <c r="V114" s="916">
        <f t="shared" ref="V114" si="439">SUM(V108:V113)</f>
        <v>1</v>
      </c>
      <c r="W114" s="1003" t="s">
        <v>701</v>
      </c>
      <c r="X114" s="1003" t="s">
        <v>701</v>
      </c>
      <c r="Y114" s="916">
        <f t="shared" ref="Y114" si="440">SUM(Y108:Y113)</f>
        <v>3507.2347826086952</v>
      </c>
      <c r="Z114" s="1003" t="s">
        <v>701</v>
      </c>
      <c r="AA114" s="1003" t="s">
        <v>701</v>
      </c>
      <c r="AB114" s="1004" t="s">
        <v>701</v>
      </c>
      <c r="AC114" s="1005" t="s">
        <v>701</v>
      </c>
      <c r="AD114" s="917"/>
      <c r="AE114" s="1004" t="s">
        <v>701</v>
      </c>
      <c r="AF114" s="1004" t="s">
        <v>701</v>
      </c>
      <c r="AG114" s="1004" t="s">
        <v>701</v>
      </c>
      <c r="AH114" s="1004" t="s">
        <v>701</v>
      </c>
      <c r="AI114" s="1004" t="s">
        <v>701</v>
      </c>
      <c r="AJ114" s="1042" t="str">
        <f t="shared" si="279"/>
        <v/>
      </c>
    </row>
    <row r="115" spans="4:36" ht="11.25" customHeight="1" x14ac:dyDescent="0.25">
      <c r="D115" s="1092" t="str">
        <f>D457</f>
        <v>Williamsdale</v>
      </c>
      <c r="E115" s="1093" t="str">
        <f t="shared" ref="E115:P115" si="441">E457</f>
        <v>Transmission substation</v>
      </c>
      <c r="F115" s="1093" t="str">
        <f t="shared" si="441"/>
        <v>N2645</v>
      </c>
      <c r="G115" s="1093" t="str">
        <f t="shared" si="441"/>
        <v>Voltage upgrade</v>
      </c>
      <c r="H115" s="1094" t="str">
        <f t="shared" si="441"/>
        <v>Voltage issues</v>
      </c>
      <c r="I115" s="1095" t="str">
        <f t="shared" si="441"/>
        <v>330/132</v>
      </c>
      <c r="J115" s="1096">
        <f t="shared" si="441"/>
        <v>750</v>
      </c>
      <c r="K115" s="1096">
        <f t="shared" si="441"/>
        <v>850</v>
      </c>
      <c r="L115" s="1096">
        <f t="shared" si="441"/>
        <v>375</v>
      </c>
      <c r="M115" s="1097">
        <f t="shared" si="441"/>
        <v>475</v>
      </c>
      <c r="N115" s="522">
        <f t="shared" si="441"/>
        <v>1</v>
      </c>
      <c r="O115" s="523">
        <f t="shared" si="441"/>
        <v>100</v>
      </c>
      <c r="P115" s="524" t="str">
        <f t="shared" si="441"/>
        <v>Yes</v>
      </c>
      <c r="Q115" s="1000" t="s">
        <v>701</v>
      </c>
      <c r="R115" s="525">
        <f t="shared" ref="R115:S115" si="442">R457</f>
        <v>0</v>
      </c>
      <c r="S115" s="524">
        <f t="shared" si="442"/>
        <v>0</v>
      </c>
      <c r="T115" s="1000" t="s">
        <v>701</v>
      </c>
      <c r="U115" s="526" t="str">
        <f t="shared" ref="U115:V115" si="443">U457</f>
        <v>Static Var Compensator (SVC)</v>
      </c>
      <c r="V115" s="524">
        <f t="shared" si="443"/>
        <v>1</v>
      </c>
      <c r="W115" s="1000" t="s">
        <v>701</v>
      </c>
      <c r="X115" s="1000" t="s">
        <v>701</v>
      </c>
      <c r="Y115" s="527">
        <f t="shared" ref="Y115" si="444">Y457</f>
        <v>3882.8190062111798</v>
      </c>
      <c r="Z115" s="1000" t="s">
        <v>701</v>
      </c>
      <c r="AA115" s="1098" t="s">
        <v>701</v>
      </c>
      <c r="AB115" s="1091" t="s">
        <v>701</v>
      </c>
      <c r="AC115" s="1099"/>
      <c r="AD115" s="1100">
        <f t="shared" ref="AD115:AD120" si="445">AD457</f>
        <v>0</v>
      </c>
      <c r="AE115" s="1091" t="s">
        <v>701</v>
      </c>
      <c r="AF115" s="1091" t="s">
        <v>701</v>
      </c>
      <c r="AG115" s="1091" t="s">
        <v>701</v>
      </c>
      <c r="AH115" s="1091" t="s">
        <v>701</v>
      </c>
      <c r="AI115" s="1091" t="s">
        <v>701</v>
      </c>
      <c r="AJ115" s="1040" t="str">
        <f t="shared" si="279"/>
        <v/>
      </c>
    </row>
    <row r="116" spans="4:36" ht="11.25" customHeight="1" x14ac:dyDescent="0.2">
      <c r="D116" s="1092"/>
      <c r="E116" s="1093"/>
      <c r="F116" s="1093"/>
      <c r="G116" s="1093"/>
      <c r="H116" s="1094"/>
      <c r="I116" s="1095"/>
      <c r="J116" s="1096"/>
      <c r="K116" s="1096"/>
      <c r="L116" s="1096"/>
      <c r="M116" s="1097"/>
      <c r="N116" s="528">
        <f t="shared" ref="N116:P116" si="446">N458</f>
        <v>0</v>
      </c>
      <c r="O116" s="529">
        <f t="shared" si="446"/>
        <v>0</v>
      </c>
      <c r="P116" s="529">
        <f t="shared" si="446"/>
        <v>0</v>
      </c>
      <c r="Q116" s="1001" t="s">
        <v>701</v>
      </c>
      <c r="R116" s="528">
        <f t="shared" ref="R116:S116" si="447">R458</f>
        <v>0</v>
      </c>
      <c r="S116" s="529">
        <f t="shared" si="447"/>
        <v>0</v>
      </c>
      <c r="T116" s="1001" t="s">
        <v>701</v>
      </c>
      <c r="U116" s="530">
        <f t="shared" ref="U116:V116" si="448">U458</f>
        <v>0</v>
      </c>
      <c r="V116" s="529">
        <f t="shared" si="448"/>
        <v>0</v>
      </c>
      <c r="W116" s="1001" t="s">
        <v>701</v>
      </c>
      <c r="X116" s="1001" t="s">
        <v>701</v>
      </c>
      <c r="Y116" s="531">
        <f t="shared" ref="Y116" si="449">Y458</f>
        <v>0</v>
      </c>
      <c r="Z116" s="1001" t="s">
        <v>701</v>
      </c>
      <c r="AA116" s="1098"/>
      <c r="AB116" s="1091"/>
      <c r="AC116" s="1099"/>
      <c r="AD116" s="1100">
        <f t="shared" si="445"/>
        <v>0</v>
      </c>
      <c r="AE116" s="1091"/>
      <c r="AF116" s="1091"/>
      <c r="AG116" s="1091"/>
      <c r="AH116" s="1091"/>
      <c r="AI116" s="1091"/>
      <c r="AJ116" s="1041" t="str">
        <f t="shared" si="279"/>
        <v/>
      </c>
    </row>
    <row r="117" spans="4:36" ht="11.25" customHeight="1" x14ac:dyDescent="0.2">
      <c r="D117" s="1092"/>
      <c r="E117" s="1093"/>
      <c r="F117" s="1093"/>
      <c r="G117" s="1093"/>
      <c r="H117" s="1094"/>
      <c r="I117" s="1095"/>
      <c r="J117" s="1096"/>
      <c r="K117" s="1096"/>
      <c r="L117" s="1096"/>
      <c r="M117" s="1097"/>
      <c r="N117" s="528">
        <f t="shared" ref="N117:P117" si="450">N459</f>
        <v>0</v>
      </c>
      <c r="O117" s="529">
        <f t="shared" si="450"/>
        <v>0</v>
      </c>
      <c r="P117" s="529">
        <f t="shared" si="450"/>
        <v>0</v>
      </c>
      <c r="Q117" s="1001" t="s">
        <v>701</v>
      </c>
      <c r="R117" s="528">
        <f t="shared" ref="R117:S117" si="451">R459</f>
        <v>0</v>
      </c>
      <c r="S117" s="529">
        <f t="shared" si="451"/>
        <v>0</v>
      </c>
      <c r="T117" s="1001" t="s">
        <v>701</v>
      </c>
      <c r="U117" s="530">
        <f t="shared" ref="U117:V117" si="452">U459</f>
        <v>0</v>
      </c>
      <c r="V117" s="529">
        <f t="shared" si="452"/>
        <v>0</v>
      </c>
      <c r="W117" s="1001" t="s">
        <v>701</v>
      </c>
      <c r="X117" s="1001" t="s">
        <v>701</v>
      </c>
      <c r="Y117" s="529">
        <f t="shared" ref="Y117" si="453">Y459</f>
        <v>0</v>
      </c>
      <c r="Z117" s="1001" t="s">
        <v>701</v>
      </c>
      <c r="AA117" s="1098"/>
      <c r="AB117" s="1091"/>
      <c r="AC117" s="1099"/>
      <c r="AD117" s="1100">
        <f t="shared" si="445"/>
        <v>0</v>
      </c>
      <c r="AE117" s="1091"/>
      <c r="AF117" s="1091"/>
      <c r="AG117" s="1091"/>
      <c r="AH117" s="1091"/>
      <c r="AI117" s="1091"/>
      <c r="AJ117" s="1041" t="str">
        <f t="shared" si="279"/>
        <v/>
      </c>
    </row>
    <row r="118" spans="4:36" ht="11.25" customHeight="1" x14ac:dyDescent="0.2">
      <c r="D118" s="1092"/>
      <c r="E118" s="1093"/>
      <c r="F118" s="1093"/>
      <c r="G118" s="1093"/>
      <c r="H118" s="1094"/>
      <c r="I118" s="1095"/>
      <c r="J118" s="1096"/>
      <c r="K118" s="1096"/>
      <c r="L118" s="1096"/>
      <c r="M118" s="1097"/>
      <c r="N118" s="528">
        <f t="shared" ref="N118:P118" si="454">N460</f>
        <v>0</v>
      </c>
      <c r="O118" s="529">
        <f t="shared" si="454"/>
        <v>0</v>
      </c>
      <c r="P118" s="529">
        <f t="shared" si="454"/>
        <v>0</v>
      </c>
      <c r="Q118" s="1001" t="s">
        <v>701</v>
      </c>
      <c r="R118" s="528">
        <f t="shared" ref="R118:S118" si="455">R460</f>
        <v>0</v>
      </c>
      <c r="S118" s="529">
        <f t="shared" si="455"/>
        <v>0</v>
      </c>
      <c r="T118" s="1001" t="s">
        <v>701</v>
      </c>
      <c r="U118" s="530">
        <f t="shared" ref="U118:V118" si="456">U460</f>
        <v>0</v>
      </c>
      <c r="V118" s="529">
        <f t="shared" si="456"/>
        <v>0</v>
      </c>
      <c r="W118" s="1001" t="s">
        <v>701</v>
      </c>
      <c r="X118" s="1001" t="s">
        <v>701</v>
      </c>
      <c r="Y118" s="529">
        <f t="shared" ref="Y118" si="457">Y460</f>
        <v>0</v>
      </c>
      <c r="Z118" s="1001" t="s">
        <v>701</v>
      </c>
      <c r="AA118" s="1098"/>
      <c r="AB118" s="1091"/>
      <c r="AC118" s="1099"/>
      <c r="AD118" s="1100">
        <f t="shared" si="445"/>
        <v>0</v>
      </c>
      <c r="AE118" s="1091"/>
      <c r="AF118" s="1091"/>
      <c r="AG118" s="1091"/>
      <c r="AH118" s="1091"/>
      <c r="AI118" s="1091"/>
      <c r="AJ118" s="1041" t="str">
        <f t="shared" si="279"/>
        <v/>
      </c>
    </row>
    <row r="119" spans="4:36" ht="11.25" customHeight="1" x14ac:dyDescent="0.2">
      <c r="D119" s="1092"/>
      <c r="E119" s="1093"/>
      <c r="F119" s="1093"/>
      <c r="G119" s="1093"/>
      <c r="H119" s="1094"/>
      <c r="I119" s="1095"/>
      <c r="J119" s="1096"/>
      <c r="K119" s="1096"/>
      <c r="L119" s="1096"/>
      <c r="M119" s="1097"/>
      <c r="N119" s="528">
        <f t="shared" ref="N119:P119" si="458">N461</f>
        <v>0</v>
      </c>
      <c r="O119" s="529">
        <f t="shared" si="458"/>
        <v>0</v>
      </c>
      <c r="P119" s="529">
        <f t="shared" si="458"/>
        <v>0</v>
      </c>
      <c r="Q119" s="1001" t="s">
        <v>701</v>
      </c>
      <c r="R119" s="528">
        <f t="shared" ref="R119:S119" si="459">R461</f>
        <v>0</v>
      </c>
      <c r="S119" s="529">
        <f t="shared" si="459"/>
        <v>0</v>
      </c>
      <c r="T119" s="1001" t="s">
        <v>701</v>
      </c>
      <c r="U119" s="530">
        <f t="shared" ref="U119:V119" si="460">U461</f>
        <v>0</v>
      </c>
      <c r="V119" s="529">
        <f t="shared" si="460"/>
        <v>0</v>
      </c>
      <c r="W119" s="1001" t="s">
        <v>701</v>
      </c>
      <c r="X119" s="1001" t="s">
        <v>701</v>
      </c>
      <c r="Y119" s="529">
        <f t="shared" ref="Y119" si="461">Y461</f>
        <v>0</v>
      </c>
      <c r="Z119" s="1001" t="s">
        <v>701</v>
      </c>
      <c r="AA119" s="1098"/>
      <c r="AB119" s="1091"/>
      <c r="AC119" s="1099"/>
      <c r="AD119" s="1100">
        <f t="shared" si="445"/>
        <v>0</v>
      </c>
      <c r="AE119" s="1091"/>
      <c r="AF119" s="1091"/>
      <c r="AG119" s="1091"/>
      <c r="AH119" s="1091"/>
      <c r="AI119" s="1091"/>
      <c r="AJ119" s="1041" t="str">
        <f t="shared" si="279"/>
        <v/>
      </c>
    </row>
    <row r="120" spans="4:36" ht="11.25" customHeight="1" x14ac:dyDescent="0.2">
      <c r="D120" s="1092"/>
      <c r="E120" s="1093"/>
      <c r="F120" s="1093"/>
      <c r="G120" s="1093"/>
      <c r="H120" s="1094"/>
      <c r="I120" s="1095"/>
      <c r="J120" s="1096"/>
      <c r="K120" s="1096"/>
      <c r="L120" s="1096"/>
      <c r="M120" s="1097"/>
      <c r="N120" s="528">
        <f t="shared" ref="N120:P120" si="462">N462</f>
        <v>0</v>
      </c>
      <c r="O120" s="529">
        <f t="shared" si="462"/>
        <v>0</v>
      </c>
      <c r="P120" s="529">
        <f t="shared" si="462"/>
        <v>0</v>
      </c>
      <c r="Q120" s="1001" t="s">
        <v>701</v>
      </c>
      <c r="R120" s="528">
        <f t="shared" ref="R120:S120" si="463">R462</f>
        <v>0</v>
      </c>
      <c r="S120" s="529">
        <f t="shared" si="463"/>
        <v>0</v>
      </c>
      <c r="T120" s="1001" t="s">
        <v>701</v>
      </c>
      <c r="U120" s="530">
        <f t="shared" ref="U120:V120" si="464">U462</f>
        <v>0</v>
      </c>
      <c r="V120" s="529">
        <f t="shared" si="464"/>
        <v>0</v>
      </c>
      <c r="W120" s="1001" t="s">
        <v>701</v>
      </c>
      <c r="X120" s="1001" t="s">
        <v>701</v>
      </c>
      <c r="Y120" s="529">
        <f t="shared" ref="Y120" si="465">Y462</f>
        <v>0</v>
      </c>
      <c r="Z120" s="1001" t="s">
        <v>701</v>
      </c>
      <c r="AA120" s="1098"/>
      <c r="AB120" s="1091"/>
      <c r="AC120" s="1099"/>
      <c r="AD120" s="1100">
        <f t="shared" si="445"/>
        <v>0</v>
      </c>
      <c r="AE120" s="1091"/>
      <c r="AF120" s="1091"/>
      <c r="AG120" s="1091"/>
      <c r="AH120" s="1091"/>
      <c r="AI120" s="1091"/>
      <c r="AJ120" s="1041" t="str">
        <f t="shared" si="279"/>
        <v/>
      </c>
    </row>
    <row r="121" spans="4:36" ht="11.25" customHeight="1" thickBot="1" x14ac:dyDescent="0.25">
      <c r="D121" s="532" t="s">
        <v>418</v>
      </c>
      <c r="E121" s="533"/>
      <c r="F121" s="534"/>
      <c r="G121" s="535"/>
      <c r="H121" s="535"/>
      <c r="I121" s="534"/>
      <c r="J121" s="535"/>
      <c r="K121" s="535"/>
      <c r="L121" s="535"/>
      <c r="M121" s="536"/>
      <c r="N121" s="913">
        <f>SUM(N115:N120)</f>
        <v>1</v>
      </c>
      <c r="O121" s="913">
        <f t="shared" ref="O121" si="466">SUM(O115:O120)</f>
        <v>100</v>
      </c>
      <c r="P121" s="914"/>
      <c r="Q121" s="1002" t="s">
        <v>701</v>
      </c>
      <c r="R121" s="915"/>
      <c r="S121" s="916">
        <f t="shared" ref="S121" si="467">SUM(S115:S120)</f>
        <v>0</v>
      </c>
      <c r="T121" s="1003" t="s">
        <v>701</v>
      </c>
      <c r="U121" s="915"/>
      <c r="V121" s="916">
        <f t="shared" ref="V121:Y121" si="468">SUM(V115:V120)</f>
        <v>1</v>
      </c>
      <c r="W121" s="1003" t="s">
        <v>701</v>
      </c>
      <c r="X121" s="1003" t="s">
        <v>701</v>
      </c>
      <c r="Y121" s="916">
        <f t="shared" si="468"/>
        <v>3882.8190062111798</v>
      </c>
      <c r="Z121" s="1003" t="s">
        <v>701</v>
      </c>
      <c r="AA121" s="1003" t="s">
        <v>701</v>
      </c>
      <c r="AB121" s="1004" t="s">
        <v>701</v>
      </c>
      <c r="AC121" s="1005" t="s">
        <v>701</v>
      </c>
      <c r="AD121" s="917"/>
      <c r="AE121" s="1004" t="s">
        <v>701</v>
      </c>
      <c r="AF121" s="1004" t="s">
        <v>701</v>
      </c>
      <c r="AG121" s="1004" t="s">
        <v>701</v>
      </c>
      <c r="AH121" s="1004" t="s">
        <v>701</v>
      </c>
      <c r="AI121" s="1004" t="s">
        <v>701</v>
      </c>
      <c r="AJ121" s="1042" t="str">
        <f t="shared" si="279"/>
        <v/>
      </c>
    </row>
    <row r="122" spans="4:36" ht="11.25" customHeight="1" x14ac:dyDescent="0.25">
      <c r="D122" s="1092" t="str">
        <f>D464</f>
        <v>Macarthur</v>
      </c>
      <c r="E122" s="1093" t="str">
        <f t="shared" ref="E122:P122" si="469">E464</f>
        <v>Transmission substation</v>
      </c>
      <c r="F122" s="1093">
        <f t="shared" si="469"/>
        <v>1438</v>
      </c>
      <c r="G122" s="1093" t="str">
        <f t="shared" si="469"/>
        <v>Capacity upgrade</v>
      </c>
      <c r="H122" s="1094" t="str">
        <f t="shared" si="469"/>
        <v>Demand growth</v>
      </c>
      <c r="I122" s="1095" t="str">
        <f t="shared" si="469"/>
        <v>330/132</v>
      </c>
      <c r="J122" s="1096">
        <f t="shared" si="469"/>
        <v>625</v>
      </c>
      <c r="K122" s="1096">
        <f t="shared" si="469"/>
        <v>875</v>
      </c>
      <c r="L122" s="1096">
        <f t="shared" si="469"/>
        <v>250</v>
      </c>
      <c r="M122" s="1097">
        <f t="shared" si="469"/>
        <v>500</v>
      </c>
      <c r="N122" s="522">
        <f t="shared" si="469"/>
        <v>1</v>
      </c>
      <c r="O122" s="523">
        <f t="shared" si="469"/>
        <v>250</v>
      </c>
      <c r="P122" s="524" t="str">
        <f t="shared" si="469"/>
        <v>Yes</v>
      </c>
      <c r="Q122" s="1000" t="s">
        <v>701</v>
      </c>
      <c r="R122" s="525" t="str">
        <f t="shared" ref="R122:S122" si="470">R464</f>
        <v>SF6</v>
      </c>
      <c r="S122" s="524">
        <f t="shared" si="470"/>
        <v>7</v>
      </c>
      <c r="T122" s="1000" t="s">
        <v>701</v>
      </c>
      <c r="U122" s="526">
        <f t="shared" ref="U122:V122" si="471">U464</f>
        <v>0</v>
      </c>
      <c r="V122" s="524">
        <f t="shared" si="471"/>
        <v>0</v>
      </c>
      <c r="W122" s="1000" t="s">
        <v>701</v>
      </c>
      <c r="X122" s="1000" t="s">
        <v>701</v>
      </c>
      <c r="Y122" s="527">
        <f t="shared" ref="Y122" si="472">Y464</f>
        <v>0</v>
      </c>
      <c r="Z122" s="1000" t="s">
        <v>701</v>
      </c>
      <c r="AA122" s="1098" t="s">
        <v>701</v>
      </c>
      <c r="AB122" s="1091" t="s">
        <v>701</v>
      </c>
      <c r="AC122" s="1099"/>
      <c r="AD122" s="1100">
        <f t="shared" ref="AD122:AD127" si="473">AD464</f>
        <v>0</v>
      </c>
      <c r="AE122" s="1091" t="s">
        <v>701</v>
      </c>
      <c r="AF122" s="1091" t="s">
        <v>701</v>
      </c>
      <c r="AG122" s="1091" t="s">
        <v>701</v>
      </c>
      <c r="AH122" s="1091" t="s">
        <v>701</v>
      </c>
      <c r="AI122" s="1091" t="s">
        <v>701</v>
      </c>
      <c r="AJ122" s="1040" t="str">
        <f t="shared" si="279"/>
        <v/>
      </c>
    </row>
    <row r="123" spans="4:36" ht="11.25" customHeight="1" x14ac:dyDescent="0.2">
      <c r="D123" s="1092"/>
      <c r="E123" s="1093"/>
      <c r="F123" s="1093"/>
      <c r="G123" s="1093"/>
      <c r="H123" s="1094"/>
      <c r="I123" s="1095"/>
      <c r="J123" s="1096"/>
      <c r="K123" s="1096"/>
      <c r="L123" s="1096"/>
      <c r="M123" s="1097"/>
      <c r="N123" s="528">
        <f t="shared" ref="N123:P123" si="474">N465</f>
        <v>0</v>
      </c>
      <c r="O123" s="529">
        <f t="shared" si="474"/>
        <v>0</v>
      </c>
      <c r="P123" s="529">
        <f t="shared" si="474"/>
        <v>0</v>
      </c>
      <c r="Q123" s="1001" t="s">
        <v>701</v>
      </c>
      <c r="R123" s="528" t="str">
        <f t="shared" ref="R123:S123" si="475">R465</f>
        <v>Oil/Air</v>
      </c>
      <c r="S123" s="529">
        <f t="shared" si="475"/>
        <v>11</v>
      </c>
      <c r="T123" s="1001" t="s">
        <v>701</v>
      </c>
      <c r="U123" s="530">
        <f t="shared" ref="U123:V123" si="476">U465</f>
        <v>0</v>
      </c>
      <c r="V123" s="529">
        <f t="shared" si="476"/>
        <v>0</v>
      </c>
      <c r="W123" s="1001" t="s">
        <v>701</v>
      </c>
      <c r="X123" s="1001" t="s">
        <v>701</v>
      </c>
      <c r="Y123" s="531">
        <f t="shared" ref="Y123" si="477">Y465</f>
        <v>0</v>
      </c>
      <c r="Z123" s="1001" t="s">
        <v>701</v>
      </c>
      <c r="AA123" s="1098"/>
      <c r="AB123" s="1091"/>
      <c r="AC123" s="1099"/>
      <c r="AD123" s="1100">
        <f t="shared" si="473"/>
        <v>0</v>
      </c>
      <c r="AE123" s="1091"/>
      <c r="AF123" s="1091"/>
      <c r="AG123" s="1091"/>
      <c r="AH123" s="1091"/>
      <c r="AI123" s="1091"/>
      <c r="AJ123" s="1041" t="str">
        <f t="shared" si="279"/>
        <v/>
      </c>
    </row>
    <row r="124" spans="4:36" ht="11.25" customHeight="1" x14ac:dyDescent="0.2">
      <c r="D124" s="1092"/>
      <c r="E124" s="1093"/>
      <c r="F124" s="1093"/>
      <c r="G124" s="1093"/>
      <c r="H124" s="1094"/>
      <c r="I124" s="1095"/>
      <c r="J124" s="1096"/>
      <c r="K124" s="1096"/>
      <c r="L124" s="1096"/>
      <c r="M124" s="1097"/>
      <c r="N124" s="528">
        <f t="shared" ref="N124:P124" si="478">N466</f>
        <v>0</v>
      </c>
      <c r="O124" s="529">
        <f t="shared" si="478"/>
        <v>0</v>
      </c>
      <c r="P124" s="529">
        <f t="shared" si="478"/>
        <v>0</v>
      </c>
      <c r="Q124" s="1001" t="s">
        <v>701</v>
      </c>
      <c r="R124" s="528">
        <f t="shared" ref="R124:S124" si="479">R466</f>
        <v>0</v>
      </c>
      <c r="S124" s="529">
        <f t="shared" si="479"/>
        <v>0</v>
      </c>
      <c r="T124" s="1001" t="s">
        <v>701</v>
      </c>
      <c r="U124" s="530">
        <f t="shared" ref="U124:V124" si="480">U466</f>
        <v>0</v>
      </c>
      <c r="V124" s="529">
        <f t="shared" si="480"/>
        <v>0</v>
      </c>
      <c r="W124" s="1001" t="s">
        <v>701</v>
      </c>
      <c r="X124" s="1001" t="s">
        <v>701</v>
      </c>
      <c r="Y124" s="529">
        <f t="shared" ref="Y124" si="481">Y466</f>
        <v>0</v>
      </c>
      <c r="Z124" s="1001" t="s">
        <v>701</v>
      </c>
      <c r="AA124" s="1098"/>
      <c r="AB124" s="1091"/>
      <c r="AC124" s="1099"/>
      <c r="AD124" s="1100">
        <f t="shared" si="473"/>
        <v>0</v>
      </c>
      <c r="AE124" s="1091"/>
      <c r="AF124" s="1091"/>
      <c r="AG124" s="1091"/>
      <c r="AH124" s="1091"/>
      <c r="AI124" s="1091"/>
      <c r="AJ124" s="1041" t="str">
        <f t="shared" si="279"/>
        <v/>
      </c>
    </row>
    <row r="125" spans="4:36" ht="11.25" customHeight="1" x14ac:dyDescent="0.2">
      <c r="D125" s="1092"/>
      <c r="E125" s="1093"/>
      <c r="F125" s="1093"/>
      <c r="G125" s="1093"/>
      <c r="H125" s="1094"/>
      <c r="I125" s="1095"/>
      <c r="J125" s="1096"/>
      <c r="K125" s="1096"/>
      <c r="L125" s="1096"/>
      <c r="M125" s="1097"/>
      <c r="N125" s="528">
        <f t="shared" ref="N125:P125" si="482">N467</f>
        <v>0</v>
      </c>
      <c r="O125" s="529">
        <f t="shared" si="482"/>
        <v>0</v>
      </c>
      <c r="P125" s="529">
        <f t="shared" si="482"/>
        <v>0</v>
      </c>
      <c r="Q125" s="1001" t="s">
        <v>701</v>
      </c>
      <c r="R125" s="528">
        <f t="shared" ref="R125:S125" si="483">R467</f>
        <v>0</v>
      </c>
      <c r="S125" s="529">
        <f t="shared" si="483"/>
        <v>0</v>
      </c>
      <c r="T125" s="1001" t="s">
        <v>701</v>
      </c>
      <c r="U125" s="530">
        <f t="shared" ref="U125:V125" si="484">U467</f>
        <v>0</v>
      </c>
      <c r="V125" s="529">
        <f t="shared" si="484"/>
        <v>0</v>
      </c>
      <c r="W125" s="1001" t="s">
        <v>701</v>
      </c>
      <c r="X125" s="1001" t="s">
        <v>701</v>
      </c>
      <c r="Y125" s="529">
        <f t="shared" ref="Y125" si="485">Y467</f>
        <v>0</v>
      </c>
      <c r="Z125" s="1001" t="s">
        <v>701</v>
      </c>
      <c r="AA125" s="1098"/>
      <c r="AB125" s="1091"/>
      <c r="AC125" s="1099"/>
      <c r="AD125" s="1100">
        <f t="shared" si="473"/>
        <v>0</v>
      </c>
      <c r="AE125" s="1091"/>
      <c r="AF125" s="1091"/>
      <c r="AG125" s="1091"/>
      <c r="AH125" s="1091"/>
      <c r="AI125" s="1091"/>
      <c r="AJ125" s="1041" t="str">
        <f t="shared" si="279"/>
        <v/>
      </c>
    </row>
    <row r="126" spans="4:36" ht="11.25" customHeight="1" x14ac:dyDescent="0.2">
      <c r="D126" s="1092"/>
      <c r="E126" s="1093"/>
      <c r="F126" s="1093"/>
      <c r="G126" s="1093"/>
      <c r="H126" s="1094"/>
      <c r="I126" s="1095"/>
      <c r="J126" s="1096"/>
      <c r="K126" s="1096"/>
      <c r="L126" s="1096"/>
      <c r="M126" s="1097"/>
      <c r="N126" s="528">
        <f t="shared" ref="N126:P126" si="486">N468</f>
        <v>0</v>
      </c>
      <c r="O126" s="529">
        <f t="shared" si="486"/>
        <v>0</v>
      </c>
      <c r="P126" s="529">
        <f t="shared" si="486"/>
        <v>0</v>
      </c>
      <c r="Q126" s="1001" t="s">
        <v>701</v>
      </c>
      <c r="R126" s="528">
        <f t="shared" ref="R126:S126" si="487">R468</f>
        <v>0</v>
      </c>
      <c r="S126" s="529">
        <f t="shared" si="487"/>
        <v>0</v>
      </c>
      <c r="T126" s="1001" t="s">
        <v>701</v>
      </c>
      <c r="U126" s="530">
        <f t="shared" ref="U126:V126" si="488">U468</f>
        <v>0</v>
      </c>
      <c r="V126" s="529">
        <f t="shared" si="488"/>
        <v>0</v>
      </c>
      <c r="W126" s="1001" t="s">
        <v>701</v>
      </c>
      <c r="X126" s="1001" t="s">
        <v>701</v>
      </c>
      <c r="Y126" s="529">
        <f t="shared" ref="Y126" si="489">Y468</f>
        <v>0</v>
      </c>
      <c r="Z126" s="1001" t="s">
        <v>701</v>
      </c>
      <c r="AA126" s="1098"/>
      <c r="AB126" s="1091"/>
      <c r="AC126" s="1099"/>
      <c r="AD126" s="1100">
        <f t="shared" si="473"/>
        <v>0</v>
      </c>
      <c r="AE126" s="1091"/>
      <c r="AF126" s="1091"/>
      <c r="AG126" s="1091"/>
      <c r="AH126" s="1091"/>
      <c r="AI126" s="1091"/>
      <c r="AJ126" s="1041" t="str">
        <f t="shared" si="279"/>
        <v/>
      </c>
    </row>
    <row r="127" spans="4:36" ht="11.25" customHeight="1" x14ac:dyDescent="0.2">
      <c r="D127" s="1092"/>
      <c r="E127" s="1093"/>
      <c r="F127" s="1093"/>
      <c r="G127" s="1093"/>
      <c r="H127" s="1094"/>
      <c r="I127" s="1095"/>
      <c r="J127" s="1096"/>
      <c r="K127" s="1096"/>
      <c r="L127" s="1096"/>
      <c r="M127" s="1097"/>
      <c r="N127" s="528">
        <f t="shared" ref="N127:P127" si="490">N469</f>
        <v>0</v>
      </c>
      <c r="O127" s="529">
        <f t="shared" si="490"/>
        <v>0</v>
      </c>
      <c r="P127" s="529">
        <f t="shared" si="490"/>
        <v>0</v>
      </c>
      <c r="Q127" s="1001" t="s">
        <v>701</v>
      </c>
      <c r="R127" s="528">
        <f t="shared" ref="R127:S127" si="491">R469</f>
        <v>0</v>
      </c>
      <c r="S127" s="529">
        <f t="shared" si="491"/>
        <v>0</v>
      </c>
      <c r="T127" s="1001" t="s">
        <v>701</v>
      </c>
      <c r="U127" s="530">
        <f t="shared" ref="U127:V127" si="492">U469</f>
        <v>0</v>
      </c>
      <c r="V127" s="529">
        <f t="shared" si="492"/>
        <v>0</v>
      </c>
      <c r="W127" s="1001" t="s">
        <v>701</v>
      </c>
      <c r="X127" s="1001" t="s">
        <v>701</v>
      </c>
      <c r="Y127" s="529">
        <f t="shared" ref="Y127" si="493">Y469</f>
        <v>0</v>
      </c>
      <c r="Z127" s="1001" t="s">
        <v>701</v>
      </c>
      <c r="AA127" s="1098"/>
      <c r="AB127" s="1091"/>
      <c r="AC127" s="1099"/>
      <c r="AD127" s="1100">
        <f t="shared" si="473"/>
        <v>0</v>
      </c>
      <c r="AE127" s="1091"/>
      <c r="AF127" s="1091"/>
      <c r="AG127" s="1091"/>
      <c r="AH127" s="1091"/>
      <c r="AI127" s="1091"/>
      <c r="AJ127" s="1041" t="str">
        <f t="shared" si="279"/>
        <v/>
      </c>
    </row>
    <row r="128" spans="4:36" ht="11.25" customHeight="1" thickBot="1" x14ac:dyDescent="0.25">
      <c r="D128" s="532" t="s">
        <v>418</v>
      </c>
      <c r="E128" s="533"/>
      <c r="F128" s="534"/>
      <c r="G128" s="535"/>
      <c r="H128" s="535"/>
      <c r="I128" s="534"/>
      <c r="J128" s="535"/>
      <c r="K128" s="535"/>
      <c r="L128" s="535"/>
      <c r="M128" s="536"/>
      <c r="N128" s="913">
        <f>SUM(N122:N127)</f>
        <v>1</v>
      </c>
      <c r="O128" s="913">
        <f t="shared" ref="O128" si="494">SUM(O122:O127)</f>
        <v>250</v>
      </c>
      <c r="P128" s="914"/>
      <c r="Q128" s="1002" t="s">
        <v>701</v>
      </c>
      <c r="R128" s="915"/>
      <c r="S128" s="916">
        <f t="shared" ref="S128" si="495">SUM(S122:S127)</f>
        <v>18</v>
      </c>
      <c r="T128" s="1003" t="s">
        <v>701</v>
      </c>
      <c r="U128" s="915"/>
      <c r="V128" s="916">
        <f t="shared" ref="V128:Y128" si="496">SUM(V122:V127)</f>
        <v>0</v>
      </c>
      <c r="W128" s="1003" t="s">
        <v>701</v>
      </c>
      <c r="X128" s="1003" t="s">
        <v>701</v>
      </c>
      <c r="Y128" s="916">
        <f t="shared" si="496"/>
        <v>0</v>
      </c>
      <c r="Z128" s="1003" t="s">
        <v>701</v>
      </c>
      <c r="AA128" s="1003" t="s">
        <v>701</v>
      </c>
      <c r="AB128" s="1004" t="s">
        <v>701</v>
      </c>
      <c r="AC128" s="1005" t="s">
        <v>701</v>
      </c>
      <c r="AD128" s="917"/>
      <c r="AE128" s="1004" t="s">
        <v>701</v>
      </c>
      <c r="AF128" s="1004" t="s">
        <v>701</v>
      </c>
      <c r="AG128" s="1004" t="s">
        <v>701</v>
      </c>
      <c r="AH128" s="1004" t="s">
        <v>701</v>
      </c>
      <c r="AI128" s="1004" t="s">
        <v>701</v>
      </c>
      <c r="AJ128" s="1042" t="str">
        <f t="shared" si="279"/>
        <v/>
      </c>
    </row>
    <row r="129" spans="4:36" ht="11.25" customHeight="1" x14ac:dyDescent="0.25">
      <c r="D129" s="1092" t="str">
        <f>D471</f>
        <v>New location adjacent to Kemps Creek Substation</v>
      </c>
      <c r="E129" s="1093" t="str">
        <f t="shared" ref="E129:P129" si="497">E471</f>
        <v>Other</v>
      </c>
      <c r="F129" s="1093">
        <f t="shared" si="497"/>
        <v>2137</v>
      </c>
      <c r="G129" s="1093" t="str">
        <f t="shared" si="497"/>
        <v>Other</v>
      </c>
      <c r="H129" s="1094" t="str">
        <f t="shared" si="497"/>
        <v>Net market benefit</v>
      </c>
      <c r="I129" s="1095" t="str">
        <f t="shared" si="497"/>
        <v>N/A</v>
      </c>
      <c r="J129" s="1096" t="str">
        <f t="shared" si="497"/>
        <v>N/A</v>
      </c>
      <c r="K129" s="1096" t="str">
        <f t="shared" si="497"/>
        <v>N/A</v>
      </c>
      <c r="L129" s="1096" t="str">
        <f t="shared" si="497"/>
        <v>N/A</v>
      </c>
      <c r="M129" s="1097" t="str">
        <f t="shared" si="497"/>
        <v>N/A</v>
      </c>
      <c r="N129" s="522">
        <f t="shared" si="497"/>
        <v>0</v>
      </c>
      <c r="O129" s="523">
        <f t="shared" si="497"/>
        <v>0</v>
      </c>
      <c r="P129" s="524">
        <f t="shared" si="497"/>
        <v>0</v>
      </c>
      <c r="Q129" s="1000" t="s">
        <v>701</v>
      </c>
      <c r="R129" s="525">
        <f t="shared" ref="R129:S129" si="498">R471</f>
        <v>0</v>
      </c>
      <c r="S129" s="524">
        <f t="shared" si="498"/>
        <v>0</v>
      </c>
      <c r="T129" s="1000" t="s">
        <v>701</v>
      </c>
      <c r="U129" s="526">
        <f t="shared" ref="U129:V129" si="499">U471</f>
        <v>0</v>
      </c>
      <c r="V129" s="524">
        <f t="shared" si="499"/>
        <v>0</v>
      </c>
      <c r="W129" s="1000" t="s">
        <v>701</v>
      </c>
      <c r="X129" s="1000" t="s">
        <v>701</v>
      </c>
      <c r="Y129" s="527">
        <f t="shared" ref="Y129" si="500">Y471</f>
        <v>0</v>
      </c>
      <c r="Z129" s="1000" t="s">
        <v>701</v>
      </c>
      <c r="AA129" s="1098" t="s">
        <v>701</v>
      </c>
      <c r="AB129" s="1091" t="s">
        <v>701</v>
      </c>
      <c r="AC129" s="1099"/>
      <c r="AD129" s="1100">
        <f t="shared" ref="AD129:AD134" si="501">AD471</f>
        <v>0</v>
      </c>
      <c r="AE129" s="1091" t="s">
        <v>701</v>
      </c>
      <c r="AF129" s="1091" t="s">
        <v>701</v>
      </c>
      <c r="AG129" s="1091" t="s">
        <v>701</v>
      </c>
      <c r="AH129" s="1091" t="s">
        <v>701</v>
      </c>
      <c r="AI129" s="1091" t="s">
        <v>701</v>
      </c>
      <c r="AJ129" s="1040" t="str">
        <f t="shared" si="279"/>
        <v>Strategic property acquisition for Western Sydney Priority Growth Area</v>
      </c>
    </row>
    <row r="130" spans="4:36" ht="11.25" customHeight="1" x14ac:dyDescent="0.2">
      <c r="D130" s="1092"/>
      <c r="E130" s="1093"/>
      <c r="F130" s="1093"/>
      <c r="G130" s="1093"/>
      <c r="H130" s="1094"/>
      <c r="I130" s="1095"/>
      <c r="J130" s="1096"/>
      <c r="K130" s="1096"/>
      <c r="L130" s="1096"/>
      <c r="M130" s="1097"/>
      <c r="N130" s="528">
        <f t="shared" ref="N130:P130" si="502">N472</f>
        <v>0</v>
      </c>
      <c r="O130" s="529">
        <f t="shared" si="502"/>
        <v>0</v>
      </c>
      <c r="P130" s="529">
        <f t="shared" si="502"/>
        <v>0</v>
      </c>
      <c r="Q130" s="1001" t="s">
        <v>701</v>
      </c>
      <c r="R130" s="528">
        <f t="shared" ref="R130:S130" si="503">R472</f>
        <v>0</v>
      </c>
      <c r="S130" s="529">
        <f t="shared" si="503"/>
        <v>0</v>
      </c>
      <c r="T130" s="1001" t="s">
        <v>701</v>
      </c>
      <c r="U130" s="530">
        <f t="shared" ref="U130:V130" si="504">U472</f>
        <v>0</v>
      </c>
      <c r="V130" s="529">
        <f t="shared" si="504"/>
        <v>0</v>
      </c>
      <c r="W130" s="1001" t="s">
        <v>701</v>
      </c>
      <c r="X130" s="1001" t="s">
        <v>701</v>
      </c>
      <c r="Y130" s="531">
        <f t="shared" ref="Y130" si="505">Y472</f>
        <v>0</v>
      </c>
      <c r="Z130" s="1001" t="s">
        <v>701</v>
      </c>
      <c r="AA130" s="1098"/>
      <c r="AB130" s="1091"/>
      <c r="AC130" s="1099"/>
      <c r="AD130" s="1100">
        <f t="shared" si="501"/>
        <v>0</v>
      </c>
      <c r="AE130" s="1091"/>
      <c r="AF130" s="1091"/>
      <c r="AG130" s="1091"/>
      <c r="AH130" s="1091"/>
      <c r="AI130" s="1091"/>
      <c r="AJ130" s="1041" t="str">
        <f t="shared" si="279"/>
        <v/>
      </c>
    </row>
    <row r="131" spans="4:36" ht="11.25" customHeight="1" x14ac:dyDescent="0.2">
      <c r="D131" s="1092"/>
      <c r="E131" s="1093"/>
      <c r="F131" s="1093"/>
      <c r="G131" s="1093"/>
      <c r="H131" s="1094"/>
      <c r="I131" s="1095"/>
      <c r="J131" s="1096"/>
      <c r="K131" s="1096"/>
      <c r="L131" s="1096"/>
      <c r="M131" s="1097"/>
      <c r="N131" s="528">
        <f t="shared" ref="N131:P131" si="506">N473</f>
        <v>0</v>
      </c>
      <c r="O131" s="529">
        <f t="shared" si="506"/>
        <v>0</v>
      </c>
      <c r="P131" s="529">
        <f t="shared" si="506"/>
        <v>0</v>
      </c>
      <c r="Q131" s="1001" t="s">
        <v>701</v>
      </c>
      <c r="R131" s="528">
        <f t="shared" ref="R131:S131" si="507">R473</f>
        <v>0</v>
      </c>
      <c r="S131" s="529">
        <f t="shared" si="507"/>
        <v>0</v>
      </c>
      <c r="T131" s="1001" t="s">
        <v>701</v>
      </c>
      <c r="U131" s="530">
        <f t="shared" ref="U131:V131" si="508">U473</f>
        <v>0</v>
      </c>
      <c r="V131" s="529">
        <f t="shared" si="508"/>
        <v>0</v>
      </c>
      <c r="W131" s="1001" t="s">
        <v>701</v>
      </c>
      <c r="X131" s="1001" t="s">
        <v>701</v>
      </c>
      <c r="Y131" s="529">
        <f t="shared" ref="Y131" si="509">Y473</f>
        <v>0</v>
      </c>
      <c r="Z131" s="1001" t="s">
        <v>701</v>
      </c>
      <c r="AA131" s="1098"/>
      <c r="AB131" s="1091"/>
      <c r="AC131" s="1099"/>
      <c r="AD131" s="1100">
        <f t="shared" si="501"/>
        <v>0</v>
      </c>
      <c r="AE131" s="1091"/>
      <c r="AF131" s="1091"/>
      <c r="AG131" s="1091"/>
      <c r="AH131" s="1091"/>
      <c r="AI131" s="1091"/>
      <c r="AJ131" s="1041" t="str">
        <f t="shared" si="279"/>
        <v/>
      </c>
    </row>
    <row r="132" spans="4:36" ht="11.25" customHeight="1" x14ac:dyDescent="0.2">
      <c r="D132" s="1092"/>
      <c r="E132" s="1093"/>
      <c r="F132" s="1093"/>
      <c r="G132" s="1093"/>
      <c r="H132" s="1094"/>
      <c r="I132" s="1095"/>
      <c r="J132" s="1096"/>
      <c r="K132" s="1096"/>
      <c r="L132" s="1096"/>
      <c r="M132" s="1097"/>
      <c r="N132" s="528">
        <f t="shared" ref="N132:P132" si="510">N474</f>
        <v>0</v>
      </c>
      <c r="O132" s="529">
        <f t="shared" si="510"/>
        <v>0</v>
      </c>
      <c r="P132" s="529">
        <f t="shared" si="510"/>
        <v>0</v>
      </c>
      <c r="Q132" s="1001" t="s">
        <v>701</v>
      </c>
      <c r="R132" s="528">
        <f t="shared" ref="R132:S132" si="511">R474</f>
        <v>0</v>
      </c>
      <c r="S132" s="529">
        <f t="shared" si="511"/>
        <v>0</v>
      </c>
      <c r="T132" s="1001" t="s">
        <v>701</v>
      </c>
      <c r="U132" s="530">
        <f t="shared" ref="U132:V132" si="512">U474</f>
        <v>0</v>
      </c>
      <c r="V132" s="529">
        <f t="shared" si="512"/>
        <v>0</v>
      </c>
      <c r="W132" s="1001" t="s">
        <v>701</v>
      </c>
      <c r="X132" s="1001" t="s">
        <v>701</v>
      </c>
      <c r="Y132" s="529">
        <f t="shared" ref="Y132" si="513">Y474</f>
        <v>0</v>
      </c>
      <c r="Z132" s="1001" t="s">
        <v>701</v>
      </c>
      <c r="AA132" s="1098"/>
      <c r="AB132" s="1091"/>
      <c r="AC132" s="1099"/>
      <c r="AD132" s="1100">
        <f t="shared" si="501"/>
        <v>0</v>
      </c>
      <c r="AE132" s="1091"/>
      <c r="AF132" s="1091"/>
      <c r="AG132" s="1091"/>
      <c r="AH132" s="1091"/>
      <c r="AI132" s="1091"/>
      <c r="AJ132" s="1041" t="str">
        <f t="shared" si="279"/>
        <v/>
      </c>
    </row>
    <row r="133" spans="4:36" ht="11.25" customHeight="1" x14ac:dyDescent="0.2">
      <c r="D133" s="1092"/>
      <c r="E133" s="1093"/>
      <c r="F133" s="1093"/>
      <c r="G133" s="1093"/>
      <c r="H133" s="1094"/>
      <c r="I133" s="1095"/>
      <c r="J133" s="1096"/>
      <c r="K133" s="1096"/>
      <c r="L133" s="1096"/>
      <c r="M133" s="1097"/>
      <c r="N133" s="528">
        <f t="shared" ref="N133:P133" si="514">N475</f>
        <v>0</v>
      </c>
      <c r="O133" s="529">
        <f t="shared" si="514"/>
        <v>0</v>
      </c>
      <c r="P133" s="529">
        <f t="shared" si="514"/>
        <v>0</v>
      </c>
      <c r="Q133" s="1001" t="s">
        <v>701</v>
      </c>
      <c r="R133" s="528">
        <f t="shared" ref="R133:S133" si="515">R475</f>
        <v>0</v>
      </c>
      <c r="S133" s="529">
        <f t="shared" si="515"/>
        <v>0</v>
      </c>
      <c r="T133" s="1001" t="s">
        <v>701</v>
      </c>
      <c r="U133" s="530">
        <f t="shared" ref="U133:V133" si="516">U475</f>
        <v>0</v>
      </c>
      <c r="V133" s="529">
        <f t="shared" si="516"/>
        <v>0</v>
      </c>
      <c r="W133" s="1001" t="s">
        <v>701</v>
      </c>
      <c r="X133" s="1001" t="s">
        <v>701</v>
      </c>
      <c r="Y133" s="529">
        <f t="shared" ref="Y133" si="517">Y475</f>
        <v>0</v>
      </c>
      <c r="Z133" s="1001" t="s">
        <v>701</v>
      </c>
      <c r="AA133" s="1098"/>
      <c r="AB133" s="1091"/>
      <c r="AC133" s="1099"/>
      <c r="AD133" s="1100">
        <f t="shared" si="501"/>
        <v>0</v>
      </c>
      <c r="AE133" s="1091"/>
      <c r="AF133" s="1091"/>
      <c r="AG133" s="1091"/>
      <c r="AH133" s="1091"/>
      <c r="AI133" s="1091"/>
      <c r="AJ133" s="1041" t="str">
        <f t="shared" si="279"/>
        <v/>
      </c>
    </row>
    <row r="134" spans="4:36" ht="11.25" customHeight="1" x14ac:dyDescent="0.2">
      <c r="D134" s="1092"/>
      <c r="E134" s="1093"/>
      <c r="F134" s="1093"/>
      <c r="G134" s="1093"/>
      <c r="H134" s="1094"/>
      <c r="I134" s="1095"/>
      <c r="J134" s="1096"/>
      <c r="K134" s="1096"/>
      <c r="L134" s="1096"/>
      <c r="M134" s="1097"/>
      <c r="N134" s="528">
        <f t="shared" ref="N134:P134" si="518">N476</f>
        <v>0</v>
      </c>
      <c r="O134" s="529">
        <f t="shared" si="518"/>
        <v>0</v>
      </c>
      <c r="P134" s="529">
        <f t="shared" si="518"/>
        <v>0</v>
      </c>
      <c r="Q134" s="1001" t="s">
        <v>701</v>
      </c>
      <c r="R134" s="528">
        <f t="shared" ref="R134:S134" si="519">R476</f>
        <v>0</v>
      </c>
      <c r="S134" s="529">
        <f t="shared" si="519"/>
        <v>0</v>
      </c>
      <c r="T134" s="1001" t="s">
        <v>701</v>
      </c>
      <c r="U134" s="530">
        <f t="shared" ref="U134:V134" si="520">U476</f>
        <v>0</v>
      </c>
      <c r="V134" s="529">
        <f t="shared" si="520"/>
        <v>0</v>
      </c>
      <c r="W134" s="1001" t="s">
        <v>701</v>
      </c>
      <c r="X134" s="1001" t="s">
        <v>701</v>
      </c>
      <c r="Y134" s="529">
        <f t="shared" ref="Y134" si="521">Y476</f>
        <v>0</v>
      </c>
      <c r="Z134" s="1001" t="s">
        <v>701</v>
      </c>
      <c r="AA134" s="1098"/>
      <c r="AB134" s="1091"/>
      <c r="AC134" s="1099"/>
      <c r="AD134" s="1100">
        <f t="shared" si="501"/>
        <v>0</v>
      </c>
      <c r="AE134" s="1091"/>
      <c r="AF134" s="1091"/>
      <c r="AG134" s="1091"/>
      <c r="AH134" s="1091"/>
      <c r="AI134" s="1091"/>
      <c r="AJ134" s="1041" t="str">
        <f t="shared" si="279"/>
        <v/>
      </c>
    </row>
    <row r="135" spans="4:36" ht="11.25" customHeight="1" thickBot="1" x14ac:dyDescent="0.25">
      <c r="D135" s="532" t="s">
        <v>418</v>
      </c>
      <c r="E135" s="533"/>
      <c r="F135" s="534"/>
      <c r="G135" s="535"/>
      <c r="H135" s="535"/>
      <c r="I135" s="534"/>
      <c r="J135" s="535"/>
      <c r="K135" s="535"/>
      <c r="L135" s="535"/>
      <c r="M135" s="536"/>
      <c r="N135" s="913">
        <f>SUM(N129:N134)</f>
        <v>0</v>
      </c>
      <c r="O135" s="913">
        <f t="shared" ref="O135" si="522">SUM(O129:O134)</f>
        <v>0</v>
      </c>
      <c r="P135" s="914"/>
      <c r="Q135" s="1002" t="s">
        <v>701</v>
      </c>
      <c r="R135" s="915"/>
      <c r="S135" s="916">
        <f t="shared" ref="S135" si="523">SUM(S129:S134)</f>
        <v>0</v>
      </c>
      <c r="T135" s="1003" t="s">
        <v>701</v>
      </c>
      <c r="U135" s="915"/>
      <c r="V135" s="916">
        <f t="shared" ref="V135:Y135" si="524">SUM(V129:V134)</f>
        <v>0</v>
      </c>
      <c r="W135" s="1003" t="s">
        <v>701</v>
      </c>
      <c r="X135" s="1003" t="s">
        <v>701</v>
      </c>
      <c r="Y135" s="916">
        <f t="shared" si="524"/>
        <v>0</v>
      </c>
      <c r="Z135" s="1003" t="s">
        <v>701</v>
      </c>
      <c r="AA135" s="1003" t="s">
        <v>701</v>
      </c>
      <c r="AB135" s="1004" t="s">
        <v>701</v>
      </c>
      <c r="AC135" s="1005" t="s">
        <v>701</v>
      </c>
      <c r="AD135" s="917"/>
      <c r="AE135" s="1004" t="s">
        <v>701</v>
      </c>
      <c r="AF135" s="1004" t="s">
        <v>701</v>
      </c>
      <c r="AG135" s="1004" t="s">
        <v>701</v>
      </c>
      <c r="AH135" s="1004" t="s">
        <v>701</v>
      </c>
      <c r="AI135" s="1004" t="s">
        <v>701</v>
      </c>
      <c r="AJ135" s="1042" t="str">
        <f t="shared" si="279"/>
        <v/>
      </c>
    </row>
    <row r="136" spans="4:36" ht="11.25" customHeight="1" x14ac:dyDescent="0.25">
      <c r="D136" s="1092" t="str">
        <f>D478</f>
        <v>North West NSW Protection System (multiple substations)</v>
      </c>
      <c r="E136" s="1093" t="str">
        <f t="shared" ref="E136:P136" si="525">E478</f>
        <v>Transmission substation</v>
      </c>
      <c r="F136" s="1093">
        <f t="shared" si="525"/>
        <v>1473</v>
      </c>
      <c r="G136" s="1093" t="str">
        <f t="shared" si="525"/>
        <v>Other</v>
      </c>
      <c r="H136" s="1094" t="str">
        <f t="shared" si="525"/>
        <v>Net market benefit</v>
      </c>
      <c r="I136" s="1095">
        <f t="shared" si="525"/>
        <v>330</v>
      </c>
      <c r="J136" s="1096" t="str">
        <f t="shared" si="525"/>
        <v>N/A</v>
      </c>
      <c r="K136" s="1096" t="str">
        <f t="shared" si="525"/>
        <v>N/A</v>
      </c>
      <c r="L136" s="1096" t="str">
        <f t="shared" si="525"/>
        <v>N/A</v>
      </c>
      <c r="M136" s="1097" t="str">
        <f t="shared" si="525"/>
        <v>N/A</v>
      </c>
      <c r="N136" s="522">
        <f t="shared" si="525"/>
        <v>0</v>
      </c>
      <c r="O136" s="523">
        <f t="shared" si="525"/>
        <v>0</v>
      </c>
      <c r="P136" s="524">
        <f t="shared" si="525"/>
        <v>0</v>
      </c>
      <c r="Q136" s="1000" t="s">
        <v>701</v>
      </c>
      <c r="R136" s="525">
        <f t="shared" ref="R136:S136" si="526">R478</f>
        <v>0</v>
      </c>
      <c r="S136" s="524">
        <f t="shared" si="526"/>
        <v>0</v>
      </c>
      <c r="T136" s="1000" t="s">
        <v>701</v>
      </c>
      <c r="U136" s="526">
        <f t="shared" ref="U136:V136" si="527">U478</f>
        <v>0</v>
      </c>
      <c r="V136" s="524">
        <f t="shared" si="527"/>
        <v>0</v>
      </c>
      <c r="W136" s="1000" t="s">
        <v>701</v>
      </c>
      <c r="X136" s="1000" t="s">
        <v>701</v>
      </c>
      <c r="Y136" s="527">
        <f t="shared" ref="Y136" si="528">Y478</f>
        <v>3252.8885714285711</v>
      </c>
      <c r="Z136" s="1000" t="s">
        <v>701</v>
      </c>
      <c r="AA136" s="1098" t="s">
        <v>701</v>
      </c>
      <c r="AB136" s="1091" t="s">
        <v>701</v>
      </c>
      <c r="AC136" s="1099"/>
      <c r="AD136" s="1100">
        <f t="shared" ref="AD136:AD141" si="529">AD478</f>
        <v>0</v>
      </c>
      <c r="AE136" s="1091" t="s">
        <v>701</v>
      </c>
      <c r="AF136" s="1091" t="s">
        <v>701</v>
      </c>
      <c r="AG136" s="1091" t="s">
        <v>701</v>
      </c>
      <c r="AH136" s="1091" t="s">
        <v>701</v>
      </c>
      <c r="AI136" s="1091" t="s">
        <v>701</v>
      </c>
      <c r="AJ136" s="1040" t="str">
        <f t="shared" si="279"/>
        <v/>
      </c>
    </row>
    <row r="137" spans="4:36" ht="11.25" customHeight="1" x14ac:dyDescent="0.2">
      <c r="D137" s="1092"/>
      <c r="E137" s="1093"/>
      <c r="F137" s="1093"/>
      <c r="G137" s="1093"/>
      <c r="H137" s="1094"/>
      <c r="I137" s="1095"/>
      <c r="J137" s="1096"/>
      <c r="K137" s="1096"/>
      <c r="L137" s="1096"/>
      <c r="M137" s="1097"/>
      <c r="N137" s="528">
        <f t="shared" ref="N137:P137" si="530">N479</f>
        <v>0</v>
      </c>
      <c r="O137" s="529">
        <f t="shared" si="530"/>
        <v>0</v>
      </c>
      <c r="P137" s="529">
        <f t="shared" si="530"/>
        <v>0</v>
      </c>
      <c r="Q137" s="1001" t="s">
        <v>701</v>
      </c>
      <c r="R137" s="528">
        <f t="shared" ref="R137:S137" si="531">R479</f>
        <v>0</v>
      </c>
      <c r="S137" s="529">
        <f t="shared" si="531"/>
        <v>0</v>
      </c>
      <c r="T137" s="1001" t="s">
        <v>701</v>
      </c>
      <c r="U137" s="530">
        <f t="shared" ref="U137:V137" si="532">U479</f>
        <v>0</v>
      </c>
      <c r="V137" s="529">
        <f t="shared" si="532"/>
        <v>0</v>
      </c>
      <c r="W137" s="1001" t="s">
        <v>701</v>
      </c>
      <c r="X137" s="1001" t="s">
        <v>701</v>
      </c>
      <c r="Y137" s="531">
        <f t="shared" ref="Y137" si="533">Y479</f>
        <v>0</v>
      </c>
      <c r="Z137" s="1001" t="s">
        <v>701</v>
      </c>
      <c r="AA137" s="1098"/>
      <c r="AB137" s="1091"/>
      <c r="AC137" s="1099"/>
      <c r="AD137" s="1100">
        <f t="shared" si="529"/>
        <v>0</v>
      </c>
      <c r="AE137" s="1091"/>
      <c r="AF137" s="1091"/>
      <c r="AG137" s="1091"/>
      <c r="AH137" s="1091"/>
      <c r="AI137" s="1091"/>
      <c r="AJ137" s="1041" t="str">
        <f t="shared" si="279"/>
        <v/>
      </c>
    </row>
    <row r="138" spans="4:36" ht="11.25" customHeight="1" x14ac:dyDescent="0.2">
      <c r="D138" s="1092"/>
      <c r="E138" s="1093"/>
      <c r="F138" s="1093"/>
      <c r="G138" s="1093"/>
      <c r="H138" s="1094"/>
      <c r="I138" s="1095"/>
      <c r="J138" s="1096"/>
      <c r="K138" s="1096"/>
      <c r="L138" s="1096"/>
      <c r="M138" s="1097"/>
      <c r="N138" s="528">
        <f t="shared" ref="N138:P138" si="534">N480</f>
        <v>0</v>
      </c>
      <c r="O138" s="529">
        <f t="shared" si="534"/>
        <v>0</v>
      </c>
      <c r="P138" s="529">
        <f t="shared" si="534"/>
        <v>0</v>
      </c>
      <c r="Q138" s="1001" t="s">
        <v>701</v>
      </c>
      <c r="R138" s="528">
        <f t="shared" ref="R138:S138" si="535">R480</f>
        <v>0</v>
      </c>
      <c r="S138" s="529">
        <f t="shared" si="535"/>
        <v>0</v>
      </c>
      <c r="T138" s="1001" t="s">
        <v>701</v>
      </c>
      <c r="U138" s="530">
        <f t="shared" ref="U138:V138" si="536">U480</f>
        <v>0</v>
      </c>
      <c r="V138" s="529">
        <f t="shared" si="536"/>
        <v>0</v>
      </c>
      <c r="W138" s="1001" t="s">
        <v>701</v>
      </c>
      <c r="X138" s="1001" t="s">
        <v>701</v>
      </c>
      <c r="Y138" s="529">
        <f t="shared" ref="Y138" si="537">Y480</f>
        <v>0</v>
      </c>
      <c r="Z138" s="1001" t="s">
        <v>701</v>
      </c>
      <c r="AA138" s="1098"/>
      <c r="AB138" s="1091"/>
      <c r="AC138" s="1099"/>
      <c r="AD138" s="1100">
        <f t="shared" si="529"/>
        <v>0</v>
      </c>
      <c r="AE138" s="1091"/>
      <c r="AF138" s="1091"/>
      <c r="AG138" s="1091"/>
      <c r="AH138" s="1091"/>
      <c r="AI138" s="1091"/>
      <c r="AJ138" s="1041" t="str">
        <f t="shared" si="279"/>
        <v/>
      </c>
    </row>
    <row r="139" spans="4:36" ht="11.25" customHeight="1" x14ac:dyDescent="0.2">
      <c r="D139" s="1092"/>
      <c r="E139" s="1093"/>
      <c r="F139" s="1093"/>
      <c r="G139" s="1093"/>
      <c r="H139" s="1094"/>
      <c r="I139" s="1095"/>
      <c r="J139" s="1096"/>
      <c r="K139" s="1096"/>
      <c r="L139" s="1096"/>
      <c r="M139" s="1097"/>
      <c r="N139" s="528">
        <f t="shared" ref="N139:P139" si="538">N481</f>
        <v>0</v>
      </c>
      <c r="O139" s="529">
        <f t="shared" si="538"/>
        <v>0</v>
      </c>
      <c r="P139" s="529">
        <f t="shared" si="538"/>
        <v>0</v>
      </c>
      <c r="Q139" s="1001" t="s">
        <v>701</v>
      </c>
      <c r="R139" s="528">
        <f t="shared" ref="R139:S139" si="539">R481</f>
        <v>0</v>
      </c>
      <c r="S139" s="529">
        <f t="shared" si="539"/>
        <v>0</v>
      </c>
      <c r="T139" s="1001" t="s">
        <v>701</v>
      </c>
      <c r="U139" s="530">
        <f t="shared" ref="U139:V139" si="540">U481</f>
        <v>0</v>
      </c>
      <c r="V139" s="529">
        <f t="shared" si="540"/>
        <v>0</v>
      </c>
      <c r="W139" s="1001" t="s">
        <v>701</v>
      </c>
      <c r="X139" s="1001" t="s">
        <v>701</v>
      </c>
      <c r="Y139" s="529">
        <f t="shared" ref="Y139" si="541">Y481</f>
        <v>0</v>
      </c>
      <c r="Z139" s="1001" t="s">
        <v>701</v>
      </c>
      <c r="AA139" s="1098"/>
      <c r="AB139" s="1091"/>
      <c r="AC139" s="1099"/>
      <c r="AD139" s="1100">
        <f t="shared" si="529"/>
        <v>0</v>
      </c>
      <c r="AE139" s="1091"/>
      <c r="AF139" s="1091"/>
      <c r="AG139" s="1091"/>
      <c r="AH139" s="1091"/>
      <c r="AI139" s="1091"/>
      <c r="AJ139" s="1041" t="str">
        <f t="shared" ref="AJ139:AJ202" si="542">AJ481</f>
        <v/>
      </c>
    </row>
    <row r="140" spans="4:36" ht="11.25" customHeight="1" x14ac:dyDescent="0.2">
      <c r="D140" s="1092"/>
      <c r="E140" s="1093"/>
      <c r="F140" s="1093"/>
      <c r="G140" s="1093"/>
      <c r="H140" s="1094"/>
      <c r="I140" s="1095"/>
      <c r="J140" s="1096"/>
      <c r="K140" s="1096"/>
      <c r="L140" s="1096"/>
      <c r="M140" s="1097"/>
      <c r="N140" s="528">
        <f t="shared" ref="N140:P140" si="543">N482</f>
        <v>0</v>
      </c>
      <c r="O140" s="529">
        <f t="shared" si="543"/>
        <v>0</v>
      </c>
      <c r="P140" s="529">
        <f t="shared" si="543"/>
        <v>0</v>
      </c>
      <c r="Q140" s="1001" t="s">
        <v>701</v>
      </c>
      <c r="R140" s="528">
        <f t="shared" ref="R140:S140" si="544">R482</f>
        <v>0</v>
      </c>
      <c r="S140" s="529">
        <f t="shared" si="544"/>
        <v>0</v>
      </c>
      <c r="T140" s="1001" t="s">
        <v>701</v>
      </c>
      <c r="U140" s="530">
        <f t="shared" ref="U140:V140" si="545">U482</f>
        <v>0</v>
      </c>
      <c r="V140" s="529">
        <f t="shared" si="545"/>
        <v>0</v>
      </c>
      <c r="W140" s="1001" t="s">
        <v>701</v>
      </c>
      <c r="X140" s="1001" t="s">
        <v>701</v>
      </c>
      <c r="Y140" s="529">
        <f t="shared" ref="Y140" si="546">Y482</f>
        <v>0</v>
      </c>
      <c r="Z140" s="1001" t="s">
        <v>701</v>
      </c>
      <c r="AA140" s="1098"/>
      <c r="AB140" s="1091"/>
      <c r="AC140" s="1099"/>
      <c r="AD140" s="1100">
        <f t="shared" si="529"/>
        <v>0</v>
      </c>
      <c r="AE140" s="1091"/>
      <c r="AF140" s="1091"/>
      <c r="AG140" s="1091"/>
      <c r="AH140" s="1091"/>
      <c r="AI140" s="1091"/>
      <c r="AJ140" s="1041" t="str">
        <f t="shared" si="542"/>
        <v/>
      </c>
    </row>
    <row r="141" spans="4:36" ht="11.25" customHeight="1" x14ac:dyDescent="0.2">
      <c r="D141" s="1092"/>
      <c r="E141" s="1093"/>
      <c r="F141" s="1093"/>
      <c r="G141" s="1093"/>
      <c r="H141" s="1094"/>
      <c r="I141" s="1095"/>
      <c r="J141" s="1096"/>
      <c r="K141" s="1096"/>
      <c r="L141" s="1096"/>
      <c r="M141" s="1097"/>
      <c r="N141" s="528">
        <f t="shared" ref="N141:P141" si="547">N483</f>
        <v>0</v>
      </c>
      <c r="O141" s="529">
        <f t="shared" si="547"/>
        <v>0</v>
      </c>
      <c r="P141" s="529">
        <f t="shared" si="547"/>
        <v>0</v>
      </c>
      <c r="Q141" s="1001" t="s">
        <v>701</v>
      </c>
      <c r="R141" s="528">
        <f t="shared" ref="R141:S141" si="548">R483</f>
        <v>0</v>
      </c>
      <c r="S141" s="529">
        <f t="shared" si="548"/>
        <v>0</v>
      </c>
      <c r="T141" s="1001" t="s">
        <v>701</v>
      </c>
      <c r="U141" s="530">
        <f t="shared" ref="U141:V141" si="549">U483</f>
        <v>0</v>
      </c>
      <c r="V141" s="529">
        <f t="shared" si="549"/>
        <v>0</v>
      </c>
      <c r="W141" s="1001" t="s">
        <v>701</v>
      </c>
      <c r="X141" s="1001" t="s">
        <v>701</v>
      </c>
      <c r="Y141" s="529">
        <f t="shared" ref="Y141" si="550">Y483</f>
        <v>0</v>
      </c>
      <c r="Z141" s="1001" t="s">
        <v>701</v>
      </c>
      <c r="AA141" s="1098"/>
      <c r="AB141" s="1091"/>
      <c r="AC141" s="1099"/>
      <c r="AD141" s="1100">
        <f t="shared" si="529"/>
        <v>0</v>
      </c>
      <c r="AE141" s="1091"/>
      <c r="AF141" s="1091"/>
      <c r="AG141" s="1091"/>
      <c r="AH141" s="1091"/>
      <c r="AI141" s="1091"/>
      <c r="AJ141" s="1041" t="str">
        <f t="shared" si="542"/>
        <v/>
      </c>
    </row>
    <row r="142" spans="4:36" ht="11.25" customHeight="1" thickBot="1" x14ac:dyDescent="0.25">
      <c r="D142" s="532" t="s">
        <v>418</v>
      </c>
      <c r="E142" s="533"/>
      <c r="F142" s="534"/>
      <c r="G142" s="535"/>
      <c r="H142" s="535"/>
      <c r="I142" s="534"/>
      <c r="J142" s="535"/>
      <c r="K142" s="535"/>
      <c r="L142" s="535"/>
      <c r="M142" s="536"/>
      <c r="N142" s="913">
        <f>SUM(N136:N141)</f>
        <v>0</v>
      </c>
      <c r="O142" s="913">
        <f t="shared" ref="O142" si="551">SUM(O136:O141)</f>
        <v>0</v>
      </c>
      <c r="P142" s="914"/>
      <c r="Q142" s="1002" t="s">
        <v>701</v>
      </c>
      <c r="R142" s="915"/>
      <c r="S142" s="916">
        <f t="shared" ref="S142" si="552">SUM(S136:S141)</f>
        <v>0</v>
      </c>
      <c r="T142" s="1003" t="s">
        <v>701</v>
      </c>
      <c r="U142" s="915"/>
      <c r="V142" s="916">
        <f t="shared" ref="V142:Y142" si="553">SUM(V136:V141)</f>
        <v>0</v>
      </c>
      <c r="W142" s="1003" t="s">
        <v>701</v>
      </c>
      <c r="X142" s="1003" t="s">
        <v>701</v>
      </c>
      <c r="Y142" s="916">
        <f t="shared" si="553"/>
        <v>3252.8885714285711</v>
      </c>
      <c r="Z142" s="1003" t="s">
        <v>701</v>
      </c>
      <c r="AA142" s="1003" t="s">
        <v>701</v>
      </c>
      <c r="AB142" s="1004" t="s">
        <v>701</v>
      </c>
      <c r="AC142" s="1005" t="s">
        <v>701</v>
      </c>
      <c r="AD142" s="917"/>
      <c r="AE142" s="1004" t="s">
        <v>701</v>
      </c>
      <c r="AF142" s="1004" t="s">
        <v>701</v>
      </c>
      <c r="AG142" s="1004" t="s">
        <v>701</v>
      </c>
      <c r="AH142" s="1004" t="s">
        <v>701</v>
      </c>
      <c r="AI142" s="1004" t="s">
        <v>701</v>
      </c>
      <c r="AJ142" s="1042" t="str">
        <f t="shared" si="542"/>
        <v/>
      </c>
    </row>
    <row r="143" spans="4:36" ht="11.25" customHeight="1" x14ac:dyDescent="0.25">
      <c r="D143" s="1092" t="str">
        <f>D485</f>
        <v>Sydney North West area Protection System (multiple substations)</v>
      </c>
      <c r="E143" s="1093" t="str">
        <f t="shared" ref="E143:P143" si="554">E485</f>
        <v>Transmission substation</v>
      </c>
      <c r="F143" s="1093">
        <f t="shared" si="554"/>
        <v>1491</v>
      </c>
      <c r="G143" s="1093" t="str">
        <f t="shared" si="554"/>
        <v>Other</v>
      </c>
      <c r="H143" s="1094" t="str">
        <f t="shared" si="554"/>
        <v>Net market benefit</v>
      </c>
      <c r="I143" s="1095">
        <f t="shared" si="554"/>
        <v>330</v>
      </c>
      <c r="J143" s="1096" t="str">
        <f t="shared" si="554"/>
        <v>N/A</v>
      </c>
      <c r="K143" s="1096" t="str">
        <f t="shared" si="554"/>
        <v>N/A</v>
      </c>
      <c r="L143" s="1096" t="str">
        <f t="shared" si="554"/>
        <v>N/A</v>
      </c>
      <c r="M143" s="1097" t="str">
        <f t="shared" si="554"/>
        <v>N/A</v>
      </c>
      <c r="N143" s="522">
        <f t="shared" si="554"/>
        <v>0</v>
      </c>
      <c r="O143" s="523">
        <f t="shared" si="554"/>
        <v>0</v>
      </c>
      <c r="P143" s="524">
        <f t="shared" si="554"/>
        <v>0</v>
      </c>
      <c r="Q143" s="1000" t="s">
        <v>701</v>
      </c>
      <c r="R143" s="525">
        <f t="shared" ref="R143:S143" si="555">R485</f>
        <v>0</v>
      </c>
      <c r="S143" s="524">
        <f t="shared" si="555"/>
        <v>0</v>
      </c>
      <c r="T143" s="1000" t="s">
        <v>701</v>
      </c>
      <c r="U143" s="526">
        <f t="shared" ref="U143:V143" si="556">U485</f>
        <v>0</v>
      </c>
      <c r="V143" s="524">
        <f t="shared" si="556"/>
        <v>0</v>
      </c>
      <c r="W143" s="1000" t="s">
        <v>701</v>
      </c>
      <c r="X143" s="1000" t="s">
        <v>701</v>
      </c>
      <c r="Y143" s="527">
        <f t="shared" ref="Y143" si="557">Y485</f>
        <v>11400.861863354035</v>
      </c>
      <c r="Z143" s="1000" t="s">
        <v>701</v>
      </c>
      <c r="AA143" s="1098" t="s">
        <v>701</v>
      </c>
      <c r="AB143" s="1091" t="s">
        <v>701</v>
      </c>
      <c r="AC143" s="1099"/>
      <c r="AD143" s="1100">
        <f t="shared" ref="AD143:AD148" si="558">AD485</f>
        <v>0</v>
      </c>
      <c r="AE143" s="1091" t="s">
        <v>701</v>
      </c>
      <c r="AF143" s="1091" t="s">
        <v>701</v>
      </c>
      <c r="AG143" s="1091" t="s">
        <v>701</v>
      </c>
      <c r="AH143" s="1091" t="s">
        <v>701</v>
      </c>
      <c r="AI143" s="1091" t="s">
        <v>701</v>
      </c>
      <c r="AJ143" s="1040" t="str">
        <f t="shared" si="542"/>
        <v/>
      </c>
    </row>
    <row r="144" spans="4:36" ht="11.25" customHeight="1" x14ac:dyDescent="0.2">
      <c r="D144" s="1092"/>
      <c r="E144" s="1093"/>
      <c r="F144" s="1093"/>
      <c r="G144" s="1093"/>
      <c r="H144" s="1094"/>
      <c r="I144" s="1095"/>
      <c r="J144" s="1096"/>
      <c r="K144" s="1096"/>
      <c r="L144" s="1096"/>
      <c r="M144" s="1097"/>
      <c r="N144" s="528">
        <f t="shared" ref="N144:P144" si="559">N486</f>
        <v>0</v>
      </c>
      <c r="O144" s="529">
        <f t="shared" si="559"/>
        <v>0</v>
      </c>
      <c r="P144" s="529">
        <f t="shared" si="559"/>
        <v>0</v>
      </c>
      <c r="Q144" s="1001" t="s">
        <v>701</v>
      </c>
      <c r="R144" s="528">
        <f t="shared" ref="R144:S144" si="560">R486</f>
        <v>0</v>
      </c>
      <c r="S144" s="529">
        <f t="shared" si="560"/>
        <v>0</v>
      </c>
      <c r="T144" s="1001" t="s">
        <v>701</v>
      </c>
      <c r="U144" s="530">
        <f t="shared" ref="U144:V144" si="561">U486</f>
        <v>0</v>
      </c>
      <c r="V144" s="529">
        <f t="shared" si="561"/>
        <v>0</v>
      </c>
      <c r="W144" s="1001" t="s">
        <v>701</v>
      </c>
      <c r="X144" s="1001" t="s">
        <v>701</v>
      </c>
      <c r="Y144" s="531">
        <f t="shared" ref="Y144" si="562">Y486</f>
        <v>0</v>
      </c>
      <c r="Z144" s="1001" t="s">
        <v>701</v>
      </c>
      <c r="AA144" s="1098"/>
      <c r="AB144" s="1091"/>
      <c r="AC144" s="1099"/>
      <c r="AD144" s="1100">
        <f t="shared" si="558"/>
        <v>0</v>
      </c>
      <c r="AE144" s="1091"/>
      <c r="AF144" s="1091"/>
      <c r="AG144" s="1091"/>
      <c r="AH144" s="1091"/>
      <c r="AI144" s="1091"/>
      <c r="AJ144" s="1041" t="str">
        <f t="shared" si="542"/>
        <v/>
      </c>
    </row>
    <row r="145" spans="4:36" ht="11.25" customHeight="1" x14ac:dyDescent="0.2">
      <c r="D145" s="1092"/>
      <c r="E145" s="1093"/>
      <c r="F145" s="1093"/>
      <c r="G145" s="1093"/>
      <c r="H145" s="1094"/>
      <c r="I145" s="1095"/>
      <c r="J145" s="1096"/>
      <c r="K145" s="1096"/>
      <c r="L145" s="1096"/>
      <c r="M145" s="1097"/>
      <c r="N145" s="528">
        <f t="shared" ref="N145:P145" si="563">N487</f>
        <v>0</v>
      </c>
      <c r="O145" s="529">
        <f t="shared" si="563"/>
        <v>0</v>
      </c>
      <c r="P145" s="529">
        <f t="shared" si="563"/>
        <v>0</v>
      </c>
      <c r="Q145" s="1001" t="s">
        <v>701</v>
      </c>
      <c r="R145" s="528">
        <f t="shared" ref="R145:S145" si="564">R487</f>
        <v>0</v>
      </c>
      <c r="S145" s="529">
        <f t="shared" si="564"/>
        <v>0</v>
      </c>
      <c r="T145" s="1001" t="s">
        <v>701</v>
      </c>
      <c r="U145" s="530">
        <f t="shared" ref="U145:V145" si="565">U487</f>
        <v>0</v>
      </c>
      <c r="V145" s="529">
        <f t="shared" si="565"/>
        <v>0</v>
      </c>
      <c r="W145" s="1001" t="s">
        <v>701</v>
      </c>
      <c r="X145" s="1001" t="s">
        <v>701</v>
      </c>
      <c r="Y145" s="529">
        <f t="shared" ref="Y145" si="566">Y487</f>
        <v>0</v>
      </c>
      <c r="Z145" s="1001" t="s">
        <v>701</v>
      </c>
      <c r="AA145" s="1098"/>
      <c r="AB145" s="1091"/>
      <c r="AC145" s="1099"/>
      <c r="AD145" s="1100">
        <f t="shared" si="558"/>
        <v>0</v>
      </c>
      <c r="AE145" s="1091"/>
      <c r="AF145" s="1091"/>
      <c r="AG145" s="1091"/>
      <c r="AH145" s="1091"/>
      <c r="AI145" s="1091"/>
      <c r="AJ145" s="1041" t="str">
        <f t="shared" si="542"/>
        <v/>
      </c>
    </row>
    <row r="146" spans="4:36" ht="11.25" customHeight="1" x14ac:dyDescent="0.2">
      <c r="D146" s="1092"/>
      <c r="E146" s="1093"/>
      <c r="F146" s="1093"/>
      <c r="G146" s="1093"/>
      <c r="H146" s="1094"/>
      <c r="I146" s="1095"/>
      <c r="J146" s="1096"/>
      <c r="K146" s="1096"/>
      <c r="L146" s="1096"/>
      <c r="M146" s="1097"/>
      <c r="N146" s="528">
        <f t="shared" ref="N146:P146" si="567">N488</f>
        <v>0</v>
      </c>
      <c r="O146" s="529">
        <f t="shared" si="567"/>
        <v>0</v>
      </c>
      <c r="P146" s="529">
        <f t="shared" si="567"/>
        <v>0</v>
      </c>
      <c r="Q146" s="1001" t="s">
        <v>701</v>
      </c>
      <c r="R146" s="528">
        <f t="shared" ref="R146:S146" si="568">R488</f>
        <v>0</v>
      </c>
      <c r="S146" s="529">
        <f t="shared" si="568"/>
        <v>0</v>
      </c>
      <c r="T146" s="1001" t="s">
        <v>701</v>
      </c>
      <c r="U146" s="530">
        <f t="shared" ref="U146:V146" si="569">U488</f>
        <v>0</v>
      </c>
      <c r="V146" s="529">
        <f t="shared" si="569"/>
        <v>0</v>
      </c>
      <c r="W146" s="1001" t="s">
        <v>701</v>
      </c>
      <c r="X146" s="1001" t="s">
        <v>701</v>
      </c>
      <c r="Y146" s="529">
        <f t="shared" ref="Y146" si="570">Y488</f>
        <v>0</v>
      </c>
      <c r="Z146" s="1001" t="s">
        <v>701</v>
      </c>
      <c r="AA146" s="1098"/>
      <c r="AB146" s="1091"/>
      <c r="AC146" s="1099"/>
      <c r="AD146" s="1100">
        <f t="shared" si="558"/>
        <v>0</v>
      </c>
      <c r="AE146" s="1091"/>
      <c r="AF146" s="1091"/>
      <c r="AG146" s="1091"/>
      <c r="AH146" s="1091"/>
      <c r="AI146" s="1091"/>
      <c r="AJ146" s="1041" t="str">
        <f t="shared" si="542"/>
        <v/>
      </c>
    </row>
    <row r="147" spans="4:36" ht="11.25" customHeight="1" x14ac:dyDescent="0.2">
      <c r="D147" s="1092"/>
      <c r="E147" s="1093"/>
      <c r="F147" s="1093"/>
      <c r="G147" s="1093"/>
      <c r="H147" s="1094"/>
      <c r="I147" s="1095"/>
      <c r="J147" s="1096"/>
      <c r="K147" s="1096"/>
      <c r="L147" s="1096"/>
      <c r="M147" s="1097"/>
      <c r="N147" s="528">
        <f t="shared" ref="N147:P147" si="571">N489</f>
        <v>0</v>
      </c>
      <c r="O147" s="529">
        <f t="shared" si="571"/>
        <v>0</v>
      </c>
      <c r="P147" s="529">
        <f t="shared" si="571"/>
        <v>0</v>
      </c>
      <c r="Q147" s="1001" t="s">
        <v>701</v>
      </c>
      <c r="R147" s="528">
        <f t="shared" ref="R147:S147" si="572">R489</f>
        <v>0</v>
      </c>
      <c r="S147" s="529">
        <f t="shared" si="572"/>
        <v>0</v>
      </c>
      <c r="T147" s="1001" t="s">
        <v>701</v>
      </c>
      <c r="U147" s="530">
        <f t="shared" ref="U147:V147" si="573">U489</f>
        <v>0</v>
      </c>
      <c r="V147" s="529">
        <f t="shared" si="573"/>
        <v>0</v>
      </c>
      <c r="W147" s="1001" t="s">
        <v>701</v>
      </c>
      <c r="X147" s="1001" t="s">
        <v>701</v>
      </c>
      <c r="Y147" s="529">
        <f t="shared" ref="Y147" si="574">Y489</f>
        <v>0</v>
      </c>
      <c r="Z147" s="1001" t="s">
        <v>701</v>
      </c>
      <c r="AA147" s="1098"/>
      <c r="AB147" s="1091"/>
      <c r="AC147" s="1099"/>
      <c r="AD147" s="1100">
        <f t="shared" si="558"/>
        <v>0</v>
      </c>
      <c r="AE147" s="1091"/>
      <c r="AF147" s="1091"/>
      <c r="AG147" s="1091"/>
      <c r="AH147" s="1091"/>
      <c r="AI147" s="1091"/>
      <c r="AJ147" s="1041" t="str">
        <f t="shared" si="542"/>
        <v/>
      </c>
    </row>
    <row r="148" spans="4:36" ht="11.25" customHeight="1" x14ac:dyDescent="0.2">
      <c r="D148" s="1092"/>
      <c r="E148" s="1093"/>
      <c r="F148" s="1093"/>
      <c r="G148" s="1093"/>
      <c r="H148" s="1094"/>
      <c r="I148" s="1095"/>
      <c r="J148" s="1096"/>
      <c r="K148" s="1096"/>
      <c r="L148" s="1096"/>
      <c r="M148" s="1097"/>
      <c r="N148" s="528">
        <f t="shared" ref="N148:P148" si="575">N490</f>
        <v>0</v>
      </c>
      <c r="O148" s="529">
        <f t="shared" si="575"/>
        <v>0</v>
      </c>
      <c r="P148" s="529">
        <f t="shared" si="575"/>
        <v>0</v>
      </c>
      <c r="Q148" s="1001" t="s">
        <v>701</v>
      </c>
      <c r="R148" s="528">
        <f t="shared" ref="R148:S148" si="576">R490</f>
        <v>0</v>
      </c>
      <c r="S148" s="529">
        <f t="shared" si="576"/>
        <v>0</v>
      </c>
      <c r="T148" s="1001" t="s">
        <v>701</v>
      </c>
      <c r="U148" s="530">
        <f t="shared" ref="U148:V148" si="577">U490</f>
        <v>0</v>
      </c>
      <c r="V148" s="529">
        <f t="shared" si="577"/>
        <v>0</v>
      </c>
      <c r="W148" s="1001" t="s">
        <v>701</v>
      </c>
      <c r="X148" s="1001" t="s">
        <v>701</v>
      </c>
      <c r="Y148" s="529">
        <f t="shared" ref="Y148" si="578">Y490</f>
        <v>0</v>
      </c>
      <c r="Z148" s="1001" t="s">
        <v>701</v>
      </c>
      <c r="AA148" s="1098"/>
      <c r="AB148" s="1091"/>
      <c r="AC148" s="1099"/>
      <c r="AD148" s="1100">
        <f t="shared" si="558"/>
        <v>0</v>
      </c>
      <c r="AE148" s="1091"/>
      <c r="AF148" s="1091"/>
      <c r="AG148" s="1091"/>
      <c r="AH148" s="1091"/>
      <c r="AI148" s="1091"/>
      <c r="AJ148" s="1041" t="str">
        <f t="shared" si="542"/>
        <v/>
      </c>
    </row>
    <row r="149" spans="4:36" ht="11.25" customHeight="1" thickBot="1" x14ac:dyDescent="0.25">
      <c r="D149" s="532" t="s">
        <v>418</v>
      </c>
      <c r="E149" s="533"/>
      <c r="F149" s="534"/>
      <c r="G149" s="535"/>
      <c r="H149" s="535"/>
      <c r="I149" s="534"/>
      <c r="J149" s="535"/>
      <c r="K149" s="535"/>
      <c r="L149" s="535"/>
      <c r="M149" s="536"/>
      <c r="N149" s="913">
        <f>SUM(N143:N148)</f>
        <v>0</v>
      </c>
      <c r="O149" s="913">
        <f t="shared" ref="O149" si="579">SUM(O143:O148)</f>
        <v>0</v>
      </c>
      <c r="P149" s="914"/>
      <c r="Q149" s="1002" t="s">
        <v>701</v>
      </c>
      <c r="R149" s="915"/>
      <c r="S149" s="916">
        <f t="shared" ref="S149" si="580">SUM(S143:S148)</f>
        <v>0</v>
      </c>
      <c r="T149" s="1003" t="s">
        <v>701</v>
      </c>
      <c r="U149" s="915"/>
      <c r="V149" s="916">
        <f t="shared" ref="V149:Y149" si="581">SUM(V143:V148)</f>
        <v>0</v>
      </c>
      <c r="W149" s="1003" t="s">
        <v>701</v>
      </c>
      <c r="X149" s="1003" t="s">
        <v>701</v>
      </c>
      <c r="Y149" s="916">
        <f t="shared" si="581"/>
        <v>11400.861863354035</v>
      </c>
      <c r="Z149" s="1003" t="s">
        <v>701</v>
      </c>
      <c r="AA149" s="1003" t="s">
        <v>701</v>
      </c>
      <c r="AB149" s="1004" t="s">
        <v>701</v>
      </c>
      <c r="AC149" s="1005" t="s">
        <v>701</v>
      </c>
      <c r="AD149" s="917"/>
      <c r="AE149" s="1004" t="s">
        <v>701</v>
      </c>
      <c r="AF149" s="1004" t="s">
        <v>701</v>
      </c>
      <c r="AG149" s="1004" t="s">
        <v>701</v>
      </c>
      <c r="AH149" s="1004" t="s">
        <v>701</v>
      </c>
      <c r="AI149" s="1004" t="s">
        <v>701</v>
      </c>
      <c r="AJ149" s="1042" t="str">
        <f t="shared" si="542"/>
        <v/>
      </c>
    </row>
    <row r="150" spans="4:36" ht="11.25" customHeight="1" x14ac:dyDescent="0.25">
      <c r="D150" s="1092" t="str">
        <f>D492</f>
        <v>Sydney West</v>
      </c>
      <c r="E150" s="1093" t="str">
        <f t="shared" ref="E150:P150" si="582">E492</f>
        <v>Transmission substation</v>
      </c>
      <c r="F150" s="1093">
        <f t="shared" si="582"/>
        <v>1522</v>
      </c>
      <c r="G150" s="1093" t="str">
        <f t="shared" si="582"/>
        <v>Other</v>
      </c>
      <c r="H150" s="1094" t="str">
        <f t="shared" si="582"/>
        <v>Net market benefit</v>
      </c>
      <c r="I150" s="1095" t="str">
        <f t="shared" si="582"/>
        <v>330/132</v>
      </c>
      <c r="J150" s="1096">
        <f t="shared" si="582"/>
        <v>1875</v>
      </c>
      <c r="K150" s="1096">
        <f t="shared" si="582"/>
        <v>1875</v>
      </c>
      <c r="L150" s="1096">
        <f t="shared" si="582"/>
        <v>1500</v>
      </c>
      <c r="M150" s="1097">
        <f t="shared" si="582"/>
        <v>1500</v>
      </c>
      <c r="N150" s="522">
        <f t="shared" si="582"/>
        <v>0</v>
      </c>
      <c r="O150" s="523">
        <f t="shared" si="582"/>
        <v>0</v>
      </c>
      <c r="P150" s="524" t="str">
        <f t="shared" si="582"/>
        <v>N/A</v>
      </c>
      <c r="Q150" s="1000" t="s">
        <v>701</v>
      </c>
      <c r="R150" s="525" t="str">
        <f t="shared" ref="R150:S150" si="583">R492</f>
        <v>N/A</v>
      </c>
      <c r="S150" s="524">
        <f t="shared" si="583"/>
        <v>0</v>
      </c>
      <c r="T150" s="1000" t="s">
        <v>701</v>
      </c>
      <c r="U150" s="526" t="str">
        <f t="shared" ref="U150:V150" si="584">U492</f>
        <v>N/A</v>
      </c>
      <c r="V150" s="524">
        <f t="shared" si="584"/>
        <v>0</v>
      </c>
      <c r="W150" s="1000" t="s">
        <v>701</v>
      </c>
      <c r="X150" s="1000" t="s">
        <v>701</v>
      </c>
      <c r="Y150" s="527">
        <f t="shared" ref="Y150" si="585">Y492</f>
        <v>4379.7018633540374</v>
      </c>
      <c r="Z150" s="1000" t="s">
        <v>701</v>
      </c>
      <c r="AA150" s="1098" t="s">
        <v>701</v>
      </c>
      <c r="AB150" s="1091" t="s">
        <v>701</v>
      </c>
      <c r="AC150" s="1099"/>
      <c r="AD150" s="1100">
        <f t="shared" ref="AD150:AD155" si="586">AD492</f>
        <v>0</v>
      </c>
      <c r="AE150" s="1091" t="s">
        <v>701</v>
      </c>
      <c r="AF150" s="1091" t="s">
        <v>701</v>
      </c>
      <c r="AG150" s="1091" t="s">
        <v>701</v>
      </c>
      <c r="AH150" s="1091" t="s">
        <v>701</v>
      </c>
      <c r="AI150" s="1091" t="s">
        <v>701</v>
      </c>
      <c r="AJ150" s="1040" t="str">
        <f t="shared" si="542"/>
        <v/>
      </c>
    </row>
    <row r="151" spans="4:36" ht="11.25" customHeight="1" x14ac:dyDescent="0.2">
      <c r="D151" s="1092"/>
      <c r="E151" s="1093"/>
      <c r="F151" s="1093"/>
      <c r="G151" s="1093"/>
      <c r="H151" s="1094"/>
      <c r="I151" s="1095"/>
      <c r="J151" s="1096"/>
      <c r="K151" s="1096"/>
      <c r="L151" s="1096"/>
      <c r="M151" s="1097"/>
      <c r="N151" s="528">
        <f t="shared" ref="N151:P151" si="587">N493</f>
        <v>0</v>
      </c>
      <c r="O151" s="529">
        <f t="shared" si="587"/>
        <v>0</v>
      </c>
      <c r="P151" s="529">
        <f t="shared" si="587"/>
        <v>0</v>
      </c>
      <c r="Q151" s="1001" t="s">
        <v>701</v>
      </c>
      <c r="R151" s="528">
        <f t="shared" ref="R151:S151" si="588">R493</f>
        <v>0</v>
      </c>
      <c r="S151" s="529">
        <f t="shared" si="588"/>
        <v>0</v>
      </c>
      <c r="T151" s="1001" t="s">
        <v>701</v>
      </c>
      <c r="U151" s="530">
        <f t="shared" ref="U151:V151" si="589">U493</f>
        <v>0</v>
      </c>
      <c r="V151" s="529">
        <f t="shared" si="589"/>
        <v>0</v>
      </c>
      <c r="W151" s="1001" t="s">
        <v>701</v>
      </c>
      <c r="X151" s="1001" t="s">
        <v>701</v>
      </c>
      <c r="Y151" s="531">
        <f t="shared" ref="Y151" si="590">Y493</f>
        <v>0</v>
      </c>
      <c r="Z151" s="1001" t="s">
        <v>701</v>
      </c>
      <c r="AA151" s="1098"/>
      <c r="AB151" s="1091"/>
      <c r="AC151" s="1099"/>
      <c r="AD151" s="1100">
        <f t="shared" si="586"/>
        <v>0</v>
      </c>
      <c r="AE151" s="1091"/>
      <c r="AF151" s="1091"/>
      <c r="AG151" s="1091"/>
      <c r="AH151" s="1091"/>
      <c r="AI151" s="1091"/>
      <c r="AJ151" s="1041" t="str">
        <f t="shared" si="542"/>
        <v/>
      </c>
    </row>
    <row r="152" spans="4:36" ht="11.25" customHeight="1" x14ac:dyDescent="0.2">
      <c r="D152" s="1092"/>
      <c r="E152" s="1093"/>
      <c r="F152" s="1093"/>
      <c r="G152" s="1093"/>
      <c r="H152" s="1094"/>
      <c r="I152" s="1095"/>
      <c r="J152" s="1096"/>
      <c r="K152" s="1096"/>
      <c r="L152" s="1096"/>
      <c r="M152" s="1097"/>
      <c r="N152" s="528">
        <f t="shared" ref="N152:P152" si="591">N494</f>
        <v>0</v>
      </c>
      <c r="O152" s="529">
        <f t="shared" si="591"/>
        <v>0</v>
      </c>
      <c r="P152" s="529">
        <f t="shared" si="591"/>
        <v>0</v>
      </c>
      <c r="Q152" s="1001" t="s">
        <v>701</v>
      </c>
      <c r="R152" s="528">
        <f t="shared" ref="R152:S152" si="592">R494</f>
        <v>0</v>
      </c>
      <c r="S152" s="529">
        <f t="shared" si="592"/>
        <v>0</v>
      </c>
      <c r="T152" s="1001" t="s">
        <v>701</v>
      </c>
      <c r="U152" s="530">
        <f t="shared" ref="U152:V152" si="593">U494</f>
        <v>0</v>
      </c>
      <c r="V152" s="529">
        <f t="shared" si="593"/>
        <v>0</v>
      </c>
      <c r="W152" s="1001" t="s">
        <v>701</v>
      </c>
      <c r="X152" s="1001" t="s">
        <v>701</v>
      </c>
      <c r="Y152" s="529">
        <f t="shared" ref="Y152" si="594">Y494</f>
        <v>0</v>
      </c>
      <c r="Z152" s="1001" t="s">
        <v>701</v>
      </c>
      <c r="AA152" s="1098"/>
      <c r="AB152" s="1091"/>
      <c r="AC152" s="1099"/>
      <c r="AD152" s="1100">
        <f t="shared" si="586"/>
        <v>0</v>
      </c>
      <c r="AE152" s="1091"/>
      <c r="AF152" s="1091"/>
      <c r="AG152" s="1091"/>
      <c r="AH152" s="1091"/>
      <c r="AI152" s="1091"/>
      <c r="AJ152" s="1041" t="str">
        <f t="shared" si="542"/>
        <v/>
      </c>
    </row>
    <row r="153" spans="4:36" ht="11.25" customHeight="1" x14ac:dyDescent="0.2">
      <c r="D153" s="1092"/>
      <c r="E153" s="1093"/>
      <c r="F153" s="1093"/>
      <c r="G153" s="1093"/>
      <c r="H153" s="1094"/>
      <c r="I153" s="1095"/>
      <c r="J153" s="1096"/>
      <c r="K153" s="1096"/>
      <c r="L153" s="1096"/>
      <c r="M153" s="1097"/>
      <c r="N153" s="528">
        <f t="shared" ref="N153:P153" si="595">N495</f>
        <v>0</v>
      </c>
      <c r="O153" s="529">
        <f t="shared" si="595"/>
        <v>0</v>
      </c>
      <c r="P153" s="529">
        <f t="shared" si="595"/>
        <v>0</v>
      </c>
      <c r="Q153" s="1001" t="s">
        <v>701</v>
      </c>
      <c r="R153" s="528">
        <f t="shared" ref="R153:S153" si="596">R495</f>
        <v>0</v>
      </c>
      <c r="S153" s="529">
        <f t="shared" si="596"/>
        <v>0</v>
      </c>
      <c r="T153" s="1001" t="s">
        <v>701</v>
      </c>
      <c r="U153" s="530">
        <f t="shared" ref="U153:V153" si="597">U495</f>
        <v>0</v>
      </c>
      <c r="V153" s="529">
        <f t="shared" si="597"/>
        <v>0</v>
      </c>
      <c r="W153" s="1001" t="s">
        <v>701</v>
      </c>
      <c r="X153" s="1001" t="s">
        <v>701</v>
      </c>
      <c r="Y153" s="529">
        <f t="shared" ref="Y153" si="598">Y495</f>
        <v>0</v>
      </c>
      <c r="Z153" s="1001" t="s">
        <v>701</v>
      </c>
      <c r="AA153" s="1098"/>
      <c r="AB153" s="1091"/>
      <c r="AC153" s="1099"/>
      <c r="AD153" s="1100">
        <f t="shared" si="586"/>
        <v>0</v>
      </c>
      <c r="AE153" s="1091"/>
      <c r="AF153" s="1091"/>
      <c r="AG153" s="1091"/>
      <c r="AH153" s="1091"/>
      <c r="AI153" s="1091"/>
      <c r="AJ153" s="1041" t="str">
        <f t="shared" si="542"/>
        <v/>
      </c>
    </row>
    <row r="154" spans="4:36" ht="11.25" customHeight="1" x14ac:dyDescent="0.2">
      <c r="D154" s="1092"/>
      <c r="E154" s="1093"/>
      <c r="F154" s="1093"/>
      <c r="G154" s="1093"/>
      <c r="H154" s="1094"/>
      <c r="I154" s="1095"/>
      <c r="J154" s="1096"/>
      <c r="K154" s="1096"/>
      <c r="L154" s="1096"/>
      <c r="M154" s="1097"/>
      <c r="N154" s="528">
        <f t="shared" ref="N154:P154" si="599">N496</f>
        <v>0</v>
      </c>
      <c r="O154" s="529">
        <f t="shared" si="599"/>
        <v>0</v>
      </c>
      <c r="P154" s="529">
        <f t="shared" si="599"/>
        <v>0</v>
      </c>
      <c r="Q154" s="1001" t="s">
        <v>701</v>
      </c>
      <c r="R154" s="528">
        <f t="shared" ref="R154:S154" si="600">R496</f>
        <v>0</v>
      </c>
      <c r="S154" s="529">
        <f t="shared" si="600"/>
        <v>0</v>
      </c>
      <c r="T154" s="1001" t="s">
        <v>701</v>
      </c>
      <c r="U154" s="530">
        <f t="shared" ref="U154:V154" si="601">U496</f>
        <v>0</v>
      </c>
      <c r="V154" s="529">
        <f t="shared" si="601"/>
        <v>0</v>
      </c>
      <c r="W154" s="1001" t="s">
        <v>701</v>
      </c>
      <c r="X154" s="1001" t="s">
        <v>701</v>
      </c>
      <c r="Y154" s="529">
        <f t="shared" ref="Y154" si="602">Y496</f>
        <v>0</v>
      </c>
      <c r="Z154" s="1001" t="s">
        <v>701</v>
      </c>
      <c r="AA154" s="1098"/>
      <c r="AB154" s="1091"/>
      <c r="AC154" s="1099"/>
      <c r="AD154" s="1100">
        <f t="shared" si="586"/>
        <v>0</v>
      </c>
      <c r="AE154" s="1091"/>
      <c r="AF154" s="1091"/>
      <c r="AG154" s="1091"/>
      <c r="AH154" s="1091"/>
      <c r="AI154" s="1091"/>
      <c r="AJ154" s="1041" t="str">
        <f t="shared" si="542"/>
        <v/>
      </c>
    </row>
    <row r="155" spans="4:36" ht="11.25" customHeight="1" x14ac:dyDescent="0.2">
      <c r="D155" s="1092"/>
      <c r="E155" s="1093"/>
      <c r="F155" s="1093"/>
      <c r="G155" s="1093"/>
      <c r="H155" s="1094"/>
      <c r="I155" s="1095"/>
      <c r="J155" s="1096"/>
      <c r="K155" s="1096"/>
      <c r="L155" s="1096"/>
      <c r="M155" s="1097"/>
      <c r="N155" s="528">
        <f t="shared" ref="N155:P155" si="603">N497</f>
        <v>0</v>
      </c>
      <c r="O155" s="529">
        <f t="shared" si="603"/>
        <v>0</v>
      </c>
      <c r="P155" s="529">
        <f t="shared" si="603"/>
        <v>0</v>
      </c>
      <c r="Q155" s="1001" t="s">
        <v>701</v>
      </c>
      <c r="R155" s="528">
        <f t="shared" ref="R155:S155" si="604">R497</f>
        <v>0</v>
      </c>
      <c r="S155" s="529">
        <f t="shared" si="604"/>
        <v>0</v>
      </c>
      <c r="T155" s="1001" t="s">
        <v>701</v>
      </c>
      <c r="U155" s="530">
        <f t="shared" ref="U155:V155" si="605">U497</f>
        <v>0</v>
      </c>
      <c r="V155" s="529">
        <f t="shared" si="605"/>
        <v>0</v>
      </c>
      <c r="W155" s="1001" t="s">
        <v>701</v>
      </c>
      <c r="X155" s="1001" t="s">
        <v>701</v>
      </c>
      <c r="Y155" s="529">
        <f t="shared" ref="Y155" si="606">Y497</f>
        <v>0</v>
      </c>
      <c r="Z155" s="1001" t="s">
        <v>701</v>
      </c>
      <c r="AA155" s="1098"/>
      <c r="AB155" s="1091"/>
      <c r="AC155" s="1099"/>
      <c r="AD155" s="1100">
        <f t="shared" si="586"/>
        <v>0</v>
      </c>
      <c r="AE155" s="1091"/>
      <c r="AF155" s="1091"/>
      <c r="AG155" s="1091"/>
      <c r="AH155" s="1091"/>
      <c r="AI155" s="1091"/>
      <c r="AJ155" s="1041" t="str">
        <f t="shared" si="542"/>
        <v/>
      </c>
    </row>
    <row r="156" spans="4:36" ht="11.25" customHeight="1" thickBot="1" x14ac:dyDescent="0.25">
      <c r="D156" s="532" t="s">
        <v>418</v>
      </c>
      <c r="E156" s="533"/>
      <c r="F156" s="534"/>
      <c r="G156" s="535"/>
      <c r="H156" s="535"/>
      <c r="I156" s="534"/>
      <c r="J156" s="535"/>
      <c r="K156" s="535"/>
      <c r="L156" s="535"/>
      <c r="M156" s="536"/>
      <c r="N156" s="913">
        <f>SUM(N150:N155)</f>
        <v>0</v>
      </c>
      <c r="O156" s="913">
        <f t="shared" ref="O156" si="607">SUM(O150:O155)</f>
        <v>0</v>
      </c>
      <c r="P156" s="914"/>
      <c r="Q156" s="1002" t="s">
        <v>701</v>
      </c>
      <c r="R156" s="915"/>
      <c r="S156" s="916">
        <f t="shared" ref="S156" si="608">SUM(S150:S155)</f>
        <v>0</v>
      </c>
      <c r="T156" s="1003" t="s">
        <v>701</v>
      </c>
      <c r="U156" s="915"/>
      <c r="V156" s="916">
        <f t="shared" ref="V156:Y156" si="609">SUM(V150:V155)</f>
        <v>0</v>
      </c>
      <c r="W156" s="1003" t="s">
        <v>701</v>
      </c>
      <c r="X156" s="1003" t="s">
        <v>701</v>
      </c>
      <c r="Y156" s="916">
        <f t="shared" si="609"/>
        <v>4379.7018633540374</v>
      </c>
      <c r="Z156" s="1003" t="s">
        <v>701</v>
      </c>
      <c r="AA156" s="1003" t="s">
        <v>701</v>
      </c>
      <c r="AB156" s="1004" t="s">
        <v>701</v>
      </c>
      <c r="AC156" s="1005" t="s">
        <v>701</v>
      </c>
      <c r="AD156" s="917"/>
      <c r="AE156" s="1004" t="s">
        <v>701</v>
      </c>
      <c r="AF156" s="1004" t="s">
        <v>701</v>
      </c>
      <c r="AG156" s="1004" t="s">
        <v>701</v>
      </c>
      <c r="AH156" s="1004" t="s">
        <v>701</v>
      </c>
      <c r="AI156" s="1004" t="s">
        <v>701</v>
      </c>
      <c r="AJ156" s="1042" t="str">
        <f t="shared" si="542"/>
        <v/>
      </c>
    </row>
    <row r="157" spans="4:36" ht="11.25" customHeight="1" x14ac:dyDescent="0.25">
      <c r="D157" s="1092" t="str">
        <f>D499</f>
        <v>Bayswater</v>
      </c>
      <c r="E157" s="1093" t="str">
        <f t="shared" ref="E157:P157" si="610">E499</f>
        <v>Transmission substation</v>
      </c>
      <c r="F157" s="1093">
        <f t="shared" si="610"/>
        <v>1522</v>
      </c>
      <c r="G157" s="1093" t="str">
        <f t="shared" si="610"/>
        <v>Other</v>
      </c>
      <c r="H157" s="1094" t="str">
        <f t="shared" si="610"/>
        <v>Net market benefit</v>
      </c>
      <c r="I157" s="1095" t="str">
        <f t="shared" si="610"/>
        <v>500/330</v>
      </c>
      <c r="J157" s="1096">
        <f t="shared" si="610"/>
        <v>3000</v>
      </c>
      <c r="K157" s="1096">
        <f t="shared" si="610"/>
        <v>3000</v>
      </c>
      <c r="L157" s="1096">
        <f t="shared" si="610"/>
        <v>1500</v>
      </c>
      <c r="M157" s="1097">
        <f t="shared" si="610"/>
        <v>1500</v>
      </c>
      <c r="N157" s="522">
        <f t="shared" si="610"/>
        <v>0</v>
      </c>
      <c r="O157" s="523">
        <f t="shared" si="610"/>
        <v>0</v>
      </c>
      <c r="P157" s="524" t="str">
        <f t="shared" si="610"/>
        <v>N/A</v>
      </c>
      <c r="Q157" s="1000" t="s">
        <v>701</v>
      </c>
      <c r="R157" s="525" t="str">
        <f t="shared" ref="R157:S157" si="611">R499</f>
        <v>N/A</v>
      </c>
      <c r="S157" s="524">
        <f t="shared" si="611"/>
        <v>0</v>
      </c>
      <c r="T157" s="1000" t="s">
        <v>701</v>
      </c>
      <c r="U157" s="526" t="str">
        <f t="shared" ref="U157:V157" si="612">U499</f>
        <v>N/A</v>
      </c>
      <c r="V157" s="524">
        <f t="shared" si="612"/>
        <v>0</v>
      </c>
      <c r="W157" s="1000" t="s">
        <v>701</v>
      </c>
      <c r="X157" s="1000" t="s">
        <v>701</v>
      </c>
      <c r="Y157" s="527">
        <f t="shared" ref="Y157" si="613">Y499</f>
        <v>4379.7018633540374</v>
      </c>
      <c r="Z157" s="1000" t="s">
        <v>701</v>
      </c>
      <c r="AA157" s="1098" t="s">
        <v>701</v>
      </c>
      <c r="AB157" s="1091" t="s">
        <v>701</v>
      </c>
      <c r="AC157" s="1099"/>
      <c r="AD157" s="1100">
        <f t="shared" ref="AD157:AD162" si="614">AD499</f>
        <v>0</v>
      </c>
      <c r="AE157" s="1091" t="s">
        <v>701</v>
      </c>
      <c r="AF157" s="1091" t="s">
        <v>701</v>
      </c>
      <c r="AG157" s="1091" t="s">
        <v>701</v>
      </c>
      <c r="AH157" s="1091" t="s">
        <v>701</v>
      </c>
      <c r="AI157" s="1091" t="s">
        <v>701</v>
      </c>
      <c r="AJ157" s="1040" t="str">
        <f t="shared" si="542"/>
        <v/>
      </c>
    </row>
    <row r="158" spans="4:36" ht="11.25" customHeight="1" x14ac:dyDescent="0.2">
      <c r="D158" s="1092"/>
      <c r="E158" s="1093"/>
      <c r="F158" s="1093"/>
      <c r="G158" s="1093"/>
      <c r="H158" s="1094"/>
      <c r="I158" s="1095"/>
      <c r="J158" s="1096"/>
      <c r="K158" s="1096"/>
      <c r="L158" s="1096"/>
      <c r="M158" s="1097"/>
      <c r="N158" s="528">
        <f t="shared" ref="N158:P158" si="615">N500</f>
        <v>0</v>
      </c>
      <c r="O158" s="529">
        <f t="shared" si="615"/>
        <v>0</v>
      </c>
      <c r="P158" s="529">
        <f t="shared" si="615"/>
        <v>0</v>
      </c>
      <c r="Q158" s="1001" t="s">
        <v>701</v>
      </c>
      <c r="R158" s="528">
        <f t="shared" ref="R158:S158" si="616">R500</f>
        <v>0</v>
      </c>
      <c r="S158" s="529">
        <f t="shared" si="616"/>
        <v>0</v>
      </c>
      <c r="T158" s="1001" t="s">
        <v>701</v>
      </c>
      <c r="U158" s="530">
        <f t="shared" ref="U158:V158" si="617">U500</f>
        <v>0</v>
      </c>
      <c r="V158" s="529">
        <f t="shared" si="617"/>
        <v>0</v>
      </c>
      <c r="W158" s="1001" t="s">
        <v>701</v>
      </c>
      <c r="X158" s="1001" t="s">
        <v>701</v>
      </c>
      <c r="Y158" s="531">
        <f t="shared" ref="Y158" si="618">Y500</f>
        <v>0</v>
      </c>
      <c r="Z158" s="1001" t="s">
        <v>701</v>
      </c>
      <c r="AA158" s="1098"/>
      <c r="AB158" s="1091"/>
      <c r="AC158" s="1099"/>
      <c r="AD158" s="1100">
        <f t="shared" si="614"/>
        <v>0</v>
      </c>
      <c r="AE158" s="1091"/>
      <c r="AF158" s="1091"/>
      <c r="AG158" s="1091"/>
      <c r="AH158" s="1091"/>
      <c r="AI158" s="1091"/>
      <c r="AJ158" s="1041" t="str">
        <f t="shared" si="542"/>
        <v/>
      </c>
    </row>
    <row r="159" spans="4:36" ht="11.25" customHeight="1" x14ac:dyDescent="0.2">
      <c r="D159" s="1092"/>
      <c r="E159" s="1093"/>
      <c r="F159" s="1093"/>
      <c r="G159" s="1093"/>
      <c r="H159" s="1094"/>
      <c r="I159" s="1095"/>
      <c r="J159" s="1096"/>
      <c r="K159" s="1096"/>
      <c r="L159" s="1096"/>
      <c r="M159" s="1097"/>
      <c r="N159" s="528">
        <f t="shared" ref="N159:P159" si="619">N501</f>
        <v>0</v>
      </c>
      <c r="O159" s="529">
        <f t="shared" si="619"/>
        <v>0</v>
      </c>
      <c r="P159" s="529">
        <f t="shared" si="619"/>
        <v>0</v>
      </c>
      <c r="Q159" s="1001" t="s">
        <v>701</v>
      </c>
      <c r="R159" s="528">
        <f t="shared" ref="R159:S159" si="620">R501</f>
        <v>0</v>
      </c>
      <c r="S159" s="529">
        <f t="shared" si="620"/>
        <v>0</v>
      </c>
      <c r="T159" s="1001" t="s">
        <v>701</v>
      </c>
      <c r="U159" s="530">
        <f t="shared" ref="U159:V159" si="621">U501</f>
        <v>0</v>
      </c>
      <c r="V159" s="529">
        <f t="shared" si="621"/>
        <v>0</v>
      </c>
      <c r="W159" s="1001" t="s">
        <v>701</v>
      </c>
      <c r="X159" s="1001" t="s">
        <v>701</v>
      </c>
      <c r="Y159" s="529">
        <f t="shared" ref="Y159" si="622">Y501</f>
        <v>0</v>
      </c>
      <c r="Z159" s="1001" t="s">
        <v>701</v>
      </c>
      <c r="AA159" s="1098"/>
      <c r="AB159" s="1091"/>
      <c r="AC159" s="1099"/>
      <c r="AD159" s="1100">
        <f t="shared" si="614"/>
        <v>0</v>
      </c>
      <c r="AE159" s="1091"/>
      <c r="AF159" s="1091"/>
      <c r="AG159" s="1091"/>
      <c r="AH159" s="1091"/>
      <c r="AI159" s="1091"/>
      <c r="AJ159" s="1041" t="str">
        <f t="shared" si="542"/>
        <v/>
      </c>
    </row>
    <row r="160" spans="4:36" ht="11.25" customHeight="1" x14ac:dyDescent="0.2">
      <c r="D160" s="1092"/>
      <c r="E160" s="1093"/>
      <c r="F160" s="1093"/>
      <c r="G160" s="1093"/>
      <c r="H160" s="1094"/>
      <c r="I160" s="1095"/>
      <c r="J160" s="1096"/>
      <c r="K160" s="1096"/>
      <c r="L160" s="1096"/>
      <c r="M160" s="1097"/>
      <c r="N160" s="528">
        <f t="shared" ref="N160:P160" si="623">N502</f>
        <v>0</v>
      </c>
      <c r="O160" s="529">
        <f t="shared" si="623"/>
        <v>0</v>
      </c>
      <c r="P160" s="529">
        <f t="shared" si="623"/>
        <v>0</v>
      </c>
      <c r="Q160" s="1001" t="s">
        <v>701</v>
      </c>
      <c r="R160" s="528">
        <f t="shared" ref="R160:S160" si="624">R502</f>
        <v>0</v>
      </c>
      <c r="S160" s="529">
        <f t="shared" si="624"/>
        <v>0</v>
      </c>
      <c r="T160" s="1001" t="s">
        <v>701</v>
      </c>
      <c r="U160" s="530">
        <f t="shared" ref="U160:V160" si="625">U502</f>
        <v>0</v>
      </c>
      <c r="V160" s="529">
        <f t="shared" si="625"/>
        <v>0</v>
      </c>
      <c r="W160" s="1001" t="s">
        <v>701</v>
      </c>
      <c r="X160" s="1001" t="s">
        <v>701</v>
      </c>
      <c r="Y160" s="529">
        <f t="shared" ref="Y160" si="626">Y502</f>
        <v>0</v>
      </c>
      <c r="Z160" s="1001" t="s">
        <v>701</v>
      </c>
      <c r="AA160" s="1098"/>
      <c r="AB160" s="1091"/>
      <c r="AC160" s="1099"/>
      <c r="AD160" s="1100">
        <f t="shared" si="614"/>
        <v>0</v>
      </c>
      <c r="AE160" s="1091"/>
      <c r="AF160" s="1091"/>
      <c r="AG160" s="1091"/>
      <c r="AH160" s="1091"/>
      <c r="AI160" s="1091"/>
      <c r="AJ160" s="1041" t="str">
        <f t="shared" si="542"/>
        <v/>
      </c>
    </row>
    <row r="161" spans="4:36" ht="11.25" customHeight="1" x14ac:dyDescent="0.2">
      <c r="D161" s="1092"/>
      <c r="E161" s="1093"/>
      <c r="F161" s="1093"/>
      <c r="G161" s="1093"/>
      <c r="H161" s="1094"/>
      <c r="I161" s="1095"/>
      <c r="J161" s="1096"/>
      <c r="K161" s="1096"/>
      <c r="L161" s="1096"/>
      <c r="M161" s="1097"/>
      <c r="N161" s="528">
        <f t="shared" ref="N161:P161" si="627">N503</f>
        <v>0</v>
      </c>
      <c r="O161" s="529">
        <f t="shared" si="627"/>
        <v>0</v>
      </c>
      <c r="P161" s="529">
        <f t="shared" si="627"/>
        <v>0</v>
      </c>
      <c r="Q161" s="1001" t="s">
        <v>701</v>
      </c>
      <c r="R161" s="528">
        <f t="shared" ref="R161:S161" si="628">R503</f>
        <v>0</v>
      </c>
      <c r="S161" s="529">
        <f t="shared" si="628"/>
        <v>0</v>
      </c>
      <c r="T161" s="1001" t="s">
        <v>701</v>
      </c>
      <c r="U161" s="530">
        <f t="shared" ref="U161:V161" si="629">U503</f>
        <v>0</v>
      </c>
      <c r="V161" s="529">
        <f t="shared" si="629"/>
        <v>0</v>
      </c>
      <c r="W161" s="1001" t="s">
        <v>701</v>
      </c>
      <c r="X161" s="1001" t="s">
        <v>701</v>
      </c>
      <c r="Y161" s="529">
        <f t="shared" ref="Y161" si="630">Y503</f>
        <v>0</v>
      </c>
      <c r="Z161" s="1001" t="s">
        <v>701</v>
      </c>
      <c r="AA161" s="1098"/>
      <c r="AB161" s="1091"/>
      <c r="AC161" s="1099"/>
      <c r="AD161" s="1100">
        <f t="shared" si="614"/>
        <v>0</v>
      </c>
      <c r="AE161" s="1091"/>
      <c r="AF161" s="1091"/>
      <c r="AG161" s="1091"/>
      <c r="AH161" s="1091"/>
      <c r="AI161" s="1091"/>
      <c r="AJ161" s="1041" t="str">
        <f t="shared" si="542"/>
        <v/>
      </c>
    </row>
    <row r="162" spans="4:36" ht="11.25" customHeight="1" x14ac:dyDescent="0.2">
      <c r="D162" s="1092"/>
      <c r="E162" s="1093"/>
      <c r="F162" s="1093"/>
      <c r="G162" s="1093"/>
      <c r="H162" s="1094"/>
      <c r="I162" s="1095"/>
      <c r="J162" s="1096"/>
      <c r="K162" s="1096"/>
      <c r="L162" s="1096"/>
      <c r="M162" s="1097"/>
      <c r="N162" s="528">
        <f t="shared" ref="N162:P162" si="631">N504</f>
        <v>0</v>
      </c>
      <c r="O162" s="529">
        <f t="shared" si="631"/>
        <v>0</v>
      </c>
      <c r="P162" s="529">
        <f t="shared" si="631"/>
        <v>0</v>
      </c>
      <c r="Q162" s="1001" t="s">
        <v>701</v>
      </c>
      <c r="R162" s="528">
        <f t="shared" ref="R162:S162" si="632">R504</f>
        <v>0</v>
      </c>
      <c r="S162" s="529">
        <f t="shared" si="632"/>
        <v>0</v>
      </c>
      <c r="T162" s="1001" t="s">
        <v>701</v>
      </c>
      <c r="U162" s="530">
        <f t="shared" ref="U162:V162" si="633">U504</f>
        <v>0</v>
      </c>
      <c r="V162" s="529">
        <f t="shared" si="633"/>
        <v>0</v>
      </c>
      <c r="W162" s="1001" t="s">
        <v>701</v>
      </c>
      <c r="X162" s="1001" t="s">
        <v>701</v>
      </c>
      <c r="Y162" s="529">
        <f t="shared" ref="Y162" si="634">Y504</f>
        <v>0</v>
      </c>
      <c r="Z162" s="1001" t="s">
        <v>701</v>
      </c>
      <c r="AA162" s="1098"/>
      <c r="AB162" s="1091"/>
      <c r="AC162" s="1099"/>
      <c r="AD162" s="1100">
        <f t="shared" si="614"/>
        <v>0</v>
      </c>
      <c r="AE162" s="1091"/>
      <c r="AF162" s="1091"/>
      <c r="AG162" s="1091"/>
      <c r="AH162" s="1091"/>
      <c r="AI162" s="1091"/>
      <c r="AJ162" s="1041" t="str">
        <f t="shared" si="542"/>
        <v/>
      </c>
    </row>
    <row r="163" spans="4:36" ht="11.25" customHeight="1" thickBot="1" x14ac:dyDescent="0.25">
      <c r="D163" s="532" t="s">
        <v>418</v>
      </c>
      <c r="E163" s="533"/>
      <c r="F163" s="534"/>
      <c r="G163" s="535"/>
      <c r="H163" s="535"/>
      <c r="I163" s="534"/>
      <c r="J163" s="535"/>
      <c r="K163" s="535"/>
      <c r="L163" s="535"/>
      <c r="M163" s="536"/>
      <c r="N163" s="913">
        <f>SUM(N157:N162)</f>
        <v>0</v>
      </c>
      <c r="O163" s="913">
        <f t="shared" ref="O163" si="635">SUM(O157:O162)</f>
        <v>0</v>
      </c>
      <c r="P163" s="914"/>
      <c r="Q163" s="1002" t="s">
        <v>701</v>
      </c>
      <c r="R163" s="915"/>
      <c r="S163" s="916">
        <f t="shared" ref="S163" si="636">SUM(S157:S162)</f>
        <v>0</v>
      </c>
      <c r="T163" s="1003" t="s">
        <v>701</v>
      </c>
      <c r="U163" s="915"/>
      <c r="V163" s="916">
        <f t="shared" ref="V163:Y163" si="637">SUM(V157:V162)</f>
        <v>0</v>
      </c>
      <c r="W163" s="1003" t="s">
        <v>701</v>
      </c>
      <c r="X163" s="1003" t="s">
        <v>701</v>
      </c>
      <c r="Y163" s="916">
        <f t="shared" si="637"/>
        <v>4379.7018633540374</v>
      </c>
      <c r="Z163" s="1003" t="s">
        <v>701</v>
      </c>
      <c r="AA163" s="1003" t="s">
        <v>701</v>
      </c>
      <c r="AB163" s="1004" t="s">
        <v>701</v>
      </c>
      <c r="AC163" s="1005" t="s">
        <v>701</v>
      </c>
      <c r="AD163" s="917"/>
      <c r="AE163" s="1004" t="s">
        <v>701</v>
      </c>
      <c r="AF163" s="1004" t="s">
        <v>701</v>
      </c>
      <c r="AG163" s="1004" t="s">
        <v>701</v>
      </c>
      <c r="AH163" s="1004" t="s">
        <v>701</v>
      </c>
      <c r="AI163" s="1004" t="s">
        <v>701</v>
      </c>
      <c r="AJ163" s="1042" t="str">
        <f t="shared" si="542"/>
        <v/>
      </c>
    </row>
    <row r="164" spans="4:36" ht="11.25" customHeight="1" x14ac:dyDescent="0.25">
      <c r="D164" s="1092" t="str">
        <f>D506</f>
        <v>Regentville</v>
      </c>
      <c r="E164" s="1093" t="str">
        <f t="shared" ref="E164:P164" si="638">E506</f>
        <v>Transmission substation</v>
      </c>
      <c r="F164" s="1093">
        <f t="shared" si="638"/>
        <v>1522</v>
      </c>
      <c r="G164" s="1093" t="str">
        <f t="shared" si="638"/>
        <v>Other</v>
      </c>
      <c r="H164" s="1094" t="str">
        <f t="shared" si="638"/>
        <v>Net market benefit</v>
      </c>
      <c r="I164" s="1095" t="str">
        <f t="shared" si="638"/>
        <v>330/132</v>
      </c>
      <c r="J164" s="1096">
        <f t="shared" si="638"/>
        <v>750</v>
      </c>
      <c r="K164" s="1096">
        <f t="shared" si="638"/>
        <v>750</v>
      </c>
      <c r="L164" s="1096">
        <f t="shared" si="638"/>
        <v>375</v>
      </c>
      <c r="M164" s="1097">
        <f t="shared" si="638"/>
        <v>375</v>
      </c>
      <c r="N164" s="522">
        <f t="shared" si="638"/>
        <v>0</v>
      </c>
      <c r="O164" s="523">
        <f t="shared" si="638"/>
        <v>0</v>
      </c>
      <c r="P164" s="524" t="str">
        <f t="shared" si="638"/>
        <v>N/A</v>
      </c>
      <c r="Q164" s="1000" t="s">
        <v>701</v>
      </c>
      <c r="R164" s="525" t="str">
        <f t="shared" ref="R164:S164" si="639">R506</f>
        <v>N/A</v>
      </c>
      <c r="S164" s="524">
        <f t="shared" si="639"/>
        <v>0</v>
      </c>
      <c r="T164" s="1000" t="s">
        <v>701</v>
      </c>
      <c r="U164" s="526" t="str">
        <f t="shared" ref="U164:V164" si="640">U506</f>
        <v>N/A</v>
      </c>
      <c r="V164" s="524">
        <f t="shared" si="640"/>
        <v>0</v>
      </c>
      <c r="W164" s="1000" t="s">
        <v>701</v>
      </c>
      <c r="X164" s="1000" t="s">
        <v>701</v>
      </c>
      <c r="Y164" s="527">
        <f t="shared" ref="Y164" si="641">Y506</f>
        <v>4379.7018633540374</v>
      </c>
      <c r="Z164" s="1000" t="s">
        <v>701</v>
      </c>
      <c r="AA164" s="1098" t="s">
        <v>701</v>
      </c>
      <c r="AB164" s="1091" t="s">
        <v>701</v>
      </c>
      <c r="AC164" s="1099"/>
      <c r="AD164" s="1100">
        <f t="shared" ref="AD164:AD169" si="642">AD506</f>
        <v>0</v>
      </c>
      <c r="AE164" s="1091" t="s">
        <v>701</v>
      </c>
      <c r="AF164" s="1091" t="s">
        <v>701</v>
      </c>
      <c r="AG164" s="1091" t="s">
        <v>701</v>
      </c>
      <c r="AH164" s="1091" t="s">
        <v>701</v>
      </c>
      <c r="AI164" s="1091" t="s">
        <v>701</v>
      </c>
      <c r="AJ164" s="1040" t="str">
        <f t="shared" si="542"/>
        <v/>
      </c>
    </row>
    <row r="165" spans="4:36" ht="11.25" customHeight="1" x14ac:dyDescent="0.2">
      <c r="D165" s="1092"/>
      <c r="E165" s="1093"/>
      <c r="F165" s="1093"/>
      <c r="G165" s="1093"/>
      <c r="H165" s="1094"/>
      <c r="I165" s="1095"/>
      <c r="J165" s="1096"/>
      <c r="K165" s="1096"/>
      <c r="L165" s="1096"/>
      <c r="M165" s="1097"/>
      <c r="N165" s="528">
        <f t="shared" ref="N165:P165" si="643">N507</f>
        <v>0</v>
      </c>
      <c r="O165" s="529">
        <f t="shared" si="643"/>
        <v>0</v>
      </c>
      <c r="P165" s="529">
        <f t="shared" si="643"/>
        <v>0</v>
      </c>
      <c r="Q165" s="1001" t="s">
        <v>701</v>
      </c>
      <c r="R165" s="528">
        <f t="shared" ref="R165:S165" si="644">R507</f>
        <v>0</v>
      </c>
      <c r="S165" s="529">
        <f t="shared" si="644"/>
        <v>0</v>
      </c>
      <c r="T165" s="1001" t="s">
        <v>701</v>
      </c>
      <c r="U165" s="530">
        <f t="shared" ref="U165:V165" si="645">U507</f>
        <v>0</v>
      </c>
      <c r="V165" s="529">
        <f t="shared" si="645"/>
        <v>0</v>
      </c>
      <c r="W165" s="1001" t="s">
        <v>701</v>
      </c>
      <c r="X165" s="1001" t="s">
        <v>701</v>
      </c>
      <c r="Y165" s="531">
        <f t="shared" ref="Y165" si="646">Y507</f>
        <v>0</v>
      </c>
      <c r="Z165" s="1001" t="s">
        <v>701</v>
      </c>
      <c r="AA165" s="1098"/>
      <c r="AB165" s="1091"/>
      <c r="AC165" s="1099"/>
      <c r="AD165" s="1100">
        <f t="shared" si="642"/>
        <v>0</v>
      </c>
      <c r="AE165" s="1091"/>
      <c r="AF165" s="1091"/>
      <c r="AG165" s="1091"/>
      <c r="AH165" s="1091"/>
      <c r="AI165" s="1091"/>
      <c r="AJ165" s="1041" t="str">
        <f t="shared" si="542"/>
        <v/>
      </c>
    </row>
    <row r="166" spans="4:36" ht="11.25" customHeight="1" x14ac:dyDescent="0.2">
      <c r="D166" s="1092"/>
      <c r="E166" s="1093"/>
      <c r="F166" s="1093"/>
      <c r="G166" s="1093"/>
      <c r="H166" s="1094"/>
      <c r="I166" s="1095"/>
      <c r="J166" s="1096"/>
      <c r="K166" s="1096"/>
      <c r="L166" s="1096"/>
      <c r="M166" s="1097"/>
      <c r="N166" s="528">
        <f t="shared" ref="N166:P166" si="647">N508</f>
        <v>0</v>
      </c>
      <c r="O166" s="529">
        <f t="shared" si="647"/>
        <v>0</v>
      </c>
      <c r="P166" s="529">
        <f t="shared" si="647"/>
        <v>0</v>
      </c>
      <c r="Q166" s="1001" t="s">
        <v>701</v>
      </c>
      <c r="R166" s="528">
        <f t="shared" ref="R166:S166" si="648">R508</f>
        <v>0</v>
      </c>
      <c r="S166" s="529">
        <f t="shared" si="648"/>
        <v>0</v>
      </c>
      <c r="T166" s="1001" t="s">
        <v>701</v>
      </c>
      <c r="U166" s="530">
        <f t="shared" ref="U166:V166" si="649">U508</f>
        <v>0</v>
      </c>
      <c r="V166" s="529">
        <f t="shared" si="649"/>
        <v>0</v>
      </c>
      <c r="W166" s="1001" t="s">
        <v>701</v>
      </c>
      <c r="X166" s="1001" t="s">
        <v>701</v>
      </c>
      <c r="Y166" s="529">
        <f t="shared" ref="Y166" si="650">Y508</f>
        <v>0</v>
      </c>
      <c r="Z166" s="1001" t="s">
        <v>701</v>
      </c>
      <c r="AA166" s="1098"/>
      <c r="AB166" s="1091"/>
      <c r="AC166" s="1099"/>
      <c r="AD166" s="1100">
        <f t="shared" si="642"/>
        <v>0</v>
      </c>
      <c r="AE166" s="1091"/>
      <c r="AF166" s="1091"/>
      <c r="AG166" s="1091"/>
      <c r="AH166" s="1091"/>
      <c r="AI166" s="1091"/>
      <c r="AJ166" s="1041" t="str">
        <f t="shared" si="542"/>
        <v/>
      </c>
    </row>
    <row r="167" spans="4:36" ht="11.25" customHeight="1" x14ac:dyDescent="0.2">
      <c r="D167" s="1092"/>
      <c r="E167" s="1093"/>
      <c r="F167" s="1093"/>
      <c r="G167" s="1093"/>
      <c r="H167" s="1094"/>
      <c r="I167" s="1095"/>
      <c r="J167" s="1096"/>
      <c r="K167" s="1096"/>
      <c r="L167" s="1096"/>
      <c r="M167" s="1097"/>
      <c r="N167" s="528">
        <f t="shared" ref="N167:P167" si="651">N509</f>
        <v>0</v>
      </c>
      <c r="O167" s="529">
        <f t="shared" si="651"/>
        <v>0</v>
      </c>
      <c r="P167" s="529">
        <f t="shared" si="651"/>
        <v>0</v>
      </c>
      <c r="Q167" s="1001" t="s">
        <v>701</v>
      </c>
      <c r="R167" s="528">
        <f t="shared" ref="R167:S167" si="652">R509</f>
        <v>0</v>
      </c>
      <c r="S167" s="529">
        <f t="shared" si="652"/>
        <v>0</v>
      </c>
      <c r="T167" s="1001" t="s">
        <v>701</v>
      </c>
      <c r="U167" s="530">
        <f t="shared" ref="U167:V167" si="653">U509</f>
        <v>0</v>
      </c>
      <c r="V167" s="529">
        <f t="shared" si="653"/>
        <v>0</v>
      </c>
      <c r="W167" s="1001" t="s">
        <v>701</v>
      </c>
      <c r="X167" s="1001" t="s">
        <v>701</v>
      </c>
      <c r="Y167" s="529">
        <f t="shared" ref="Y167" si="654">Y509</f>
        <v>0</v>
      </c>
      <c r="Z167" s="1001" t="s">
        <v>701</v>
      </c>
      <c r="AA167" s="1098"/>
      <c r="AB167" s="1091"/>
      <c r="AC167" s="1099"/>
      <c r="AD167" s="1100">
        <f t="shared" si="642"/>
        <v>0</v>
      </c>
      <c r="AE167" s="1091"/>
      <c r="AF167" s="1091"/>
      <c r="AG167" s="1091"/>
      <c r="AH167" s="1091"/>
      <c r="AI167" s="1091"/>
      <c r="AJ167" s="1041" t="str">
        <f t="shared" si="542"/>
        <v/>
      </c>
    </row>
    <row r="168" spans="4:36" ht="11.25" customHeight="1" x14ac:dyDescent="0.2">
      <c r="D168" s="1092"/>
      <c r="E168" s="1093"/>
      <c r="F168" s="1093"/>
      <c r="G168" s="1093"/>
      <c r="H168" s="1094"/>
      <c r="I168" s="1095"/>
      <c r="J168" s="1096"/>
      <c r="K168" s="1096"/>
      <c r="L168" s="1096"/>
      <c r="M168" s="1097"/>
      <c r="N168" s="528">
        <f t="shared" ref="N168:P168" si="655">N510</f>
        <v>0</v>
      </c>
      <c r="O168" s="529">
        <f t="shared" si="655"/>
        <v>0</v>
      </c>
      <c r="P168" s="529">
        <f t="shared" si="655"/>
        <v>0</v>
      </c>
      <c r="Q168" s="1001" t="s">
        <v>701</v>
      </c>
      <c r="R168" s="528">
        <f t="shared" ref="R168:S168" si="656">R510</f>
        <v>0</v>
      </c>
      <c r="S168" s="529">
        <f t="shared" si="656"/>
        <v>0</v>
      </c>
      <c r="T168" s="1001" t="s">
        <v>701</v>
      </c>
      <c r="U168" s="530">
        <f t="shared" ref="U168:V168" si="657">U510</f>
        <v>0</v>
      </c>
      <c r="V168" s="529">
        <f t="shared" si="657"/>
        <v>0</v>
      </c>
      <c r="W168" s="1001" t="s">
        <v>701</v>
      </c>
      <c r="X168" s="1001" t="s">
        <v>701</v>
      </c>
      <c r="Y168" s="529">
        <f t="shared" ref="Y168" si="658">Y510</f>
        <v>0</v>
      </c>
      <c r="Z168" s="1001" t="s">
        <v>701</v>
      </c>
      <c r="AA168" s="1098"/>
      <c r="AB168" s="1091"/>
      <c r="AC168" s="1099"/>
      <c r="AD168" s="1100">
        <f t="shared" si="642"/>
        <v>0</v>
      </c>
      <c r="AE168" s="1091"/>
      <c r="AF168" s="1091"/>
      <c r="AG168" s="1091"/>
      <c r="AH168" s="1091"/>
      <c r="AI168" s="1091"/>
      <c r="AJ168" s="1041" t="str">
        <f t="shared" si="542"/>
        <v/>
      </c>
    </row>
    <row r="169" spans="4:36" ht="11.25" customHeight="1" x14ac:dyDescent="0.2">
      <c r="D169" s="1092"/>
      <c r="E169" s="1093"/>
      <c r="F169" s="1093"/>
      <c r="G169" s="1093"/>
      <c r="H169" s="1094"/>
      <c r="I169" s="1095"/>
      <c r="J169" s="1096"/>
      <c r="K169" s="1096"/>
      <c r="L169" s="1096"/>
      <c r="M169" s="1097"/>
      <c r="N169" s="528">
        <f t="shared" ref="N169:P169" si="659">N511</f>
        <v>0</v>
      </c>
      <c r="O169" s="529">
        <f t="shared" si="659"/>
        <v>0</v>
      </c>
      <c r="P169" s="529">
        <f t="shared" si="659"/>
        <v>0</v>
      </c>
      <c r="Q169" s="1001" t="s">
        <v>701</v>
      </c>
      <c r="R169" s="528">
        <f t="shared" ref="R169:S169" si="660">R511</f>
        <v>0</v>
      </c>
      <c r="S169" s="529">
        <f t="shared" si="660"/>
        <v>0</v>
      </c>
      <c r="T169" s="1001" t="s">
        <v>701</v>
      </c>
      <c r="U169" s="530">
        <f t="shared" ref="U169:V169" si="661">U511</f>
        <v>0</v>
      </c>
      <c r="V169" s="529">
        <f t="shared" si="661"/>
        <v>0</v>
      </c>
      <c r="W169" s="1001" t="s">
        <v>701</v>
      </c>
      <c r="X169" s="1001" t="s">
        <v>701</v>
      </c>
      <c r="Y169" s="529">
        <f t="shared" ref="Y169" si="662">Y511</f>
        <v>0</v>
      </c>
      <c r="Z169" s="1001" t="s">
        <v>701</v>
      </c>
      <c r="AA169" s="1098"/>
      <c r="AB169" s="1091"/>
      <c r="AC169" s="1099"/>
      <c r="AD169" s="1100">
        <f t="shared" si="642"/>
        <v>0</v>
      </c>
      <c r="AE169" s="1091"/>
      <c r="AF169" s="1091"/>
      <c r="AG169" s="1091"/>
      <c r="AH169" s="1091"/>
      <c r="AI169" s="1091"/>
      <c r="AJ169" s="1041" t="str">
        <f t="shared" si="542"/>
        <v/>
      </c>
    </row>
    <row r="170" spans="4:36" ht="11.25" customHeight="1" thickBot="1" x14ac:dyDescent="0.25">
      <c r="D170" s="532" t="s">
        <v>418</v>
      </c>
      <c r="E170" s="533"/>
      <c r="F170" s="534"/>
      <c r="G170" s="535"/>
      <c r="H170" s="535"/>
      <c r="I170" s="534"/>
      <c r="J170" s="535"/>
      <c r="K170" s="535"/>
      <c r="L170" s="535"/>
      <c r="M170" s="536"/>
      <c r="N170" s="913">
        <f>SUM(N164:N169)</f>
        <v>0</v>
      </c>
      <c r="O170" s="913">
        <f t="shared" ref="O170" si="663">SUM(O164:O169)</f>
        <v>0</v>
      </c>
      <c r="P170" s="914"/>
      <c r="Q170" s="1002" t="s">
        <v>701</v>
      </c>
      <c r="R170" s="915"/>
      <c r="S170" s="916">
        <f t="shared" ref="S170" si="664">SUM(S164:S169)</f>
        <v>0</v>
      </c>
      <c r="T170" s="1003" t="s">
        <v>701</v>
      </c>
      <c r="U170" s="915"/>
      <c r="V170" s="916">
        <f t="shared" ref="V170:Y170" si="665">SUM(V164:V169)</f>
        <v>0</v>
      </c>
      <c r="W170" s="1003" t="s">
        <v>701</v>
      </c>
      <c r="X170" s="1003" t="s">
        <v>701</v>
      </c>
      <c r="Y170" s="916">
        <f t="shared" si="665"/>
        <v>4379.7018633540374</v>
      </c>
      <c r="Z170" s="1003" t="s">
        <v>701</v>
      </c>
      <c r="AA170" s="1003" t="s">
        <v>701</v>
      </c>
      <c r="AB170" s="1004" t="s">
        <v>701</v>
      </c>
      <c r="AC170" s="1005" t="s">
        <v>701</v>
      </c>
      <c r="AD170" s="917"/>
      <c r="AE170" s="1004" t="s">
        <v>701</v>
      </c>
      <c r="AF170" s="1004" t="s">
        <v>701</v>
      </c>
      <c r="AG170" s="1004" t="s">
        <v>701</v>
      </c>
      <c r="AH170" s="1004" t="s">
        <v>701</v>
      </c>
      <c r="AI170" s="1004" t="s">
        <v>701</v>
      </c>
      <c r="AJ170" s="1042" t="str">
        <f t="shared" si="542"/>
        <v/>
      </c>
    </row>
    <row r="171" spans="4:36" ht="11.25" customHeight="1" x14ac:dyDescent="0.25">
      <c r="D171" s="1092" t="str">
        <f>D513</f>
        <v>Beaconsfield</v>
      </c>
      <c r="E171" s="1093" t="str">
        <f t="shared" ref="E171:P171" si="666">E513</f>
        <v>Transmission Substation</v>
      </c>
      <c r="F171" s="1093" t="str">
        <f t="shared" si="666"/>
        <v>DCN43</v>
      </c>
      <c r="G171" s="1093" t="str">
        <f t="shared" si="666"/>
        <v>Capacity upgrade</v>
      </c>
      <c r="H171" s="1094" t="str">
        <f t="shared" si="666"/>
        <v>Demand growth</v>
      </c>
      <c r="I171" s="1095" t="str">
        <f t="shared" si="666"/>
        <v>330/132</v>
      </c>
      <c r="J171" s="1096">
        <f t="shared" si="666"/>
        <v>750</v>
      </c>
      <c r="K171" s="1096">
        <f t="shared" si="666"/>
        <v>750</v>
      </c>
      <c r="L171" s="1096">
        <f t="shared" si="666"/>
        <v>375</v>
      </c>
      <c r="M171" s="1097">
        <f t="shared" si="666"/>
        <v>375</v>
      </c>
      <c r="N171" s="522">
        <f t="shared" si="666"/>
        <v>0</v>
      </c>
      <c r="O171" s="523">
        <f t="shared" si="666"/>
        <v>0</v>
      </c>
      <c r="P171" s="524">
        <f t="shared" si="666"/>
        <v>0</v>
      </c>
      <c r="Q171" s="1000" t="s">
        <v>701</v>
      </c>
      <c r="R171" s="525">
        <f t="shared" ref="R171:S171" si="667">R513</f>
        <v>0</v>
      </c>
      <c r="S171" s="524">
        <f t="shared" si="667"/>
        <v>9</v>
      </c>
      <c r="T171" s="1000" t="s">
        <v>701</v>
      </c>
      <c r="U171" s="526">
        <f t="shared" ref="U171:V171" si="668">U513</f>
        <v>0</v>
      </c>
      <c r="V171" s="524">
        <f t="shared" si="668"/>
        <v>0</v>
      </c>
      <c r="W171" s="1000" t="s">
        <v>701</v>
      </c>
      <c r="X171" s="1000" t="s">
        <v>701</v>
      </c>
      <c r="Y171" s="527">
        <f t="shared" ref="Y171" si="669">Y513</f>
        <v>26129.214295891368</v>
      </c>
      <c r="Z171" s="1000" t="s">
        <v>701</v>
      </c>
      <c r="AA171" s="1098" t="s">
        <v>701</v>
      </c>
      <c r="AB171" s="1091" t="s">
        <v>701</v>
      </c>
      <c r="AC171" s="1099"/>
      <c r="AD171" s="1100">
        <f t="shared" ref="AD171:AD176" si="670">AD513</f>
        <v>0</v>
      </c>
      <c r="AE171" s="1091" t="s">
        <v>701</v>
      </c>
      <c r="AF171" s="1091" t="s">
        <v>701</v>
      </c>
      <c r="AG171" s="1091" t="s">
        <v>701</v>
      </c>
      <c r="AH171" s="1091" t="s">
        <v>701</v>
      </c>
      <c r="AI171" s="1091" t="s">
        <v>701</v>
      </c>
      <c r="AJ171" s="1040" t="str">
        <f t="shared" si="542"/>
        <v/>
      </c>
    </row>
    <row r="172" spans="4:36" ht="11.25" customHeight="1" x14ac:dyDescent="0.2">
      <c r="D172" s="1092"/>
      <c r="E172" s="1093"/>
      <c r="F172" s="1093"/>
      <c r="G172" s="1093"/>
      <c r="H172" s="1094"/>
      <c r="I172" s="1095"/>
      <c r="J172" s="1096"/>
      <c r="K172" s="1096"/>
      <c r="L172" s="1096"/>
      <c r="M172" s="1097"/>
      <c r="N172" s="528">
        <f t="shared" ref="N172:P172" si="671">N514</f>
        <v>0</v>
      </c>
      <c r="O172" s="529">
        <f t="shared" si="671"/>
        <v>0</v>
      </c>
      <c r="P172" s="529">
        <f t="shared" si="671"/>
        <v>0</v>
      </c>
      <c r="Q172" s="1001" t="s">
        <v>701</v>
      </c>
      <c r="R172" s="528">
        <f t="shared" ref="R172:S172" si="672">R514</f>
        <v>0</v>
      </c>
      <c r="S172" s="529">
        <f t="shared" si="672"/>
        <v>0</v>
      </c>
      <c r="T172" s="1001" t="s">
        <v>701</v>
      </c>
      <c r="U172" s="530">
        <f t="shared" ref="U172:V172" si="673">U514</f>
        <v>0</v>
      </c>
      <c r="V172" s="529">
        <f t="shared" si="673"/>
        <v>0</v>
      </c>
      <c r="W172" s="1001" t="s">
        <v>701</v>
      </c>
      <c r="X172" s="1001" t="s">
        <v>701</v>
      </c>
      <c r="Y172" s="531">
        <f t="shared" ref="Y172" si="674">Y514</f>
        <v>0</v>
      </c>
      <c r="Z172" s="1001" t="s">
        <v>701</v>
      </c>
      <c r="AA172" s="1098"/>
      <c r="AB172" s="1091"/>
      <c r="AC172" s="1099"/>
      <c r="AD172" s="1100">
        <f t="shared" si="670"/>
        <v>0</v>
      </c>
      <c r="AE172" s="1091"/>
      <c r="AF172" s="1091"/>
      <c r="AG172" s="1091"/>
      <c r="AH172" s="1091"/>
      <c r="AI172" s="1091"/>
      <c r="AJ172" s="1041" t="str">
        <f t="shared" si="542"/>
        <v/>
      </c>
    </row>
    <row r="173" spans="4:36" ht="11.25" customHeight="1" x14ac:dyDescent="0.2">
      <c r="D173" s="1092"/>
      <c r="E173" s="1093"/>
      <c r="F173" s="1093"/>
      <c r="G173" s="1093"/>
      <c r="H173" s="1094"/>
      <c r="I173" s="1095"/>
      <c r="J173" s="1096"/>
      <c r="K173" s="1096"/>
      <c r="L173" s="1096"/>
      <c r="M173" s="1097"/>
      <c r="N173" s="528">
        <f t="shared" ref="N173:P173" si="675">N515</f>
        <v>0</v>
      </c>
      <c r="O173" s="529">
        <f t="shared" si="675"/>
        <v>0</v>
      </c>
      <c r="P173" s="529">
        <f t="shared" si="675"/>
        <v>0</v>
      </c>
      <c r="Q173" s="1001" t="s">
        <v>701</v>
      </c>
      <c r="R173" s="528">
        <f t="shared" ref="R173:S173" si="676">R515</f>
        <v>0</v>
      </c>
      <c r="S173" s="529">
        <f t="shared" si="676"/>
        <v>0</v>
      </c>
      <c r="T173" s="1001" t="s">
        <v>701</v>
      </c>
      <c r="U173" s="530">
        <f t="shared" ref="U173:V173" si="677">U515</f>
        <v>0</v>
      </c>
      <c r="V173" s="529">
        <f t="shared" si="677"/>
        <v>0</v>
      </c>
      <c r="W173" s="1001" t="s">
        <v>701</v>
      </c>
      <c r="X173" s="1001" t="s">
        <v>701</v>
      </c>
      <c r="Y173" s="529">
        <f t="shared" ref="Y173" si="678">Y515</f>
        <v>0</v>
      </c>
      <c r="Z173" s="1001" t="s">
        <v>701</v>
      </c>
      <c r="AA173" s="1098"/>
      <c r="AB173" s="1091"/>
      <c r="AC173" s="1099"/>
      <c r="AD173" s="1100">
        <f t="shared" si="670"/>
        <v>0</v>
      </c>
      <c r="AE173" s="1091"/>
      <c r="AF173" s="1091"/>
      <c r="AG173" s="1091"/>
      <c r="AH173" s="1091"/>
      <c r="AI173" s="1091"/>
      <c r="AJ173" s="1041" t="str">
        <f t="shared" si="542"/>
        <v/>
      </c>
    </row>
    <row r="174" spans="4:36" ht="11.25" customHeight="1" x14ac:dyDescent="0.2">
      <c r="D174" s="1092"/>
      <c r="E174" s="1093"/>
      <c r="F174" s="1093"/>
      <c r="G174" s="1093"/>
      <c r="H174" s="1094"/>
      <c r="I174" s="1095"/>
      <c r="J174" s="1096"/>
      <c r="K174" s="1096"/>
      <c r="L174" s="1096"/>
      <c r="M174" s="1097"/>
      <c r="N174" s="528">
        <f t="shared" ref="N174:P174" si="679">N516</f>
        <v>0</v>
      </c>
      <c r="O174" s="529">
        <f t="shared" si="679"/>
        <v>0</v>
      </c>
      <c r="P174" s="529">
        <f t="shared" si="679"/>
        <v>0</v>
      </c>
      <c r="Q174" s="1001" t="s">
        <v>701</v>
      </c>
      <c r="R174" s="528">
        <f t="shared" ref="R174:S174" si="680">R516</f>
        <v>0</v>
      </c>
      <c r="S174" s="529">
        <f t="shared" si="680"/>
        <v>0</v>
      </c>
      <c r="T174" s="1001" t="s">
        <v>701</v>
      </c>
      <c r="U174" s="530">
        <f t="shared" ref="U174:V174" si="681">U516</f>
        <v>0</v>
      </c>
      <c r="V174" s="529">
        <f t="shared" si="681"/>
        <v>0</v>
      </c>
      <c r="W174" s="1001" t="s">
        <v>701</v>
      </c>
      <c r="X174" s="1001" t="s">
        <v>701</v>
      </c>
      <c r="Y174" s="529">
        <f t="shared" ref="Y174" si="682">Y516</f>
        <v>0</v>
      </c>
      <c r="Z174" s="1001" t="s">
        <v>701</v>
      </c>
      <c r="AA174" s="1098"/>
      <c r="AB174" s="1091"/>
      <c r="AC174" s="1099"/>
      <c r="AD174" s="1100">
        <f t="shared" si="670"/>
        <v>0</v>
      </c>
      <c r="AE174" s="1091"/>
      <c r="AF174" s="1091"/>
      <c r="AG174" s="1091"/>
      <c r="AH174" s="1091"/>
      <c r="AI174" s="1091"/>
      <c r="AJ174" s="1041" t="str">
        <f t="shared" si="542"/>
        <v/>
      </c>
    </row>
    <row r="175" spans="4:36" ht="11.25" customHeight="1" x14ac:dyDescent="0.2">
      <c r="D175" s="1092"/>
      <c r="E175" s="1093"/>
      <c r="F175" s="1093"/>
      <c r="G175" s="1093"/>
      <c r="H175" s="1094"/>
      <c r="I175" s="1095"/>
      <c r="J175" s="1096"/>
      <c r="K175" s="1096"/>
      <c r="L175" s="1096"/>
      <c r="M175" s="1097"/>
      <c r="N175" s="528">
        <f t="shared" ref="N175:P175" si="683">N517</f>
        <v>0</v>
      </c>
      <c r="O175" s="529">
        <f t="shared" si="683"/>
        <v>0</v>
      </c>
      <c r="P175" s="529">
        <f t="shared" si="683"/>
        <v>0</v>
      </c>
      <c r="Q175" s="1001" t="s">
        <v>701</v>
      </c>
      <c r="R175" s="528">
        <f t="shared" ref="R175:S175" si="684">R517</f>
        <v>0</v>
      </c>
      <c r="S175" s="529">
        <f t="shared" si="684"/>
        <v>0</v>
      </c>
      <c r="T175" s="1001" t="s">
        <v>701</v>
      </c>
      <c r="U175" s="530">
        <f t="shared" ref="U175:V175" si="685">U517</f>
        <v>0</v>
      </c>
      <c r="V175" s="529">
        <f t="shared" si="685"/>
        <v>0</v>
      </c>
      <c r="W175" s="1001" t="s">
        <v>701</v>
      </c>
      <c r="X175" s="1001" t="s">
        <v>701</v>
      </c>
      <c r="Y175" s="529">
        <f t="shared" ref="Y175" si="686">Y517</f>
        <v>0</v>
      </c>
      <c r="Z175" s="1001" t="s">
        <v>701</v>
      </c>
      <c r="AA175" s="1098"/>
      <c r="AB175" s="1091"/>
      <c r="AC175" s="1099"/>
      <c r="AD175" s="1100">
        <f t="shared" si="670"/>
        <v>0</v>
      </c>
      <c r="AE175" s="1091"/>
      <c r="AF175" s="1091"/>
      <c r="AG175" s="1091"/>
      <c r="AH175" s="1091"/>
      <c r="AI175" s="1091"/>
      <c r="AJ175" s="1041" t="str">
        <f t="shared" si="542"/>
        <v/>
      </c>
    </row>
    <row r="176" spans="4:36" ht="11.25" customHeight="1" x14ac:dyDescent="0.2">
      <c r="D176" s="1092"/>
      <c r="E176" s="1093"/>
      <c r="F176" s="1093"/>
      <c r="G176" s="1093"/>
      <c r="H176" s="1094"/>
      <c r="I176" s="1095"/>
      <c r="J176" s="1096"/>
      <c r="K176" s="1096"/>
      <c r="L176" s="1096"/>
      <c r="M176" s="1097"/>
      <c r="N176" s="528">
        <f t="shared" ref="N176:P176" si="687">N518</f>
        <v>0</v>
      </c>
      <c r="O176" s="529">
        <f t="shared" si="687"/>
        <v>0</v>
      </c>
      <c r="P176" s="529">
        <f t="shared" si="687"/>
        <v>0</v>
      </c>
      <c r="Q176" s="1001" t="s">
        <v>701</v>
      </c>
      <c r="R176" s="528">
        <f t="shared" ref="R176:S176" si="688">R518</f>
        <v>0</v>
      </c>
      <c r="S176" s="529">
        <f t="shared" si="688"/>
        <v>0</v>
      </c>
      <c r="T176" s="1001" t="s">
        <v>701</v>
      </c>
      <c r="U176" s="530">
        <f t="shared" ref="U176:V176" si="689">U518</f>
        <v>0</v>
      </c>
      <c r="V176" s="529">
        <f t="shared" si="689"/>
        <v>0</v>
      </c>
      <c r="W176" s="1001" t="s">
        <v>701</v>
      </c>
      <c r="X176" s="1001" t="s">
        <v>701</v>
      </c>
      <c r="Y176" s="529">
        <f t="shared" ref="Y176" si="690">Y518</f>
        <v>0</v>
      </c>
      <c r="Z176" s="1001" t="s">
        <v>701</v>
      </c>
      <c r="AA176" s="1098"/>
      <c r="AB176" s="1091"/>
      <c r="AC176" s="1099"/>
      <c r="AD176" s="1100">
        <f t="shared" si="670"/>
        <v>0</v>
      </c>
      <c r="AE176" s="1091"/>
      <c r="AF176" s="1091"/>
      <c r="AG176" s="1091"/>
      <c r="AH176" s="1091"/>
      <c r="AI176" s="1091"/>
      <c r="AJ176" s="1041" t="str">
        <f t="shared" si="542"/>
        <v/>
      </c>
    </row>
    <row r="177" spans="4:36" ht="11.25" customHeight="1" thickBot="1" x14ac:dyDescent="0.25">
      <c r="D177" s="532" t="s">
        <v>418</v>
      </c>
      <c r="E177" s="533"/>
      <c r="F177" s="534"/>
      <c r="G177" s="535"/>
      <c r="H177" s="535"/>
      <c r="I177" s="534"/>
      <c r="J177" s="535"/>
      <c r="K177" s="535"/>
      <c r="L177" s="535"/>
      <c r="M177" s="536"/>
      <c r="N177" s="913">
        <f>SUM(N171:N176)</f>
        <v>0</v>
      </c>
      <c r="O177" s="913">
        <f t="shared" ref="O177" si="691">SUM(O171:O176)</f>
        <v>0</v>
      </c>
      <c r="P177" s="914"/>
      <c r="Q177" s="1002" t="s">
        <v>701</v>
      </c>
      <c r="R177" s="915"/>
      <c r="S177" s="916">
        <f t="shared" ref="S177" si="692">SUM(S171:S176)</f>
        <v>9</v>
      </c>
      <c r="T177" s="1003" t="s">
        <v>701</v>
      </c>
      <c r="U177" s="915"/>
      <c r="V177" s="916">
        <f t="shared" ref="V177:Y177" si="693">SUM(V171:V176)</f>
        <v>0</v>
      </c>
      <c r="W177" s="1003" t="s">
        <v>701</v>
      </c>
      <c r="X177" s="1003" t="s">
        <v>701</v>
      </c>
      <c r="Y177" s="916">
        <f t="shared" si="693"/>
        <v>26129.214295891368</v>
      </c>
      <c r="Z177" s="1003" t="s">
        <v>701</v>
      </c>
      <c r="AA177" s="1003" t="s">
        <v>701</v>
      </c>
      <c r="AB177" s="1004" t="s">
        <v>701</v>
      </c>
      <c r="AC177" s="1005" t="s">
        <v>701</v>
      </c>
      <c r="AD177" s="917"/>
      <c r="AE177" s="1004" t="s">
        <v>701</v>
      </c>
      <c r="AF177" s="1004" t="s">
        <v>701</v>
      </c>
      <c r="AG177" s="1004" t="s">
        <v>701</v>
      </c>
      <c r="AH177" s="1004" t="s">
        <v>701</v>
      </c>
      <c r="AI177" s="1004" t="s">
        <v>701</v>
      </c>
      <c r="AJ177" s="1042" t="str">
        <f t="shared" si="542"/>
        <v/>
      </c>
    </row>
    <row r="178" spans="4:36" ht="11.25" customHeight="1" x14ac:dyDescent="0.25">
      <c r="D178" s="1092" t="str">
        <f>D520</f>
        <v>Rookwood Rd</v>
      </c>
      <c r="E178" s="1093" t="str">
        <f t="shared" ref="E178:P178" si="694">E520</f>
        <v>Transmission Substation</v>
      </c>
      <c r="F178" s="1093" t="str">
        <f t="shared" si="694"/>
        <v>DCN43</v>
      </c>
      <c r="G178" s="1093" t="str">
        <f t="shared" si="694"/>
        <v>Capacity upgrade</v>
      </c>
      <c r="H178" s="1094" t="str">
        <f t="shared" si="694"/>
        <v>Demand growth</v>
      </c>
      <c r="I178" s="1095" t="str">
        <f t="shared" si="694"/>
        <v>330/132</v>
      </c>
      <c r="J178" s="1096">
        <f t="shared" si="694"/>
        <v>750</v>
      </c>
      <c r="K178" s="1096">
        <f t="shared" si="694"/>
        <v>750</v>
      </c>
      <c r="L178" s="1096">
        <f t="shared" si="694"/>
        <v>375</v>
      </c>
      <c r="M178" s="1097">
        <f t="shared" si="694"/>
        <v>375</v>
      </c>
      <c r="N178" s="522">
        <f t="shared" si="694"/>
        <v>0</v>
      </c>
      <c r="O178" s="523">
        <f t="shared" si="694"/>
        <v>0</v>
      </c>
      <c r="P178" s="524">
        <f t="shared" si="694"/>
        <v>0</v>
      </c>
      <c r="Q178" s="1000" t="s">
        <v>701</v>
      </c>
      <c r="R178" s="525">
        <f t="shared" ref="R178:S178" si="695">R520</f>
        <v>0</v>
      </c>
      <c r="S178" s="524">
        <f t="shared" si="695"/>
        <v>9</v>
      </c>
      <c r="T178" s="1000" t="s">
        <v>701</v>
      </c>
      <c r="U178" s="526">
        <f t="shared" ref="U178:V178" si="696">U520</f>
        <v>0</v>
      </c>
      <c r="V178" s="524">
        <f t="shared" si="696"/>
        <v>0</v>
      </c>
      <c r="W178" s="1000" t="s">
        <v>701</v>
      </c>
      <c r="X178" s="1000" t="s">
        <v>701</v>
      </c>
      <c r="Y178" s="527">
        <f t="shared" ref="Y178" si="697">Y520</f>
        <v>12604.327828427127</v>
      </c>
      <c r="Z178" s="1000" t="s">
        <v>701</v>
      </c>
      <c r="AA178" s="1098" t="s">
        <v>701</v>
      </c>
      <c r="AB178" s="1091" t="s">
        <v>701</v>
      </c>
      <c r="AC178" s="1099"/>
      <c r="AD178" s="1100">
        <f t="shared" ref="AD178:AD183" si="698">AD520</f>
        <v>0</v>
      </c>
      <c r="AE178" s="1091" t="s">
        <v>701</v>
      </c>
      <c r="AF178" s="1091" t="s">
        <v>701</v>
      </c>
      <c r="AG178" s="1091" t="s">
        <v>701</v>
      </c>
      <c r="AH178" s="1091" t="s">
        <v>701</v>
      </c>
      <c r="AI178" s="1091" t="s">
        <v>701</v>
      </c>
      <c r="AJ178" s="1040" t="str">
        <f t="shared" si="542"/>
        <v/>
      </c>
    </row>
    <row r="179" spans="4:36" ht="11.25" customHeight="1" x14ac:dyDescent="0.2">
      <c r="D179" s="1092"/>
      <c r="E179" s="1093"/>
      <c r="F179" s="1093"/>
      <c r="G179" s="1093"/>
      <c r="H179" s="1094"/>
      <c r="I179" s="1095"/>
      <c r="J179" s="1096"/>
      <c r="K179" s="1096"/>
      <c r="L179" s="1096"/>
      <c r="M179" s="1097"/>
      <c r="N179" s="528">
        <f t="shared" ref="N179:P179" si="699">N521</f>
        <v>0</v>
      </c>
      <c r="O179" s="529">
        <f t="shared" si="699"/>
        <v>0</v>
      </c>
      <c r="P179" s="529">
        <f t="shared" si="699"/>
        <v>0</v>
      </c>
      <c r="Q179" s="1001" t="s">
        <v>701</v>
      </c>
      <c r="R179" s="528">
        <f t="shared" ref="R179:S179" si="700">R521</f>
        <v>0</v>
      </c>
      <c r="S179" s="529">
        <f t="shared" si="700"/>
        <v>0</v>
      </c>
      <c r="T179" s="1001" t="s">
        <v>701</v>
      </c>
      <c r="U179" s="530">
        <f t="shared" ref="U179:V179" si="701">U521</f>
        <v>0</v>
      </c>
      <c r="V179" s="529">
        <f t="shared" si="701"/>
        <v>0</v>
      </c>
      <c r="W179" s="1001" t="s">
        <v>701</v>
      </c>
      <c r="X179" s="1001" t="s">
        <v>701</v>
      </c>
      <c r="Y179" s="531">
        <f t="shared" ref="Y179" si="702">Y521</f>
        <v>0</v>
      </c>
      <c r="Z179" s="1001" t="s">
        <v>701</v>
      </c>
      <c r="AA179" s="1098"/>
      <c r="AB179" s="1091"/>
      <c r="AC179" s="1099"/>
      <c r="AD179" s="1100">
        <f t="shared" si="698"/>
        <v>0</v>
      </c>
      <c r="AE179" s="1091"/>
      <c r="AF179" s="1091"/>
      <c r="AG179" s="1091"/>
      <c r="AH179" s="1091"/>
      <c r="AI179" s="1091"/>
      <c r="AJ179" s="1041" t="str">
        <f t="shared" si="542"/>
        <v/>
      </c>
    </row>
    <row r="180" spans="4:36" ht="11.25" customHeight="1" x14ac:dyDescent="0.2">
      <c r="D180" s="1092"/>
      <c r="E180" s="1093"/>
      <c r="F180" s="1093"/>
      <c r="G180" s="1093"/>
      <c r="H180" s="1094"/>
      <c r="I180" s="1095"/>
      <c r="J180" s="1096"/>
      <c r="K180" s="1096"/>
      <c r="L180" s="1096"/>
      <c r="M180" s="1097"/>
      <c r="N180" s="528">
        <f t="shared" ref="N180:P180" si="703">N522</f>
        <v>0</v>
      </c>
      <c r="O180" s="529">
        <f t="shared" si="703"/>
        <v>0</v>
      </c>
      <c r="P180" s="529">
        <f t="shared" si="703"/>
        <v>0</v>
      </c>
      <c r="Q180" s="1001" t="s">
        <v>701</v>
      </c>
      <c r="R180" s="528">
        <f t="shared" ref="R180:S180" si="704">R522</f>
        <v>0</v>
      </c>
      <c r="S180" s="529">
        <f t="shared" si="704"/>
        <v>0</v>
      </c>
      <c r="T180" s="1001" t="s">
        <v>701</v>
      </c>
      <c r="U180" s="530">
        <f t="shared" ref="U180:V180" si="705">U522</f>
        <v>0</v>
      </c>
      <c r="V180" s="529">
        <f t="shared" si="705"/>
        <v>0</v>
      </c>
      <c r="W180" s="1001" t="s">
        <v>701</v>
      </c>
      <c r="X180" s="1001" t="s">
        <v>701</v>
      </c>
      <c r="Y180" s="529">
        <f t="shared" ref="Y180" si="706">Y522</f>
        <v>0</v>
      </c>
      <c r="Z180" s="1001" t="s">
        <v>701</v>
      </c>
      <c r="AA180" s="1098"/>
      <c r="AB180" s="1091"/>
      <c r="AC180" s="1099"/>
      <c r="AD180" s="1100">
        <f t="shared" si="698"/>
        <v>0</v>
      </c>
      <c r="AE180" s="1091"/>
      <c r="AF180" s="1091"/>
      <c r="AG180" s="1091"/>
      <c r="AH180" s="1091"/>
      <c r="AI180" s="1091"/>
      <c r="AJ180" s="1041" t="str">
        <f t="shared" si="542"/>
        <v/>
      </c>
    </row>
    <row r="181" spans="4:36" ht="11.25" customHeight="1" x14ac:dyDescent="0.2">
      <c r="D181" s="1092"/>
      <c r="E181" s="1093"/>
      <c r="F181" s="1093"/>
      <c r="G181" s="1093"/>
      <c r="H181" s="1094"/>
      <c r="I181" s="1095"/>
      <c r="J181" s="1096"/>
      <c r="K181" s="1096"/>
      <c r="L181" s="1096"/>
      <c r="M181" s="1097"/>
      <c r="N181" s="528">
        <f t="shared" ref="N181:P181" si="707">N523</f>
        <v>0</v>
      </c>
      <c r="O181" s="529">
        <f t="shared" si="707"/>
        <v>0</v>
      </c>
      <c r="P181" s="529">
        <f t="shared" si="707"/>
        <v>0</v>
      </c>
      <c r="Q181" s="1001" t="s">
        <v>701</v>
      </c>
      <c r="R181" s="528">
        <f t="shared" ref="R181:S181" si="708">R523</f>
        <v>0</v>
      </c>
      <c r="S181" s="529">
        <f t="shared" si="708"/>
        <v>0</v>
      </c>
      <c r="T181" s="1001" t="s">
        <v>701</v>
      </c>
      <c r="U181" s="530">
        <f t="shared" ref="U181:V181" si="709">U523</f>
        <v>0</v>
      </c>
      <c r="V181" s="529">
        <f t="shared" si="709"/>
        <v>0</v>
      </c>
      <c r="W181" s="1001" t="s">
        <v>701</v>
      </c>
      <c r="X181" s="1001" t="s">
        <v>701</v>
      </c>
      <c r="Y181" s="529">
        <f t="shared" ref="Y181" si="710">Y523</f>
        <v>0</v>
      </c>
      <c r="Z181" s="1001" t="s">
        <v>701</v>
      </c>
      <c r="AA181" s="1098"/>
      <c r="AB181" s="1091"/>
      <c r="AC181" s="1099"/>
      <c r="AD181" s="1100">
        <f t="shared" si="698"/>
        <v>0</v>
      </c>
      <c r="AE181" s="1091"/>
      <c r="AF181" s="1091"/>
      <c r="AG181" s="1091"/>
      <c r="AH181" s="1091"/>
      <c r="AI181" s="1091"/>
      <c r="AJ181" s="1041" t="str">
        <f t="shared" si="542"/>
        <v/>
      </c>
    </row>
    <row r="182" spans="4:36" ht="11.25" customHeight="1" x14ac:dyDescent="0.2">
      <c r="D182" s="1092"/>
      <c r="E182" s="1093"/>
      <c r="F182" s="1093"/>
      <c r="G182" s="1093"/>
      <c r="H182" s="1094"/>
      <c r="I182" s="1095"/>
      <c r="J182" s="1096"/>
      <c r="K182" s="1096"/>
      <c r="L182" s="1096"/>
      <c r="M182" s="1097"/>
      <c r="N182" s="528">
        <f t="shared" ref="N182:P182" si="711">N524</f>
        <v>0</v>
      </c>
      <c r="O182" s="529">
        <f t="shared" si="711"/>
        <v>0</v>
      </c>
      <c r="P182" s="529">
        <f t="shared" si="711"/>
        <v>0</v>
      </c>
      <c r="Q182" s="1001" t="s">
        <v>701</v>
      </c>
      <c r="R182" s="528">
        <f t="shared" ref="R182:S182" si="712">R524</f>
        <v>0</v>
      </c>
      <c r="S182" s="529">
        <f t="shared" si="712"/>
        <v>0</v>
      </c>
      <c r="T182" s="1001" t="s">
        <v>701</v>
      </c>
      <c r="U182" s="530">
        <f t="shared" ref="U182:V182" si="713">U524</f>
        <v>0</v>
      </c>
      <c r="V182" s="529">
        <f t="shared" si="713"/>
        <v>0</v>
      </c>
      <c r="W182" s="1001" t="s">
        <v>701</v>
      </c>
      <c r="X182" s="1001" t="s">
        <v>701</v>
      </c>
      <c r="Y182" s="529">
        <f t="shared" ref="Y182" si="714">Y524</f>
        <v>0</v>
      </c>
      <c r="Z182" s="1001" t="s">
        <v>701</v>
      </c>
      <c r="AA182" s="1098"/>
      <c r="AB182" s="1091"/>
      <c r="AC182" s="1099"/>
      <c r="AD182" s="1100">
        <f t="shared" si="698"/>
        <v>0</v>
      </c>
      <c r="AE182" s="1091"/>
      <c r="AF182" s="1091"/>
      <c r="AG182" s="1091"/>
      <c r="AH182" s="1091"/>
      <c r="AI182" s="1091"/>
      <c r="AJ182" s="1041" t="str">
        <f t="shared" si="542"/>
        <v/>
      </c>
    </row>
    <row r="183" spans="4:36" ht="11.25" customHeight="1" x14ac:dyDescent="0.2">
      <c r="D183" s="1092"/>
      <c r="E183" s="1093"/>
      <c r="F183" s="1093"/>
      <c r="G183" s="1093"/>
      <c r="H183" s="1094"/>
      <c r="I183" s="1095"/>
      <c r="J183" s="1096"/>
      <c r="K183" s="1096"/>
      <c r="L183" s="1096"/>
      <c r="M183" s="1097"/>
      <c r="N183" s="528">
        <f t="shared" ref="N183:P183" si="715">N525</f>
        <v>0</v>
      </c>
      <c r="O183" s="529">
        <f t="shared" si="715"/>
        <v>0</v>
      </c>
      <c r="P183" s="529">
        <f t="shared" si="715"/>
        <v>0</v>
      </c>
      <c r="Q183" s="1001" t="s">
        <v>701</v>
      </c>
      <c r="R183" s="528">
        <f t="shared" ref="R183:S183" si="716">R525</f>
        <v>0</v>
      </c>
      <c r="S183" s="529">
        <f t="shared" si="716"/>
        <v>0</v>
      </c>
      <c r="T183" s="1001" t="s">
        <v>701</v>
      </c>
      <c r="U183" s="530">
        <f t="shared" ref="U183:V183" si="717">U525</f>
        <v>0</v>
      </c>
      <c r="V183" s="529">
        <f t="shared" si="717"/>
        <v>0</v>
      </c>
      <c r="W183" s="1001" t="s">
        <v>701</v>
      </c>
      <c r="X183" s="1001" t="s">
        <v>701</v>
      </c>
      <c r="Y183" s="529">
        <f t="shared" ref="Y183" si="718">Y525</f>
        <v>0</v>
      </c>
      <c r="Z183" s="1001" t="s">
        <v>701</v>
      </c>
      <c r="AA183" s="1098"/>
      <c r="AB183" s="1091"/>
      <c r="AC183" s="1099"/>
      <c r="AD183" s="1100">
        <f t="shared" si="698"/>
        <v>0</v>
      </c>
      <c r="AE183" s="1091"/>
      <c r="AF183" s="1091"/>
      <c r="AG183" s="1091"/>
      <c r="AH183" s="1091"/>
      <c r="AI183" s="1091"/>
      <c r="AJ183" s="1041" t="str">
        <f t="shared" si="542"/>
        <v/>
      </c>
    </row>
    <row r="184" spans="4:36" ht="11.25" customHeight="1" thickBot="1" x14ac:dyDescent="0.25">
      <c r="D184" s="532" t="s">
        <v>418</v>
      </c>
      <c r="E184" s="533"/>
      <c r="F184" s="534"/>
      <c r="G184" s="535"/>
      <c r="H184" s="535"/>
      <c r="I184" s="534"/>
      <c r="J184" s="535"/>
      <c r="K184" s="535"/>
      <c r="L184" s="535"/>
      <c r="M184" s="536"/>
      <c r="N184" s="913">
        <f>SUM(N178:N183)</f>
        <v>0</v>
      </c>
      <c r="O184" s="913">
        <f t="shared" ref="O184" si="719">SUM(O178:O183)</f>
        <v>0</v>
      </c>
      <c r="P184" s="914"/>
      <c r="Q184" s="1002" t="s">
        <v>701</v>
      </c>
      <c r="R184" s="915"/>
      <c r="S184" s="916">
        <f t="shared" ref="S184" si="720">SUM(S178:S183)</f>
        <v>9</v>
      </c>
      <c r="T184" s="1003" t="s">
        <v>701</v>
      </c>
      <c r="U184" s="915"/>
      <c r="V184" s="916">
        <f t="shared" ref="V184:Y184" si="721">SUM(V178:V183)</f>
        <v>0</v>
      </c>
      <c r="W184" s="1003" t="s">
        <v>701</v>
      </c>
      <c r="X184" s="1003" t="s">
        <v>701</v>
      </c>
      <c r="Y184" s="916">
        <f t="shared" si="721"/>
        <v>12604.327828427127</v>
      </c>
      <c r="Z184" s="1003" t="s">
        <v>701</v>
      </c>
      <c r="AA184" s="1003" t="s">
        <v>701</v>
      </c>
      <c r="AB184" s="1004" t="s">
        <v>701</v>
      </c>
      <c r="AC184" s="1005" t="s">
        <v>701</v>
      </c>
      <c r="AD184" s="917"/>
      <c r="AE184" s="1004" t="s">
        <v>701</v>
      </c>
      <c r="AF184" s="1004" t="s">
        <v>701</v>
      </c>
      <c r="AG184" s="1004" t="s">
        <v>701</v>
      </c>
      <c r="AH184" s="1004" t="s">
        <v>701</v>
      </c>
      <c r="AI184" s="1004" t="s">
        <v>701</v>
      </c>
      <c r="AJ184" s="1042" t="str">
        <f t="shared" si="542"/>
        <v/>
      </c>
    </row>
    <row r="185" spans="4:36" ht="11.25" customHeight="1" x14ac:dyDescent="0.25">
      <c r="D185" s="1092" t="str">
        <f>D527</f>
        <v>Sydney South</v>
      </c>
      <c r="E185" s="1093" t="str">
        <f t="shared" ref="E185:P185" si="722">E527</f>
        <v>Transmission Substation</v>
      </c>
      <c r="F185" s="1093" t="str">
        <f t="shared" si="722"/>
        <v>DCN43</v>
      </c>
      <c r="G185" s="1093" t="str">
        <f t="shared" si="722"/>
        <v>Capacity upgrade</v>
      </c>
      <c r="H185" s="1094" t="str">
        <f t="shared" si="722"/>
        <v>Demand growth</v>
      </c>
      <c r="I185" s="1095" t="str">
        <f t="shared" si="722"/>
        <v>330/132</v>
      </c>
      <c r="J185" s="1096">
        <f t="shared" si="722"/>
        <v>2250</v>
      </c>
      <c r="K185" s="1096">
        <f t="shared" si="722"/>
        <v>2250</v>
      </c>
      <c r="L185" s="1096">
        <f t="shared" si="722"/>
        <v>1875</v>
      </c>
      <c r="M185" s="1097">
        <f t="shared" si="722"/>
        <v>1875</v>
      </c>
      <c r="N185" s="522">
        <f t="shared" si="722"/>
        <v>0</v>
      </c>
      <c r="O185" s="523">
        <f t="shared" si="722"/>
        <v>0</v>
      </c>
      <c r="P185" s="524">
        <f t="shared" si="722"/>
        <v>0</v>
      </c>
      <c r="Q185" s="1000" t="s">
        <v>701</v>
      </c>
      <c r="R185" s="525">
        <f t="shared" ref="R185:S185" si="723">R527</f>
        <v>0</v>
      </c>
      <c r="S185" s="524">
        <f t="shared" si="723"/>
        <v>21</v>
      </c>
      <c r="T185" s="1000" t="s">
        <v>701</v>
      </c>
      <c r="U185" s="526">
        <f t="shared" ref="U185:V185" si="724">U527</f>
        <v>0</v>
      </c>
      <c r="V185" s="524">
        <f t="shared" si="724"/>
        <v>0</v>
      </c>
      <c r="W185" s="1000" t="s">
        <v>701</v>
      </c>
      <c r="X185" s="1000" t="s">
        <v>701</v>
      </c>
      <c r="Y185" s="527">
        <f t="shared" ref="Y185" si="725">Y527</f>
        <v>16903.953293769639</v>
      </c>
      <c r="Z185" s="1000" t="s">
        <v>701</v>
      </c>
      <c r="AA185" s="1098" t="s">
        <v>701</v>
      </c>
      <c r="AB185" s="1091" t="s">
        <v>701</v>
      </c>
      <c r="AC185" s="1099"/>
      <c r="AD185" s="1100">
        <f t="shared" ref="AD185:AD190" si="726">AD527</f>
        <v>0</v>
      </c>
      <c r="AE185" s="1091" t="s">
        <v>701</v>
      </c>
      <c r="AF185" s="1091" t="s">
        <v>701</v>
      </c>
      <c r="AG185" s="1091" t="s">
        <v>701</v>
      </c>
      <c r="AH185" s="1091" t="s">
        <v>701</v>
      </c>
      <c r="AI185" s="1091" t="s">
        <v>701</v>
      </c>
      <c r="AJ185" s="1040" t="str">
        <f t="shared" si="542"/>
        <v/>
      </c>
    </row>
    <row r="186" spans="4:36" ht="11.25" customHeight="1" x14ac:dyDescent="0.2">
      <c r="D186" s="1092"/>
      <c r="E186" s="1093"/>
      <c r="F186" s="1093"/>
      <c r="G186" s="1093"/>
      <c r="H186" s="1094"/>
      <c r="I186" s="1095"/>
      <c r="J186" s="1096"/>
      <c r="K186" s="1096"/>
      <c r="L186" s="1096"/>
      <c r="M186" s="1097"/>
      <c r="N186" s="528">
        <f t="shared" ref="N186:P186" si="727">N528</f>
        <v>0</v>
      </c>
      <c r="O186" s="529">
        <f t="shared" si="727"/>
        <v>0</v>
      </c>
      <c r="P186" s="529">
        <f t="shared" si="727"/>
        <v>0</v>
      </c>
      <c r="Q186" s="1001" t="s">
        <v>701</v>
      </c>
      <c r="R186" s="528">
        <f t="shared" ref="R186:S186" si="728">R528</f>
        <v>0</v>
      </c>
      <c r="S186" s="529">
        <f t="shared" si="728"/>
        <v>0</v>
      </c>
      <c r="T186" s="1001" t="s">
        <v>701</v>
      </c>
      <c r="U186" s="530">
        <f t="shared" ref="U186:V186" si="729">U528</f>
        <v>0</v>
      </c>
      <c r="V186" s="529">
        <f t="shared" si="729"/>
        <v>0</v>
      </c>
      <c r="W186" s="1001" t="s">
        <v>701</v>
      </c>
      <c r="X186" s="1001" t="s">
        <v>701</v>
      </c>
      <c r="Y186" s="531">
        <f t="shared" ref="Y186" si="730">Y528</f>
        <v>0</v>
      </c>
      <c r="Z186" s="1001" t="s">
        <v>701</v>
      </c>
      <c r="AA186" s="1098"/>
      <c r="AB186" s="1091"/>
      <c r="AC186" s="1099"/>
      <c r="AD186" s="1100">
        <f t="shared" si="726"/>
        <v>0</v>
      </c>
      <c r="AE186" s="1091"/>
      <c r="AF186" s="1091"/>
      <c r="AG186" s="1091"/>
      <c r="AH186" s="1091"/>
      <c r="AI186" s="1091"/>
      <c r="AJ186" s="1041" t="str">
        <f t="shared" si="542"/>
        <v/>
      </c>
    </row>
    <row r="187" spans="4:36" ht="11.25" customHeight="1" x14ac:dyDescent="0.2">
      <c r="D187" s="1092"/>
      <c r="E187" s="1093"/>
      <c r="F187" s="1093"/>
      <c r="G187" s="1093"/>
      <c r="H187" s="1094"/>
      <c r="I187" s="1095"/>
      <c r="J187" s="1096"/>
      <c r="K187" s="1096"/>
      <c r="L187" s="1096"/>
      <c r="M187" s="1097"/>
      <c r="N187" s="528">
        <f t="shared" ref="N187:P187" si="731">N529</f>
        <v>0</v>
      </c>
      <c r="O187" s="529">
        <f t="shared" si="731"/>
        <v>0</v>
      </c>
      <c r="P187" s="529">
        <f t="shared" si="731"/>
        <v>0</v>
      </c>
      <c r="Q187" s="1001" t="s">
        <v>701</v>
      </c>
      <c r="R187" s="528">
        <f t="shared" ref="R187:S187" si="732">R529</f>
        <v>0</v>
      </c>
      <c r="S187" s="529">
        <f t="shared" si="732"/>
        <v>0</v>
      </c>
      <c r="T187" s="1001" t="s">
        <v>701</v>
      </c>
      <c r="U187" s="530">
        <f t="shared" ref="U187:V187" si="733">U529</f>
        <v>0</v>
      </c>
      <c r="V187" s="529">
        <f t="shared" si="733"/>
        <v>0</v>
      </c>
      <c r="W187" s="1001" t="s">
        <v>701</v>
      </c>
      <c r="X187" s="1001" t="s">
        <v>701</v>
      </c>
      <c r="Y187" s="529">
        <f t="shared" ref="Y187" si="734">Y529</f>
        <v>0</v>
      </c>
      <c r="Z187" s="1001" t="s">
        <v>701</v>
      </c>
      <c r="AA187" s="1098"/>
      <c r="AB187" s="1091"/>
      <c r="AC187" s="1099"/>
      <c r="AD187" s="1100">
        <f t="shared" si="726"/>
        <v>0</v>
      </c>
      <c r="AE187" s="1091"/>
      <c r="AF187" s="1091"/>
      <c r="AG187" s="1091"/>
      <c r="AH187" s="1091"/>
      <c r="AI187" s="1091"/>
      <c r="AJ187" s="1041" t="str">
        <f t="shared" si="542"/>
        <v/>
      </c>
    </row>
    <row r="188" spans="4:36" ht="11.25" customHeight="1" x14ac:dyDescent="0.2">
      <c r="D188" s="1092"/>
      <c r="E188" s="1093"/>
      <c r="F188" s="1093"/>
      <c r="G188" s="1093"/>
      <c r="H188" s="1094"/>
      <c r="I188" s="1095"/>
      <c r="J188" s="1096"/>
      <c r="K188" s="1096"/>
      <c r="L188" s="1096"/>
      <c r="M188" s="1097"/>
      <c r="N188" s="528">
        <f t="shared" ref="N188:P188" si="735">N530</f>
        <v>0</v>
      </c>
      <c r="O188" s="529">
        <f t="shared" si="735"/>
        <v>0</v>
      </c>
      <c r="P188" s="529">
        <f t="shared" si="735"/>
        <v>0</v>
      </c>
      <c r="Q188" s="1001" t="s">
        <v>701</v>
      </c>
      <c r="R188" s="528">
        <f t="shared" ref="R188:S188" si="736">R530</f>
        <v>0</v>
      </c>
      <c r="S188" s="529">
        <f t="shared" si="736"/>
        <v>0</v>
      </c>
      <c r="T188" s="1001" t="s">
        <v>701</v>
      </c>
      <c r="U188" s="530">
        <f t="shared" ref="U188:V188" si="737">U530</f>
        <v>0</v>
      </c>
      <c r="V188" s="529">
        <f t="shared" si="737"/>
        <v>0</v>
      </c>
      <c r="W188" s="1001" t="s">
        <v>701</v>
      </c>
      <c r="X188" s="1001" t="s">
        <v>701</v>
      </c>
      <c r="Y188" s="529">
        <f t="shared" ref="Y188" si="738">Y530</f>
        <v>0</v>
      </c>
      <c r="Z188" s="1001" t="s">
        <v>701</v>
      </c>
      <c r="AA188" s="1098"/>
      <c r="AB188" s="1091"/>
      <c r="AC188" s="1099"/>
      <c r="AD188" s="1100">
        <f t="shared" si="726"/>
        <v>0</v>
      </c>
      <c r="AE188" s="1091"/>
      <c r="AF188" s="1091"/>
      <c r="AG188" s="1091"/>
      <c r="AH188" s="1091"/>
      <c r="AI188" s="1091"/>
      <c r="AJ188" s="1041" t="str">
        <f t="shared" si="542"/>
        <v/>
      </c>
    </row>
    <row r="189" spans="4:36" ht="11.25" customHeight="1" x14ac:dyDescent="0.2">
      <c r="D189" s="1092"/>
      <c r="E189" s="1093"/>
      <c r="F189" s="1093"/>
      <c r="G189" s="1093"/>
      <c r="H189" s="1094"/>
      <c r="I189" s="1095"/>
      <c r="J189" s="1096"/>
      <c r="K189" s="1096"/>
      <c r="L189" s="1096"/>
      <c r="M189" s="1097"/>
      <c r="N189" s="528">
        <f t="shared" ref="N189:P189" si="739">N531</f>
        <v>0</v>
      </c>
      <c r="O189" s="529">
        <f t="shared" si="739"/>
        <v>0</v>
      </c>
      <c r="P189" s="529">
        <f t="shared" si="739"/>
        <v>0</v>
      </c>
      <c r="Q189" s="1001" t="s">
        <v>701</v>
      </c>
      <c r="R189" s="528">
        <f t="shared" ref="R189:S189" si="740">R531</f>
        <v>0</v>
      </c>
      <c r="S189" s="529">
        <f t="shared" si="740"/>
        <v>0</v>
      </c>
      <c r="T189" s="1001" t="s">
        <v>701</v>
      </c>
      <c r="U189" s="530">
        <f t="shared" ref="U189:V189" si="741">U531</f>
        <v>0</v>
      </c>
      <c r="V189" s="529">
        <f t="shared" si="741"/>
        <v>0</v>
      </c>
      <c r="W189" s="1001" t="s">
        <v>701</v>
      </c>
      <c r="X189" s="1001" t="s">
        <v>701</v>
      </c>
      <c r="Y189" s="529">
        <f t="shared" ref="Y189" si="742">Y531</f>
        <v>0</v>
      </c>
      <c r="Z189" s="1001" t="s">
        <v>701</v>
      </c>
      <c r="AA189" s="1098"/>
      <c r="AB189" s="1091"/>
      <c r="AC189" s="1099"/>
      <c r="AD189" s="1100">
        <f t="shared" si="726"/>
        <v>0</v>
      </c>
      <c r="AE189" s="1091"/>
      <c r="AF189" s="1091"/>
      <c r="AG189" s="1091"/>
      <c r="AH189" s="1091"/>
      <c r="AI189" s="1091"/>
      <c r="AJ189" s="1041" t="str">
        <f t="shared" si="542"/>
        <v/>
      </c>
    </row>
    <row r="190" spans="4:36" ht="11.25" customHeight="1" x14ac:dyDescent="0.2">
      <c r="D190" s="1092"/>
      <c r="E190" s="1093"/>
      <c r="F190" s="1093"/>
      <c r="G190" s="1093"/>
      <c r="H190" s="1094"/>
      <c r="I190" s="1095"/>
      <c r="J190" s="1096"/>
      <c r="K190" s="1096"/>
      <c r="L190" s="1096"/>
      <c r="M190" s="1097"/>
      <c r="N190" s="528">
        <f t="shared" ref="N190:P190" si="743">N532</f>
        <v>0</v>
      </c>
      <c r="O190" s="529">
        <f t="shared" si="743"/>
        <v>0</v>
      </c>
      <c r="P190" s="529">
        <f t="shared" si="743"/>
        <v>0</v>
      </c>
      <c r="Q190" s="1001" t="s">
        <v>701</v>
      </c>
      <c r="R190" s="528">
        <f t="shared" ref="R190:S190" si="744">R532</f>
        <v>0</v>
      </c>
      <c r="S190" s="529">
        <f t="shared" si="744"/>
        <v>0</v>
      </c>
      <c r="T190" s="1001" t="s">
        <v>701</v>
      </c>
      <c r="U190" s="530">
        <f t="shared" ref="U190:V190" si="745">U532</f>
        <v>0</v>
      </c>
      <c r="V190" s="529">
        <f t="shared" si="745"/>
        <v>0</v>
      </c>
      <c r="W190" s="1001" t="s">
        <v>701</v>
      </c>
      <c r="X190" s="1001" t="s">
        <v>701</v>
      </c>
      <c r="Y190" s="529">
        <f t="shared" ref="Y190" si="746">Y532</f>
        <v>0</v>
      </c>
      <c r="Z190" s="1001" t="s">
        <v>701</v>
      </c>
      <c r="AA190" s="1098"/>
      <c r="AB190" s="1091"/>
      <c r="AC190" s="1099"/>
      <c r="AD190" s="1100">
        <f t="shared" si="726"/>
        <v>0</v>
      </c>
      <c r="AE190" s="1091"/>
      <c r="AF190" s="1091"/>
      <c r="AG190" s="1091"/>
      <c r="AH190" s="1091"/>
      <c r="AI190" s="1091"/>
      <c r="AJ190" s="1041" t="str">
        <f t="shared" si="542"/>
        <v/>
      </c>
    </row>
    <row r="191" spans="4:36" ht="11.25" customHeight="1" thickBot="1" x14ac:dyDescent="0.25">
      <c r="D191" s="532" t="s">
        <v>418</v>
      </c>
      <c r="E191" s="533"/>
      <c r="F191" s="534"/>
      <c r="G191" s="535"/>
      <c r="H191" s="535"/>
      <c r="I191" s="534"/>
      <c r="J191" s="535"/>
      <c r="K191" s="535"/>
      <c r="L191" s="535"/>
      <c r="M191" s="536"/>
      <c r="N191" s="913">
        <f>SUM(N185:N190)</f>
        <v>0</v>
      </c>
      <c r="O191" s="913">
        <f t="shared" ref="O191" si="747">SUM(O185:O190)</f>
        <v>0</v>
      </c>
      <c r="P191" s="914"/>
      <c r="Q191" s="1002" t="s">
        <v>701</v>
      </c>
      <c r="R191" s="915"/>
      <c r="S191" s="916">
        <f t="shared" ref="S191" si="748">SUM(S185:S190)</f>
        <v>21</v>
      </c>
      <c r="T191" s="1003" t="s">
        <v>701</v>
      </c>
      <c r="U191" s="915"/>
      <c r="V191" s="916">
        <f t="shared" ref="V191:Y191" si="749">SUM(V185:V190)</f>
        <v>0</v>
      </c>
      <c r="W191" s="1003" t="s">
        <v>701</v>
      </c>
      <c r="X191" s="1003" t="s">
        <v>701</v>
      </c>
      <c r="Y191" s="916">
        <f t="shared" si="749"/>
        <v>16903.953293769639</v>
      </c>
      <c r="Z191" s="1003" t="s">
        <v>701</v>
      </c>
      <c r="AA191" s="1003" t="s">
        <v>701</v>
      </c>
      <c r="AB191" s="1004" t="s">
        <v>701</v>
      </c>
      <c r="AC191" s="1005" t="s">
        <v>701</v>
      </c>
      <c r="AD191" s="917"/>
      <c r="AE191" s="1004" t="s">
        <v>701</v>
      </c>
      <c r="AF191" s="1004" t="s">
        <v>701</v>
      </c>
      <c r="AG191" s="1004" t="s">
        <v>701</v>
      </c>
      <c r="AH191" s="1004" t="s">
        <v>701</v>
      </c>
      <c r="AI191" s="1004" t="s">
        <v>701</v>
      </c>
      <c r="AJ191" s="1042" t="str">
        <f t="shared" si="542"/>
        <v/>
      </c>
    </row>
    <row r="192" spans="4:36" ht="11.25" customHeight="1" x14ac:dyDescent="0.25">
      <c r="D192" s="1092" t="str">
        <f>D534</f>
        <v>Buronga Substation</v>
      </c>
      <c r="E192" s="1093" t="str">
        <f t="shared" ref="E192:P192" si="750">E534</f>
        <v>Transmission substation</v>
      </c>
      <c r="F192" s="1093">
        <f t="shared" si="750"/>
        <v>1570</v>
      </c>
      <c r="G192" s="1093" t="str">
        <f t="shared" si="750"/>
        <v>Capacity upgrade</v>
      </c>
      <c r="H192" s="1094" t="str">
        <f t="shared" si="750"/>
        <v>Net market benefit</v>
      </c>
      <c r="I192" s="1095" t="str">
        <f t="shared" si="750"/>
        <v>330/220</v>
      </c>
      <c r="J192" s="1096">
        <f t="shared" si="750"/>
        <v>0</v>
      </c>
      <c r="K192" s="1096">
        <f t="shared" si="750"/>
        <v>600</v>
      </c>
      <c r="L192" s="1096">
        <f t="shared" si="750"/>
        <v>0</v>
      </c>
      <c r="M192" s="1097">
        <f t="shared" si="750"/>
        <v>400</v>
      </c>
      <c r="N192" s="522">
        <f t="shared" si="750"/>
        <v>3</v>
      </c>
      <c r="O192" s="523">
        <f t="shared" si="750"/>
        <v>600</v>
      </c>
      <c r="P192" s="524">
        <f t="shared" si="750"/>
        <v>0</v>
      </c>
      <c r="Q192" s="1000" t="s">
        <v>701</v>
      </c>
      <c r="R192" s="525">
        <f t="shared" ref="R192:S192" si="751">R534</f>
        <v>0</v>
      </c>
      <c r="S192" s="524">
        <f t="shared" si="751"/>
        <v>0</v>
      </c>
      <c r="T192" s="1000" t="s">
        <v>701</v>
      </c>
      <c r="U192" s="526" t="str">
        <f t="shared" ref="U192:V192" si="752">U534</f>
        <v>Syncon's</v>
      </c>
      <c r="V192" s="524">
        <f t="shared" si="752"/>
        <v>0</v>
      </c>
      <c r="W192" s="1000" t="s">
        <v>701</v>
      </c>
      <c r="X192" s="1000" t="s">
        <v>701</v>
      </c>
      <c r="Y192" s="527">
        <f t="shared" ref="Y192" si="753">Y534</f>
        <v>0</v>
      </c>
      <c r="Z192" s="1000" t="s">
        <v>701</v>
      </c>
      <c r="AA192" s="1098" t="s">
        <v>701</v>
      </c>
      <c r="AB192" s="1091" t="s">
        <v>701</v>
      </c>
      <c r="AC192" s="1099"/>
      <c r="AD192" s="1100">
        <f t="shared" ref="AD192:AD197" si="754">AD534</f>
        <v>0</v>
      </c>
      <c r="AE192" s="1091" t="s">
        <v>701</v>
      </c>
      <c r="AF192" s="1091" t="s">
        <v>701</v>
      </c>
      <c r="AG192" s="1091" t="s">
        <v>701</v>
      </c>
      <c r="AH192" s="1091" t="s">
        <v>701</v>
      </c>
      <c r="AI192" s="1091" t="s">
        <v>701</v>
      </c>
      <c r="AJ192" s="1040" t="str">
        <f t="shared" si="542"/>
        <v/>
      </c>
    </row>
    <row r="193" spans="4:36" ht="11.25" customHeight="1" x14ac:dyDescent="0.2">
      <c r="D193" s="1092"/>
      <c r="E193" s="1093"/>
      <c r="F193" s="1093"/>
      <c r="G193" s="1093"/>
      <c r="H193" s="1094"/>
      <c r="I193" s="1095"/>
      <c r="J193" s="1096"/>
      <c r="K193" s="1096"/>
      <c r="L193" s="1096"/>
      <c r="M193" s="1097"/>
      <c r="N193" s="528">
        <f t="shared" ref="N193:P193" si="755">N535</f>
        <v>0</v>
      </c>
      <c r="O193" s="529">
        <f t="shared" si="755"/>
        <v>0</v>
      </c>
      <c r="P193" s="529">
        <f t="shared" si="755"/>
        <v>0</v>
      </c>
      <c r="Q193" s="1001" t="s">
        <v>701</v>
      </c>
      <c r="R193" s="528">
        <f t="shared" ref="R193:S193" si="756">R535</f>
        <v>0</v>
      </c>
      <c r="S193" s="529">
        <f t="shared" si="756"/>
        <v>0</v>
      </c>
      <c r="T193" s="1001" t="s">
        <v>701</v>
      </c>
      <c r="U193" s="530">
        <f t="shared" ref="U193:V193" si="757">U535</f>
        <v>0</v>
      </c>
      <c r="V193" s="529">
        <f t="shared" si="757"/>
        <v>0</v>
      </c>
      <c r="W193" s="1001" t="s">
        <v>701</v>
      </c>
      <c r="X193" s="1001" t="s">
        <v>701</v>
      </c>
      <c r="Y193" s="531">
        <f t="shared" ref="Y193" si="758">Y535</f>
        <v>0</v>
      </c>
      <c r="Z193" s="1001" t="s">
        <v>701</v>
      </c>
      <c r="AA193" s="1098"/>
      <c r="AB193" s="1091"/>
      <c r="AC193" s="1099"/>
      <c r="AD193" s="1100">
        <f t="shared" si="754"/>
        <v>0</v>
      </c>
      <c r="AE193" s="1091"/>
      <c r="AF193" s="1091"/>
      <c r="AG193" s="1091"/>
      <c r="AH193" s="1091"/>
      <c r="AI193" s="1091"/>
      <c r="AJ193" s="1041" t="str">
        <f t="shared" si="542"/>
        <v/>
      </c>
    </row>
    <row r="194" spans="4:36" ht="11.25" customHeight="1" x14ac:dyDescent="0.2">
      <c r="D194" s="1092"/>
      <c r="E194" s="1093"/>
      <c r="F194" s="1093"/>
      <c r="G194" s="1093"/>
      <c r="H194" s="1094"/>
      <c r="I194" s="1095"/>
      <c r="J194" s="1096"/>
      <c r="K194" s="1096"/>
      <c r="L194" s="1096"/>
      <c r="M194" s="1097"/>
      <c r="N194" s="528">
        <f t="shared" ref="N194:P194" si="759">N536</f>
        <v>0</v>
      </c>
      <c r="O194" s="529">
        <f t="shared" si="759"/>
        <v>0</v>
      </c>
      <c r="P194" s="529">
        <f t="shared" si="759"/>
        <v>0</v>
      </c>
      <c r="Q194" s="1001" t="s">
        <v>701</v>
      </c>
      <c r="R194" s="528">
        <f t="shared" ref="R194:S194" si="760">R536</f>
        <v>0</v>
      </c>
      <c r="S194" s="529">
        <f t="shared" si="760"/>
        <v>0</v>
      </c>
      <c r="T194" s="1001" t="s">
        <v>701</v>
      </c>
      <c r="U194" s="530">
        <f t="shared" ref="U194:V194" si="761">U536</f>
        <v>0</v>
      </c>
      <c r="V194" s="529">
        <f t="shared" si="761"/>
        <v>0</v>
      </c>
      <c r="W194" s="1001" t="s">
        <v>701</v>
      </c>
      <c r="X194" s="1001" t="s">
        <v>701</v>
      </c>
      <c r="Y194" s="529">
        <f t="shared" ref="Y194" si="762">Y536</f>
        <v>0</v>
      </c>
      <c r="Z194" s="1001" t="s">
        <v>701</v>
      </c>
      <c r="AA194" s="1098"/>
      <c r="AB194" s="1091"/>
      <c r="AC194" s="1099"/>
      <c r="AD194" s="1100">
        <f t="shared" si="754"/>
        <v>0</v>
      </c>
      <c r="AE194" s="1091"/>
      <c r="AF194" s="1091"/>
      <c r="AG194" s="1091"/>
      <c r="AH194" s="1091"/>
      <c r="AI194" s="1091"/>
      <c r="AJ194" s="1041" t="str">
        <f t="shared" si="542"/>
        <v/>
      </c>
    </row>
    <row r="195" spans="4:36" ht="11.25" customHeight="1" x14ac:dyDescent="0.2">
      <c r="D195" s="1092"/>
      <c r="E195" s="1093"/>
      <c r="F195" s="1093"/>
      <c r="G195" s="1093"/>
      <c r="H195" s="1094"/>
      <c r="I195" s="1095"/>
      <c r="J195" s="1096"/>
      <c r="K195" s="1096"/>
      <c r="L195" s="1096"/>
      <c r="M195" s="1097"/>
      <c r="N195" s="528">
        <f t="shared" ref="N195:P195" si="763">N537</f>
        <v>0</v>
      </c>
      <c r="O195" s="529">
        <f t="shared" si="763"/>
        <v>0</v>
      </c>
      <c r="P195" s="529">
        <f t="shared" si="763"/>
        <v>0</v>
      </c>
      <c r="Q195" s="1001" t="s">
        <v>701</v>
      </c>
      <c r="R195" s="528">
        <f t="shared" ref="R195:S195" si="764">R537</f>
        <v>0</v>
      </c>
      <c r="S195" s="529">
        <f t="shared" si="764"/>
        <v>0</v>
      </c>
      <c r="T195" s="1001" t="s">
        <v>701</v>
      </c>
      <c r="U195" s="530">
        <f t="shared" ref="U195:V195" si="765">U537</f>
        <v>0</v>
      </c>
      <c r="V195" s="529">
        <f t="shared" si="765"/>
        <v>0</v>
      </c>
      <c r="W195" s="1001" t="s">
        <v>701</v>
      </c>
      <c r="X195" s="1001" t="s">
        <v>701</v>
      </c>
      <c r="Y195" s="529">
        <f t="shared" ref="Y195" si="766">Y537</f>
        <v>0</v>
      </c>
      <c r="Z195" s="1001" t="s">
        <v>701</v>
      </c>
      <c r="AA195" s="1098"/>
      <c r="AB195" s="1091"/>
      <c r="AC195" s="1099"/>
      <c r="AD195" s="1100">
        <f t="shared" si="754"/>
        <v>0</v>
      </c>
      <c r="AE195" s="1091"/>
      <c r="AF195" s="1091"/>
      <c r="AG195" s="1091"/>
      <c r="AH195" s="1091"/>
      <c r="AI195" s="1091"/>
      <c r="AJ195" s="1041" t="str">
        <f t="shared" si="542"/>
        <v/>
      </c>
    </row>
    <row r="196" spans="4:36" ht="11.25" customHeight="1" x14ac:dyDescent="0.2">
      <c r="D196" s="1092"/>
      <c r="E196" s="1093"/>
      <c r="F196" s="1093"/>
      <c r="G196" s="1093"/>
      <c r="H196" s="1094"/>
      <c r="I196" s="1095"/>
      <c r="J196" s="1096"/>
      <c r="K196" s="1096"/>
      <c r="L196" s="1096"/>
      <c r="M196" s="1097"/>
      <c r="N196" s="528">
        <f t="shared" ref="N196:P196" si="767">N538</f>
        <v>0</v>
      </c>
      <c r="O196" s="529">
        <f t="shared" si="767"/>
        <v>0</v>
      </c>
      <c r="P196" s="529">
        <f t="shared" si="767"/>
        <v>0</v>
      </c>
      <c r="Q196" s="1001" t="s">
        <v>701</v>
      </c>
      <c r="R196" s="528">
        <f t="shared" ref="R196:S196" si="768">R538</f>
        <v>0</v>
      </c>
      <c r="S196" s="529">
        <f t="shared" si="768"/>
        <v>0</v>
      </c>
      <c r="T196" s="1001" t="s">
        <v>701</v>
      </c>
      <c r="U196" s="530">
        <f t="shared" ref="U196:V196" si="769">U538</f>
        <v>0</v>
      </c>
      <c r="V196" s="529">
        <f t="shared" si="769"/>
        <v>0</v>
      </c>
      <c r="W196" s="1001" t="s">
        <v>701</v>
      </c>
      <c r="X196" s="1001" t="s">
        <v>701</v>
      </c>
      <c r="Y196" s="529">
        <f t="shared" ref="Y196" si="770">Y538</f>
        <v>0</v>
      </c>
      <c r="Z196" s="1001" t="s">
        <v>701</v>
      </c>
      <c r="AA196" s="1098"/>
      <c r="AB196" s="1091"/>
      <c r="AC196" s="1099"/>
      <c r="AD196" s="1100">
        <f t="shared" si="754"/>
        <v>0</v>
      </c>
      <c r="AE196" s="1091"/>
      <c r="AF196" s="1091"/>
      <c r="AG196" s="1091"/>
      <c r="AH196" s="1091"/>
      <c r="AI196" s="1091"/>
      <c r="AJ196" s="1041" t="str">
        <f t="shared" si="542"/>
        <v/>
      </c>
    </row>
    <row r="197" spans="4:36" ht="11.25" customHeight="1" x14ac:dyDescent="0.2">
      <c r="D197" s="1092"/>
      <c r="E197" s="1093"/>
      <c r="F197" s="1093"/>
      <c r="G197" s="1093"/>
      <c r="H197" s="1094"/>
      <c r="I197" s="1095"/>
      <c r="J197" s="1096"/>
      <c r="K197" s="1096"/>
      <c r="L197" s="1096"/>
      <c r="M197" s="1097"/>
      <c r="N197" s="528">
        <f t="shared" ref="N197:P197" si="771">N539</f>
        <v>0</v>
      </c>
      <c r="O197" s="529">
        <f t="shared" si="771"/>
        <v>0</v>
      </c>
      <c r="P197" s="529">
        <f t="shared" si="771"/>
        <v>0</v>
      </c>
      <c r="Q197" s="1001" t="s">
        <v>701</v>
      </c>
      <c r="R197" s="528">
        <f t="shared" ref="R197:S197" si="772">R539</f>
        <v>0</v>
      </c>
      <c r="S197" s="529">
        <f t="shared" si="772"/>
        <v>0</v>
      </c>
      <c r="T197" s="1001" t="s">
        <v>701</v>
      </c>
      <c r="U197" s="530">
        <f t="shared" ref="U197:V197" si="773">U539</f>
        <v>0</v>
      </c>
      <c r="V197" s="529">
        <f t="shared" si="773"/>
        <v>0</v>
      </c>
      <c r="W197" s="1001" t="s">
        <v>701</v>
      </c>
      <c r="X197" s="1001" t="s">
        <v>701</v>
      </c>
      <c r="Y197" s="529">
        <f t="shared" ref="Y197" si="774">Y539</f>
        <v>0</v>
      </c>
      <c r="Z197" s="1001" t="s">
        <v>701</v>
      </c>
      <c r="AA197" s="1098"/>
      <c r="AB197" s="1091"/>
      <c r="AC197" s="1099"/>
      <c r="AD197" s="1100">
        <f t="shared" si="754"/>
        <v>0</v>
      </c>
      <c r="AE197" s="1091"/>
      <c r="AF197" s="1091"/>
      <c r="AG197" s="1091"/>
      <c r="AH197" s="1091"/>
      <c r="AI197" s="1091"/>
      <c r="AJ197" s="1041" t="str">
        <f t="shared" si="542"/>
        <v/>
      </c>
    </row>
    <row r="198" spans="4:36" ht="11.25" customHeight="1" thickBot="1" x14ac:dyDescent="0.25">
      <c r="D198" s="532" t="s">
        <v>418</v>
      </c>
      <c r="E198" s="533"/>
      <c r="F198" s="534"/>
      <c r="G198" s="535"/>
      <c r="H198" s="535"/>
      <c r="I198" s="534"/>
      <c r="J198" s="535"/>
      <c r="K198" s="535"/>
      <c r="L198" s="535"/>
      <c r="M198" s="536"/>
      <c r="N198" s="913">
        <f>SUM(N192:N197)</f>
        <v>3</v>
      </c>
      <c r="O198" s="913">
        <f t="shared" ref="O198" si="775">SUM(O192:O197)</f>
        <v>600</v>
      </c>
      <c r="P198" s="914"/>
      <c r="Q198" s="1002" t="s">
        <v>701</v>
      </c>
      <c r="R198" s="915"/>
      <c r="S198" s="916">
        <f t="shared" ref="S198" si="776">SUM(S192:S197)</f>
        <v>0</v>
      </c>
      <c r="T198" s="1003" t="s">
        <v>701</v>
      </c>
      <c r="U198" s="915"/>
      <c r="V198" s="916">
        <f t="shared" ref="V198:Y198" si="777">SUM(V192:V197)</f>
        <v>0</v>
      </c>
      <c r="W198" s="1003" t="s">
        <v>701</v>
      </c>
      <c r="X198" s="1003" t="s">
        <v>701</v>
      </c>
      <c r="Y198" s="916">
        <f t="shared" si="777"/>
        <v>0</v>
      </c>
      <c r="Z198" s="1003" t="s">
        <v>701</v>
      </c>
      <c r="AA198" s="1003" t="s">
        <v>701</v>
      </c>
      <c r="AB198" s="1004" t="s">
        <v>701</v>
      </c>
      <c r="AC198" s="1005" t="s">
        <v>701</v>
      </c>
      <c r="AD198" s="917"/>
      <c r="AE198" s="1004" t="s">
        <v>701</v>
      </c>
      <c r="AF198" s="1004" t="s">
        <v>701</v>
      </c>
      <c r="AG198" s="1004" t="s">
        <v>701</v>
      </c>
      <c r="AH198" s="1004" t="s">
        <v>701</v>
      </c>
      <c r="AI198" s="1004" t="s">
        <v>701</v>
      </c>
      <c r="AJ198" s="1042" t="str">
        <f t="shared" si="542"/>
        <v/>
      </c>
    </row>
    <row r="199" spans="4:36" ht="11.25" customHeight="1" x14ac:dyDescent="0.25">
      <c r="D199" s="1092" t="str">
        <f>D541</f>
        <v>Dinawan (330kV) Substation</v>
      </c>
      <c r="E199" s="1093" t="str">
        <f t="shared" ref="E199:P199" si="778">E541</f>
        <v>Switching station</v>
      </c>
      <c r="F199" s="1093">
        <f t="shared" si="778"/>
        <v>1570</v>
      </c>
      <c r="G199" s="1093" t="str">
        <f t="shared" si="778"/>
        <v>New substation establishment</v>
      </c>
      <c r="H199" s="1094" t="str">
        <f t="shared" si="778"/>
        <v>Net market benefit</v>
      </c>
      <c r="I199" s="1095">
        <f t="shared" si="778"/>
        <v>330</v>
      </c>
      <c r="J199" s="1096" t="str">
        <f t="shared" si="778"/>
        <v>N/A</v>
      </c>
      <c r="K199" s="1096" t="str">
        <f t="shared" si="778"/>
        <v>N/A</v>
      </c>
      <c r="L199" s="1096" t="str">
        <f t="shared" si="778"/>
        <v>N/A</v>
      </c>
      <c r="M199" s="1097" t="str">
        <f t="shared" si="778"/>
        <v>N/A</v>
      </c>
      <c r="N199" s="522">
        <f t="shared" si="778"/>
        <v>0</v>
      </c>
      <c r="O199" s="523">
        <f t="shared" si="778"/>
        <v>0</v>
      </c>
      <c r="P199" s="524">
        <f t="shared" si="778"/>
        <v>0</v>
      </c>
      <c r="Q199" s="1000" t="s">
        <v>701</v>
      </c>
      <c r="R199" s="525">
        <f t="shared" ref="R199:S199" si="779">R541</f>
        <v>0</v>
      </c>
      <c r="S199" s="524">
        <f t="shared" si="779"/>
        <v>0</v>
      </c>
      <c r="T199" s="1000" t="s">
        <v>701</v>
      </c>
      <c r="U199" s="526" t="str">
        <f t="shared" ref="U199:V199" si="780">U541</f>
        <v>Syncon's</v>
      </c>
      <c r="V199" s="524">
        <f t="shared" si="780"/>
        <v>0</v>
      </c>
      <c r="W199" s="1000" t="s">
        <v>701</v>
      </c>
      <c r="X199" s="1000" t="s">
        <v>701</v>
      </c>
      <c r="Y199" s="527">
        <f t="shared" ref="Y199" si="781">Y541</f>
        <v>0</v>
      </c>
      <c r="Z199" s="1000" t="s">
        <v>701</v>
      </c>
      <c r="AA199" s="1098" t="s">
        <v>701</v>
      </c>
      <c r="AB199" s="1091" t="s">
        <v>701</v>
      </c>
      <c r="AC199" s="1099"/>
      <c r="AD199" s="1100">
        <f t="shared" ref="AD199:AD204" si="782">AD541</f>
        <v>0</v>
      </c>
      <c r="AE199" s="1091" t="s">
        <v>701</v>
      </c>
      <c r="AF199" s="1091" t="s">
        <v>701</v>
      </c>
      <c r="AG199" s="1091" t="s">
        <v>701</v>
      </c>
      <c r="AH199" s="1091" t="s">
        <v>701</v>
      </c>
      <c r="AI199" s="1091" t="s">
        <v>701</v>
      </c>
      <c r="AJ199" s="1040" t="str">
        <f t="shared" si="542"/>
        <v/>
      </c>
    </row>
    <row r="200" spans="4:36" ht="11.25" customHeight="1" x14ac:dyDescent="0.2">
      <c r="D200" s="1092"/>
      <c r="E200" s="1093"/>
      <c r="F200" s="1093"/>
      <c r="G200" s="1093"/>
      <c r="H200" s="1094"/>
      <c r="I200" s="1095"/>
      <c r="J200" s="1096"/>
      <c r="K200" s="1096"/>
      <c r="L200" s="1096"/>
      <c r="M200" s="1097"/>
      <c r="N200" s="528">
        <f t="shared" ref="N200:P200" si="783">N542</f>
        <v>0</v>
      </c>
      <c r="O200" s="529">
        <f t="shared" si="783"/>
        <v>0</v>
      </c>
      <c r="P200" s="529">
        <f t="shared" si="783"/>
        <v>0</v>
      </c>
      <c r="Q200" s="1001" t="s">
        <v>701</v>
      </c>
      <c r="R200" s="528">
        <f t="shared" ref="R200:S200" si="784">R542</f>
        <v>0</v>
      </c>
      <c r="S200" s="529">
        <f t="shared" si="784"/>
        <v>0</v>
      </c>
      <c r="T200" s="1001" t="s">
        <v>701</v>
      </c>
      <c r="U200" s="530">
        <f t="shared" ref="U200:V200" si="785">U542</f>
        <v>0</v>
      </c>
      <c r="V200" s="529">
        <f t="shared" si="785"/>
        <v>0</v>
      </c>
      <c r="W200" s="1001" t="s">
        <v>701</v>
      </c>
      <c r="X200" s="1001" t="s">
        <v>701</v>
      </c>
      <c r="Y200" s="531">
        <f t="shared" ref="Y200" si="786">Y542</f>
        <v>0</v>
      </c>
      <c r="Z200" s="1001" t="s">
        <v>701</v>
      </c>
      <c r="AA200" s="1098"/>
      <c r="AB200" s="1091"/>
      <c r="AC200" s="1099"/>
      <c r="AD200" s="1100">
        <f t="shared" si="782"/>
        <v>0</v>
      </c>
      <c r="AE200" s="1091"/>
      <c r="AF200" s="1091"/>
      <c r="AG200" s="1091"/>
      <c r="AH200" s="1091"/>
      <c r="AI200" s="1091"/>
      <c r="AJ200" s="1041" t="str">
        <f t="shared" si="542"/>
        <v/>
      </c>
    </row>
    <row r="201" spans="4:36" ht="11.25" customHeight="1" x14ac:dyDescent="0.2">
      <c r="D201" s="1092"/>
      <c r="E201" s="1093"/>
      <c r="F201" s="1093"/>
      <c r="G201" s="1093"/>
      <c r="H201" s="1094"/>
      <c r="I201" s="1095"/>
      <c r="J201" s="1096"/>
      <c r="K201" s="1096"/>
      <c r="L201" s="1096"/>
      <c r="M201" s="1097"/>
      <c r="N201" s="528">
        <f t="shared" ref="N201:P201" si="787">N543</f>
        <v>0</v>
      </c>
      <c r="O201" s="529">
        <f t="shared" si="787"/>
        <v>0</v>
      </c>
      <c r="P201" s="529">
        <f t="shared" si="787"/>
        <v>0</v>
      </c>
      <c r="Q201" s="1001" t="s">
        <v>701</v>
      </c>
      <c r="R201" s="528">
        <f t="shared" ref="R201:S201" si="788">R543</f>
        <v>0</v>
      </c>
      <c r="S201" s="529">
        <f t="shared" si="788"/>
        <v>0</v>
      </c>
      <c r="T201" s="1001" t="s">
        <v>701</v>
      </c>
      <c r="U201" s="530">
        <f t="shared" ref="U201:V201" si="789">U543</f>
        <v>0</v>
      </c>
      <c r="V201" s="529">
        <f t="shared" si="789"/>
        <v>0</v>
      </c>
      <c r="W201" s="1001" t="s">
        <v>701</v>
      </c>
      <c r="X201" s="1001" t="s">
        <v>701</v>
      </c>
      <c r="Y201" s="529">
        <f t="shared" ref="Y201" si="790">Y543</f>
        <v>0</v>
      </c>
      <c r="Z201" s="1001" t="s">
        <v>701</v>
      </c>
      <c r="AA201" s="1098"/>
      <c r="AB201" s="1091"/>
      <c r="AC201" s="1099"/>
      <c r="AD201" s="1100">
        <f t="shared" si="782"/>
        <v>0</v>
      </c>
      <c r="AE201" s="1091"/>
      <c r="AF201" s="1091"/>
      <c r="AG201" s="1091"/>
      <c r="AH201" s="1091"/>
      <c r="AI201" s="1091"/>
      <c r="AJ201" s="1041" t="str">
        <f t="shared" si="542"/>
        <v/>
      </c>
    </row>
    <row r="202" spans="4:36" ht="11.25" customHeight="1" x14ac:dyDescent="0.2">
      <c r="D202" s="1092"/>
      <c r="E202" s="1093"/>
      <c r="F202" s="1093"/>
      <c r="G202" s="1093"/>
      <c r="H202" s="1094"/>
      <c r="I202" s="1095"/>
      <c r="J202" s="1096"/>
      <c r="K202" s="1096"/>
      <c r="L202" s="1096"/>
      <c r="M202" s="1097"/>
      <c r="N202" s="528">
        <f t="shared" ref="N202:P202" si="791">N544</f>
        <v>0</v>
      </c>
      <c r="O202" s="529">
        <f t="shared" si="791"/>
        <v>0</v>
      </c>
      <c r="P202" s="529">
        <f t="shared" si="791"/>
        <v>0</v>
      </c>
      <c r="Q202" s="1001" t="s">
        <v>701</v>
      </c>
      <c r="R202" s="528">
        <f t="shared" ref="R202:S202" si="792">R544</f>
        <v>0</v>
      </c>
      <c r="S202" s="529">
        <f t="shared" si="792"/>
        <v>0</v>
      </c>
      <c r="T202" s="1001" t="s">
        <v>701</v>
      </c>
      <c r="U202" s="530">
        <f t="shared" ref="U202:V202" si="793">U544</f>
        <v>0</v>
      </c>
      <c r="V202" s="529">
        <f t="shared" si="793"/>
        <v>0</v>
      </c>
      <c r="W202" s="1001" t="s">
        <v>701</v>
      </c>
      <c r="X202" s="1001" t="s">
        <v>701</v>
      </c>
      <c r="Y202" s="529">
        <f t="shared" ref="Y202" si="794">Y544</f>
        <v>0</v>
      </c>
      <c r="Z202" s="1001" t="s">
        <v>701</v>
      </c>
      <c r="AA202" s="1098"/>
      <c r="AB202" s="1091"/>
      <c r="AC202" s="1099"/>
      <c r="AD202" s="1100">
        <f t="shared" si="782"/>
        <v>0</v>
      </c>
      <c r="AE202" s="1091"/>
      <c r="AF202" s="1091"/>
      <c r="AG202" s="1091"/>
      <c r="AH202" s="1091"/>
      <c r="AI202" s="1091"/>
      <c r="AJ202" s="1041" t="str">
        <f t="shared" si="542"/>
        <v/>
      </c>
    </row>
    <row r="203" spans="4:36" ht="11.25" customHeight="1" x14ac:dyDescent="0.2">
      <c r="D203" s="1092"/>
      <c r="E203" s="1093"/>
      <c r="F203" s="1093"/>
      <c r="G203" s="1093"/>
      <c r="H203" s="1094"/>
      <c r="I203" s="1095"/>
      <c r="J203" s="1096"/>
      <c r="K203" s="1096"/>
      <c r="L203" s="1096"/>
      <c r="M203" s="1097"/>
      <c r="N203" s="528">
        <f t="shared" ref="N203:P203" si="795">N545</f>
        <v>0</v>
      </c>
      <c r="O203" s="529">
        <f t="shared" si="795"/>
        <v>0</v>
      </c>
      <c r="P203" s="529">
        <f t="shared" si="795"/>
        <v>0</v>
      </c>
      <c r="Q203" s="1001" t="s">
        <v>701</v>
      </c>
      <c r="R203" s="528">
        <f t="shared" ref="R203:S203" si="796">R545</f>
        <v>0</v>
      </c>
      <c r="S203" s="529">
        <f t="shared" si="796"/>
        <v>0</v>
      </c>
      <c r="T203" s="1001" t="s">
        <v>701</v>
      </c>
      <c r="U203" s="530">
        <f t="shared" ref="U203:V203" si="797">U545</f>
        <v>0</v>
      </c>
      <c r="V203" s="529">
        <f t="shared" si="797"/>
        <v>0</v>
      </c>
      <c r="W203" s="1001" t="s">
        <v>701</v>
      </c>
      <c r="X203" s="1001" t="s">
        <v>701</v>
      </c>
      <c r="Y203" s="529">
        <f t="shared" ref="Y203" si="798">Y545</f>
        <v>0</v>
      </c>
      <c r="Z203" s="1001" t="s">
        <v>701</v>
      </c>
      <c r="AA203" s="1098"/>
      <c r="AB203" s="1091"/>
      <c r="AC203" s="1099"/>
      <c r="AD203" s="1100">
        <f t="shared" si="782"/>
        <v>0</v>
      </c>
      <c r="AE203" s="1091"/>
      <c r="AF203" s="1091"/>
      <c r="AG203" s="1091"/>
      <c r="AH203" s="1091"/>
      <c r="AI203" s="1091"/>
      <c r="AJ203" s="1041" t="str">
        <f t="shared" ref="AJ203:AJ266" si="799">AJ545</f>
        <v/>
      </c>
    </row>
    <row r="204" spans="4:36" ht="11.25" customHeight="1" x14ac:dyDescent="0.2">
      <c r="D204" s="1092"/>
      <c r="E204" s="1093"/>
      <c r="F204" s="1093"/>
      <c r="G204" s="1093"/>
      <c r="H204" s="1094"/>
      <c r="I204" s="1095"/>
      <c r="J204" s="1096"/>
      <c r="K204" s="1096"/>
      <c r="L204" s="1096"/>
      <c r="M204" s="1097"/>
      <c r="N204" s="528">
        <f t="shared" ref="N204:P204" si="800">N546</f>
        <v>0</v>
      </c>
      <c r="O204" s="529">
        <f t="shared" si="800"/>
        <v>0</v>
      </c>
      <c r="P204" s="529">
        <f t="shared" si="800"/>
        <v>0</v>
      </c>
      <c r="Q204" s="1001" t="s">
        <v>701</v>
      </c>
      <c r="R204" s="528">
        <f t="shared" ref="R204:S204" si="801">R546</f>
        <v>0</v>
      </c>
      <c r="S204" s="529">
        <f t="shared" si="801"/>
        <v>0</v>
      </c>
      <c r="T204" s="1001" t="s">
        <v>701</v>
      </c>
      <c r="U204" s="530">
        <f t="shared" ref="U204:V204" si="802">U546</f>
        <v>0</v>
      </c>
      <c r="V204" s="529">
        <f t="shared" si="802"/>
        <v>0</v>
      </c>
      <c r="W204" s="1001" t="s">
        <v>701</v>
      </c>
      <c r="X204" s="1001" t="s">
        <v>701</v>
      </c>
      <c r="Y204" s="529">
        <f t="shared" ref="Y204" si="803">Y546</f>
        <v>0</v>
      </c>
      <c r="Z204" s="1001" t="s">
        <v>701</v>
      </c>
      <c r="AA204" s="1098"/>
      <c r="AB204" s="1091"/>
      <c r="AC204" s="1099"/>
      <c r="AD204" s="1100">
        <f t="shared" si="782"/>
        <v>0</v>
      </c>
      <c r="AE204" s="1091"/>
      <c r="AF204" s="1091"/>
      <c r="AG204" s="1091"/>
      <c r="AH204" s="1091"/>
      <c r="AI204" s="1091"/>
      <c r="AJ204" s="1041" t="str">
        <f t="shared" si="799"/>
        <v/>
      </c>
    </row>
    <row r="205" spans="4:36" ht="11.25" customHeight="1" thickBot="1" x14ac:dyDescent="0.25">
      <c r="D205" s="532" t="s">
        <v>418</v>
      </c>
      <c r="E205" s="533"/>
      <c r="F205" s="534"/>
      <c r="G205" s="535"/>
      <c r="H205" s="535"/>
      <c r="I205" s="534"/>
      <c r="J205" s="535"/>
      <c r="K205" s="535"/>
      <c r="L205" s="535"/>
      <c r="M205" s="536"/>
      <c r="N205" s="913">
        <f>SUM(N199:N204)</f>
        <v>0</v>
      </c>
      <c r="O205" s="913">
        <f t="shared" ref="O205" si="804">SUM(O199:O204)</f>
        <v>0</v>
      </c>
      <c r="P205" s="914"/>
      <c r="Q205" s="1002" t="s">
        <v>701</v>
      </c>
      <c r="R205" s="915"/>
      <c r="S205" s="916">
        <f t="shared" ref="S205" si="805">SUM(S199:S204)</f>
        <v>0</v>
      </c>
      <c r="T205" s="1003" t="s">
        <v>701</v>
      </c>
      <c r="U205" s="915"/>
      <c r="V205" s="916">
        <f t="shared" ref="V205:Y205" si="806">SUM(V199:V204)</f>
        <v>0</v>
      </c>
      <c r="W205" s="1003" t="s">
        <v>701</v>
      </c>
      <c r="X205" s="1003" t="s">
        <v>701</v>
      </c>
      <c r="Y205" s="916">
        <f t="shared" si="806"/>
        <v>0</v>
      </c>
      <c r="Z205" s="1003" t="s">
        <v>701</v>
      </c>
      <c r="AA205" s="1003" t="s">
        <v>701</v>
      </c>
      <c r="AB205" s="1004" t="s">
        <v>701</v>
      </c>
      <c r="AC205" s="1005" t="s">
        <v>701</v>
      </c>
      <c r="AD205" s="917"/>
      <c r="AE205" s="1004" t="s">
        <v>701</v>
      </c>
      <c r="AF205" s="1004" t="s">
        <v>701</v>
      </c>
      <c r="AG205" s="1004" t="s">
        <v>701</v>
      </c>
      <c r="AH205" s="1004" t="s">
        <v>701</v>
      </c>
      <c r="AI205" s="1004" t="s">
        <v>701</v>
      </c>
      <c r="AJ205" s="1042" t="str">
        <f t="shared" si="799"/>
        <v/>
      </c>
    </row>
    <row r="206" spans="4:36" ht="11.25" customHeight="1" x14ac:dyDescent="0.25">
      <c r="D206" s="1092" t="str">
        <f>D548</f>
        <v>Wagga Wagga (330kV) Substation</v>
      </c>
      <c r="E206" s="1093" t="str">
        <f t="shared" ref="E206:P206" si="807">E548</f>
        <v>Transmission substation</v>
      </c>
      <c r="F206" s="1093">
        <f t="shared" si="807"/>
        <v>1570</v>
      </c>
      <c r="G206" s="1093" t="str">
        <f t="shared" si="807"/>
        <v>Other</v>
      </c>
      <c r="H206" s="1094" t="str">
        <f t="shared" si="807"/>
        <v>Net market benefit</v>
      </c>
      <c r="I206" s="1095" t="str">
        <f t="shared" si="807"/>
        <v>330/132</v>
      </c>
      <c r="J206" s="1096">
        <f t="shared" si="807"/>
        <v>750</v>
      </c>
      <c r="K206" s="1096">
        <f t="shared" si="807"/>
        <v>750</v>
      </c>
      <c r="L206" s="1096">
        <f t="shared" si="807"/>
        <v>375</v>
      </c>
      <c r="M206" s="1097">
        <f t="shared" si="807"/>
        <v>375</v>
      </c>
      <c r="N206" s="522">
        <f t="shared" si="807"/>
        <v>0</v>
      </c>
      <c r="O206" s="523">
        <f t="shared" si="807"/>
        <v>0</v>
      </c>
      <c r="P206" s="524">
        <f t="shared" si="807"/>
        <v>0</v>
      </c>
      <c r="Q206" s="1000" t="s">
        <v>701</v>
      </c>
      <c r="R206" s="525">
        <f t="shared" ref="R206:S206" si="808">R548</f>
        <v>0</v>
      </c>
      <c r="S206" s="524">
        <f t="shared" si="808"/>
        <v>0</v>
      </c>
      <c r="T206" s="1000" t="s">
        <v>701</v>
      </c>
      <c r="U206" s="526">
        <f t="shared" ref="U206:V206" si="809">U548</f>
        <v>0</v>
      </c>
      <c r="V206" s="524">
        <f t="shared" si="809"/>
        <v>0</v>
      </c>
      <c r="W206" s="1000" t="s">
        <v>701</v>
      </c>
      <c r="X206" s="1000" t="s">
        <v>701</v>
      </c>
      <c r="Y206" s="527">
        <f t="shared" ref="Y206" si="810">Y548</f>
        <v>0</v>
      </c>
      <c r="Z206" s="1000" t="s">
        <v>701</v>
      </c>
      <c r="AA206" s="1098" t="s">
        <v>701</v>
      </c>
      <c r="AB206" s="1091" t="s">
        <v>701</v>
      </c>
      <c r="AC206" s="1099"/>
      <c r="AD206" s="1100">
        <f t="shared" ref="AD206:AD211" si="811">AD548</f>
        <v>0</v>
      </c>
      <c r="AE206" s="1091" t="s">
        <v>701</v>
      </c>
      <c r="AF206" s="1091" t="s">
        <v>701</v>
      </c>
      <c r="AG206" s="1091" t="s">
        <v>701</v>
      </c>
      <c r="AH206" s="1091" t="s">
        <v>701</v>
      </c>
      <c r="AI206" s="1091" t="s">
        <v>701</v>
      </c>
      <c r="AJ206" s="1040" t="str">
        <f t="shared" si="799"/>
        <v/>
      </c>
    </row>
    <row r="207" spans="4:36" ht="11.25" customHeight="1" x14ac:dyDescent="0.2">
      <c r="D207" s="1092"/>
      <c r="E207" s="1093"/>
      <c r="F207" s="1093"/>
      <c r="G207" s="1093"/>
      <c r="H207" s="1094"/>
      <c r="I207" s="1095"/>
      <c r="J207" s="1096"/>
      <c r="K207" s="1096"/>
      <c r="L207" s="1096"/>
      <c r="M207" s="1097"/>
      <c r="N207" s="528">
        <f t="shared" ref="N207:P207" si="812">N549</f>
        <v>0</v>
      </c>
      <c r="O207" s="529">
        <f t="shared" si="812"/>
        <v>0</v>
      </c>
      <c r="P207" s="529">
        <f t="shared" si="812"/>
        <v>0</v>
      </c>
      <c r="Q207" s="1001" t="s">
        <v>701</v>
      </c>
      <c r="R207" s="528">
        <f t="shared" ref="R207:S207" si="813">R549</f>
        <v>0</v>
      </c>
      <c r="S207" s="529">
        <f t="shared" si="813"/>
        <v>0</v>
      </c>
      <c r="T207" s="1001" t="s">
        <v>701</v>
      </c>
      <c r="U207" s="530">
        <f t="shared" ref="U207:V207" si="814">U549</f>
        <v>0</v>
      </c>
      <c r="V207" s="529">
        <f t="shared" si="814"/>
        <v>0</v>
      </c>
      <c r="W207" s="1001" t="s">
        <v>701</v>
      </c>
      <c r="X207" s="1001" t="s">
        <v>701</v>
      </c>
      <c r="Y207" s="531">
        <f t="shared" ref="Y207" si="815">Y549</f>
        <v>0</v>
      </c>
      <c r="Z207" s="1001" t="s">
        <v>701</v>
      </c>
      <c r="AA207" s="1098"/>
      <c r="AB207" s="1091"/>
      <c r="AC207" s="1099"/>
      <c r="AD207" s="1100">
        <f t="shared" si="811"/>
        <v>0</v>
      </c>
      <c r="AE207" s="1091"/>
      <c r="AF207" s="1091"/>
      <c r="AG207" s="1091"/>
      <c r="AH207" s="1091"/>
      <c r="AI207" s="1091"/>
      <c r="AJ207" s="1041" t="str">
        <f t="shared" si="799"/>
        <v/>
      </c>
    </row>
    <row r="208" spans="4:36" ht="11.25" customHeight="1" x14ac:dyDescent="0.2">
      <c r="D208" s="1092"/>
      <c r="E208" s="1093"/>
      <c r="F208" s="1093"/>
      <c r="G208" s="1093"/>
      <c r="H208" s="1094"/>
      <c r="I208" s="1095"/>
      <c r="J208" s="1096"/>
      <c r="K208" s="1096"/>
      <c r="L208" s="1096"/>
      <c r="M208" s="1097"/>
      <c r="N208" s="528">
        <f t="shared" ref="N208:P208" si="816">N550</f>
        <v>0</v>
      </c>
      <c r="O208" s="529">
        <f t="shared" si="816"/>
        <v>0</v>
      </c>
      <c r="P208" s="529">
        <f t="shared" si="816"/>
        <v>0</v>
      </c>
      <c r="Q208" s="1001" t="s">
        <v>701</v>
      </c>
      <c r="R208" s="528">
        <f t="shared" ref="R208:S208" si="817">R550</f>
        <v>0</v>
      </c>
      <c r="S208" s="529">
        <f t="shared" si="817"/>
        <v>0</v>
      </c>
      <c r="T208" s="1001" t="s">
        <v>701</v>
      </c>
      <c r="U208" s="530">
        <f t="shared" ref="U208:V208" si="818">U550</f>
        <v>0</v>
      </c>
      <c r="V208" s="529">
        <f t="shared" si="818"/>
        <v>0</v>
      </c>
      <c r="W208" s="1001" t="s">
        <v>701</v>
      </c>
      <c r="X208" s="1001" t="s">
        <v>701</v>
      </c>
      <c r="Y208" s="529">
        <f t="shared" ref="Y208" si="819">Y550</f>
        <v>0</v>
      </c>
      <c r="Z208" s="1001" t="s">
        <v>701</v>
      </c>
      <c r="AA208" s="1098"/>
      <c r="AB208" s="1091"/>
      <c r="AC208" s="1099"/>
      <c r="AD208" s="1100">
        <f t="shared" si="811"/>
        <v>0</v>
      </c>
      <c r="AE208" s="1091"/>
      <c r="AF208" s="1091"/>
      <c r="AG208" s="1091"/>
      <c r="AH208" s="1091"/>
      <c r="AI208" s="1091"/>
      <c r="AJ208" s="1041" t="str">
        <f t="shared" si="799"/>
        <v/>
      </c>
    </row>
    <row r="209" spans="4:36" ht="11.25" customHeight="1" x14ac:dyDescent="0.2">
      <c r="D209" s="1092"/>
      <c r="E209" s="1093"/>
      <c r="F209" s="1093"/>
      <c r="G209" s="1093"/>
      <c r="H209" s="1094"/>
      <c r="I209" s="1095"/>
      <c r="J209" s="1096"/>
      <c r="K209" s="1096"/>
      <c r="L209" s="1096"/>
      <c r="M209" s="1097"/>
      <c r="N209" s="528">
        <f t="shared" ref="N209:P209" si="820">N551</f>
        <v>0</v>
      </c>
      <c r="O209" s="529">
        <f t="shared" si="820"/>
        <v>0</v>
      </c>
      <c r="P209" s="529">
        <f t="shared" si="820"/>
        <v>0</v>
      </c>
      <c r="Q209" s="1001" t="s">
        <v>701</v>
      </c>
      <c r="R209" s="528">
        <f t="shared" ref="R209:S209" si="821">R551</f>
        <v>0</v>
      </c>
      <c r="S209" s="529">
        <f t="shared" si="821"/>
        <v>0</v>
      </c>
      <c r="T209" s="1001" t="s">
        <v>701</v>
      </c>
      <c r="U209" s="530">
        <f t="shared" ref="U209:V209" si="822">U551</f>
        <v>0</v>
      </c>
      <c r="V209" s="529">
        <f t="shared" si="822"/>
        <v>0</v>
      </c>
      <c r="W209" s="1001" t="s">
        <v>701</v>
      </c>
      <c r="X209" s="1001" t="s">
        <v>701</v>
      </c>
      <c r="Y209" s="529">
        <f t="shared" ref="Y209" si="823">Y551</f>
        <v>0</v>
      </c>
      <c r="Z209" s="1001" t="s">
        <v>701</v>
      </c>
      <c r="AA209" s="1098"/>
      <c r="AB209" s="1091"/>
      <c r="AC209" s="1099"/>
      <c r="AD209" s="1100">
        <f t="shared" si="811"/>
        <v>0</v>
      </c>
      <c r="AE209" s="1091"/>
      <c r="AF209" s="1091"/>
      <c r="AG209" s="1091"/>
      <c r="AH209" s="1091"/>
      <c r="AI209" s="1091"/>
      <c r="AJ209" s="1041" t="str">
        <f t="shared" si="799"/>
        <v/>
      </c>
    </row>
    <row r="210" spans="4:36" ht="11.25" customHeight="1" x14ac:dyDescent="0.2">
      <c r="D210" s="1092"/>
      <c r="E210" s="1093"/>
      <c r="F210" s="1093"/>
      <c r="G210" s="1093"/>
      <c r="H210" s="1094"/>
      <c r="I210" s="1095"/>
      <c r="J210" s="1096"/>
      <c r="K210" s="1096"/>
      <c r="L210" s="1096"/>
      <c r="M210" s="1097"/>
      <c r="N210" s="528">
        <f t="shared" ref="N210:P210" si="824">N552</f>
        <v>0</v>
      </c>
      <c r="O210" s="529">
        <f t="shared" si="824"/>
        <v>0</v>
      </c>
      <c r="P210" s="529">
        <f t="shared" si="824"/>
        <v>0</v>
      </c>
      <c r="Q210" s="1001" t="s">
        <v>701</v>
      </c>
      <c r="R210" s="528">
        <f t="shared" ref="R210:S210" si="825">R552</f>
        <v>0</v>
      </c>
      <c r="S210" s="529">
        <f t="shared" si="825"/>
        <v>0</v>
      </c>
      <c r="T210" s="1001" t="s">
        <v>701</v>
      </c>
      <c r="U210" s="530">
        <f t="shared" ref="U210:V210" si="826">U552</f>
        <v>0</v>
      </c>
      <c r="V210" s="529">
        <f t="shared" si="826"/>
        <v>0</v>
      </c>
      <c r="W210" s="1001" t="s">
        <v>701</v>
      </c>
      <c r="X210" s="1001" t="s">
        <v>701</v>
      </c>
      <c r="Y210" s="529">
        <f t="shared" ref="Y210" si="827">Y552</f>
        <v>0</v>
      </c>
      <c r="Z210" s="1001" t="s">
        <v>701</v>
      </c>
      <c r="AA210" s="1098"/>
      <c r="AB210" s="1091"/>
      <c r="AC210" s="1099"/>
      <c r="AD210" s="1100">
        <f t="shared" si="811"/>
        <v>0</v>
      </c>
      <c r="AE210" s="1091"/>
      <c r="AF210" s="1091"/>
      <c r="AG210" s="1091"/>
      <c r="AH210" s="1091"/>
      <c r="AI210" s="1091"/>
      <c r="AJ210" s="1041" t="str">
        <f t="shared" si="799"/>
        <v/>
      </c>
    </row>
    <row r="211" spans="4:36" ht="11.25" customHeight="1" x14ac:dyDescent="0.2">
      <c r="D211" s="1092"/>
      <c r="E211" s="1093"/>
      <c r="F211" s="1093"/>
      <c r="G211" s="1093"/>
      <c r="H211" s="1094"/>
      <c r="I211" s="1095"/>
      <c r="J211" s="1096"/>
      <c r="K211" s="1096"/>
      <c r="L211" s="1096"/>
      <c r="M211" s="1097"/>
      <c r="N211" s="528">
        <f t="shared" ref="N211:P211" si="828">N553</f>
        <v>0</v>
      </c>
      <c r="O211" s="529">
        <f t="shared" si="828"/>
        <v>0</v>
      </c>
      <c r="P211" s="529">
        <f t="shared" si="828"/>
        <v>0</v>
      </c>
      <c r="Q211" s="1001" t="s">
        <v>701</v>
      </c>
      <c r="R211" s="528">
        <f t="shared" ref="R211:S211" si="829">R553</f>
        <v>0</v>
      </c>
      <c r="S211" s="529">
        <f t="shared" si="829"/>
        <v>0</v>
      </c>
      <c r="T211" s="1001" t="s">
        <v>701</v>
      </c>
      <c r="U211" s="530">
        <f t="shared" ref="U211:V211" si="830">U553</f>
        <v>0</v>
      </c>
      <c r="V211" s="529">
        <f t="shared" si="830"/>
        <v>0</v>
      </c>
      <c r="W211" s="1001" t="s">
        <v>701</v>
      </c>
      <c r="X211" s="1001" t="s">
        <v>701</v>
      </c>
      <c r="Y211" s="529">
        <f t="shared" ref="Y211" si="831">Y553</f>
        <v>0</v>
      </c>
      <c r="Z211" s="1001" t="s">
        <v>701</v>
      </c>
      <c r="AA211" s="1098"/>
      <c r="AB211" s="1091"/>
      <c r="AC211" s="1099"/>
      <c r="AD211" s="1100">
        <f t="shared" si="811"/>
        <v>0</v>
      </c>
      <c r="AE211" s="1091"/>
      <c r="AF211" s="1091"/>
      <c r="AG211" s="1091"/>
      <c r="AH211" s="1091"/>
      <c r="AI211" s="1091"/>
      <c r="AJ211" s="1041" t="str">
        <f t="shared" si="799"/>
        <v/>
      </c>
    </row>
    <row r="212" spans="4:36" ht="11.25" customHeight="1" thickBot="1" x14ac:dyDescent="0.25">
      <c r="D212" s="532" t="s">
        <v>418</v>
      </c>
      <c r="E212" s="533"/>
      <c r="F212" s="534"/>
      <c r="G212" s="535"/>
      <c r="H212" s="535"/>
      <c r="I212" s="534"/>
      <c r="J212" s="535"/>
      <c r="K212" s="535"/>
      <c r="L212" s="535"/>
      <c r="M212" s="536"/>
      <c r="N212" s="913">
        <f>SUM(N206:N211)</f>
        <v>0</v>
      </c>
      <c r="O212" s="913">
        <f t="shared" ref="O212" si="832">SUM(O206:O211)</f>
        <v>0</v>
      </c>
      <c r="P212" s="914"/>
      <c r="Q212" s="1002" t="s">
        <v>701</v>
      </c>
      <c r="R212" s="915"/>
      <c r="S212" s="916">
        <f t="shared" ref="S212" si="833">SUM(S206:S211)</f>
        <v>0</v>
      </c>
      <c r="T212" s="1003" t="s">
        <v>701</v>
      </c>
      <c r="U212" s="915"/>
      <c r="V212" s="916">
        <f t="shared" ref="V212:Y212" si="834">SUM(V206:V211)</f>
        <v>0</v>
      </c>
      <c r="W212" s="1003" t="s">
        <v>701</v>
      </c>
      <c r="X212" s="1003" t="s">
        <v>701</v>
      </c>
      <c r="Y212" s="916">
        <f t="shared" si="834"/>
        <v>0</v>
      </c>
      <c r="Z212" s="1003" t="s">
        <v>701</v>
      </c>
      <c r="AA212" s="1003" t="s">
        <v>701</v>
      </c>
      <c r="AB212" s="1004" t="s">
        <v>701</v>
      </c>
      <c r="AC212" s="1005" t="s">
        <v>701</v>
      </c>
      <c r="AD212" s="917"/>
      <c r="AE212" s="1004" t="s">
        <v>701</v>
      </c>
      <c r="AF212" s="1004" t="s">
        <v>701</v>
      </c>
      <c r="AG212" s="1004" t="s">
        <v>701</v>
      </c>
      <c r="AH212" s="1004" t="s">
        <v>701</v>
      </c>
      <c r="AI212" s="1004" t="s">
        <v>701</v>
      </c>
      <c r="AJ212" s="1042" t="str">
        <f t="shared" si="799"/>
        <v/>
      </c>
    </row>
    <row r="213" spans="4:36" ht="11.25" customHeight="1" x14ac:dyDescent="0.25">
      <c r="D213" s="1092" t="str">
        <f>D555</f>
        <v>Stockdill Substation and Protection System (VNI)</v>
      </c>
      <c r="E213" s="1093" t="str">
        <f t="shared" ref="E213:P213" si="835">E555</f>
        <v>Transmission substation</v>
      </c>
      <c r="F213" s="1093">
        <f t="shared" si="835"/>
        <v>2148</v>
      </c>
      <c r="G213" s="1093" t="str">
        <f t="shared" si="835"/>
        <v>Capacity upgrade</v>
      </c>
      <c r="H213" s="1094" t="str">
        <f t="shared" si="835"/>
        <v>Net market benefit</v>
      </c>
      <c r="I213" s="1095" t="str">
        <f t="shared" si="835"/>
        <v>330/132</v>
      </c>
      <c r="J213" s="1096">
        <f t="shared" si="835"/>
        <v>375</v>
      </c>
      <c r="K213" s="1096">
        <f t="shared" si="835"/>
        <v>375</v>
      </c>
      <c r="L213" s="1096">
        <f t="shared" si="835"/>
        <v>0</v>
      </c>
      <c r="M213" s="1097">
        <f t="shared" si="835"/>
        <v>0</v>
      </c>
      <c r="N213" s="522">
        <f t="shared" si="835"/>
        <v>0</v>
      </c>
      <c r="O213" s="523">
        <f t="shared" si="835"/>
        <v>0</v>
      </c>
      <c r="P213" s="524">
        <f t="shared" si="835"/>
        <v>0</v>
      </c>
      <c r="Q213" s="1000" t="s">
        <v>701</v>
      </c>
      <c r="R213" s="525">
        <f t="shared" ref="R213:S213" si="836">R555</f>
        <v>0</v>
      </c>
      <c r="S213" s="524">
        <f t="shared" si="836"/>
        <v>0</v>
      </c>
      <c r="T213" s="1000" t="s">
        <v>701</v>
      </c>
      <c r="U213" s="526" t="str">
        <f t="shared" ref="U213:V213" si="837">U555</f>
        <v>Series Compensator</v>
      </c>
      <c r="V213" s="524">
        <f t="shared" si="837"/>
        <v>9</v>
      </c>
      <c r="W213" s="1000" t="s">
        <v>701</v>
      </c>
      <c r="X213" s="1000" t="s">
        <v>701</v>
      </c>
      <c r="Y213" s="527">
        <f t="shared" ref="Y213" si="838">Y555</f>
        <v>27381</v>
      </c>
      <c r="Z213" s="1000" t="s">
        <v>701</v>
      </c>
      <c r="AA213" s="1098" t="s">
        <v>701</v>
      </c>
      <c r="AB213" s="1091" t="s">
        <v>701</v>
      </c>
      <c r="AC213" s="1099"/>
      <c r="AD213" s="1100">
        <f t="shared" ref="AD213:AD218" si="839">AD555</f>
        <v>0</v>
      </c>
      <c r="AE213" s="1091" t="s">
        <v>701</v>
      </c>
      <c r="AF213" s="1091" t="s">
        <v>701</v>
      </c>
      <c r="AG213" s="1091" t="s">
        <v>701</v>
      </c>
      <c r="AH213" s="1091" t="s">
        <v>701</v>
      </c>
      <c r="AI213" s="1091" t="s">
        <v>701</v>
      </c>
      <c r="AJ213" s="1040" t="str">
        <f t="shared" si="799"/>
        <v/>
      </c>
    </row>
    <row r="214" spans="4:36" ht="11.25" customHeight="1" x14ac:dyDescent="0.2">
      <c r="D214" s="1092"/>
      <c r="E214" s="1093"/>
      <c r="F214" s="1093"/>
      <c r="G214" s="1093"/>
      <c r="H214" s="1094"/>
      <c r="I214" s="1095"/>
      <c r="J214" s="1096"/>
      <c r="K214" s="1096"/>
      <c r="L214" s="1096"/>
      <c r="M214" s="1097"/>
      <c r="N214" s="528">
        <f t="shared" ref="N214:P214" si="840">N556</f>
        <v>0</v>
      </c>
      <c r="O214" s="529">
        <f t="shared" si="840"/>
        <v>0</v>
      </c>
      <c r="P214" s="529">
        <f t="shared" si="840"/>
        <v>0</v>
      </c>
      <c r="Q214" s="1001" t="s">
        <v>701</v>
      </c>
      <c r="R214" s="528">
        <f t="shared" ref="R214:S214" si="841">R556</f>
        <v>0</v>
      </c>
      <c r="S214" s="529">
        <f t="shared" si="841"/>
        <v>0</v>
      </c>
      <c r="T214" s="1001" t="s">
        <v>701</v>
      </c>
      <c r="U214" s="530">
        <f t="shared" ref="U214:V214" si="842">U556</f>
        <v>0</v>
      </c>
      <c r="V214" s="529">
        <f t="shared" si="842"/>
        <v>0</v>
      </c>
      <c r="W214" s="1001" t="s">
        <v>701</v>
      </c>
      <c r="X214" s="1001" t="s">
        <v>701</v>
      </c>
      <c r="Y214" s="531">
        <f t="shared" ref="Y214" si="843">Y556</f>
        <v>0</v>
      </c>
      <c r="Z214" s="1001" t="s">
        <v>701</v>
      </c>
      <c r="AA214" s="1098"/>
      <c r="AB214" s="1091"/>
      <c r="AC214" s="1099"/>
      <c r="AD214" s="1100">
        <f t="shared" si="839"/>
        <v>0</v>
      </c>
      <c r="AE214" s="1091"/>
      <c r="AF214" s="1091"/>
      <c r="AG214" s="1091"/>
      <c r="AH214" s="1091"/>
      <c r="AI214" s="1091"/>
      <c r="AJ214" s="1041" t="str">
        <f t="shared" si="799"/>
        <v/>
      </c>
    </row>
    <row r="215" spans="4:36" ht="11.25" customHeight="1" x14ac:dyDescent="0.2">
      <c r="D215" s="1092"/>
      <c r="E215" s="1093"/>
      <c r="F215" s="1093"/>
      <c r="G215" s="1093"/>
      <c r="H215" s="1094"/>
      <c r="I215" s="1095"/>
      <c r="J215" s="1096"/>
      <c r="K215" s="1096"/>
      <c r="L215" s="1096"/>
      <c r="M215" s="1097"/>
      <c r="N215" s="528">
        <f t="shared" ref="N215:P215" si="844">N557</f>
        <v>0</v>
      </c>
      <c r="O215" s="529">
        <f t="shared" si="844"/>
        <v>0</v>
      </c>
      <c r="P215" s="529">
        <f t="shared" si="844"/>
        <v>0</v>
      </c>
      <c r="Q215" s="1001" t="s">
        <v>701</v>
      </c>
      <c r="R215" s="528">
        <f t="shared" ref="R215:S215" si="845">R557</f>
        <v>0</v>
      </c>
      <c r="S215" s="529">
        <f t="shared" si="845"/>
        <v>0</v>
      </c>
      <c r="T215" s="1001" t="s">
        <v>701</v>
      </c>
      <c r="U215" s="530">
        <f t="shared" ref="U215:V215" si="846">U557</f>
        <v>0</v>
      </c>
      <c r="V215" s="529">
        <f t="shared" si="846"/>
        <v>0</v>
      </c>
      <c r="W215" s="1001" t="s">
        <v>701</v>
      </c>
      <c r="X215" s="1001" t="s">
        <v>701</v>
      </c>
      <c r="Y215" s="529">
        <f t="shared" ref="Y215" si="847">Y557</f>
        <v>0</v>
      </c>
      <c r="Z215" s="1001" t="s">
        <v>701</v>
      </c>
      <c r="AA215" s="1098"/>
      <c r="AB215" s="1091"/>
      <c r="AC215" s="1099"/>
      <c r="AD215" s="1100">
        <f t="shared" si="839"/>
        <v>0</v>
      </c>
      <c r="AE215" s="1091"/>
      <c r="AF215" s="1091"/>
      <c r="AG215" s="1091"/>
      <c r="AH215" s="1091"/>
      <c r="AI215" s="1091"/>
      <c r="AJ215" s="1041" t="str">
        <f t="shared" si="799"/>
        <v/>
      </c>
    </row>
    <row r="216" spans="4:36" ht="11.25" customHeight="1" x14ac:dyDescent="0.2">
      <c r="D216" s="1092"/>
      <c r="E216" s="1093"/>
      <c r="F216" s="1093"/>
      <c r="G216" s="1093"/>
      <c r="H216" s="1094"/>
      <c r="I216" s="1095"/>
      <c r="J216" s="1096"/>
      <c r="K216" s="1096"/>
      <c r="L216" s="1096"/>
      <c r="M216" s="1097"/>
      <c r="N216" s="528">
        <f t="shared" ref="N216:P216" si="848">N558</f>
        <v>0</v>
      </c>
      <c r="O216" s="529">
        <f t="shared" si="848"/>
        <v>0</v>
      </c>
      <c r="P216" s="529">
        <f t="shared" si="848"/>
        <v>0</v>
      </c>
      <c r="Q216" s="1001" t="s">
        <v>701</v>
      </c>
      <c r="R216" s="528">
        <f t="shared" ref="R216:S216" si="849">R558</f>
        <v>0</v>
      </c>
      <c r="S216" s="529">
        <f t="shared" si="849"/>
        <v>0</v>
      </c>
      <c r="T216" s="1001" t="s">
        <v>701</v>
      </c>
      <c r="U216" s="530">
        <f t="shared" ref="U216:V216" si="850">U558</f>
        <v>0</v>
      </c>
      <c r="V216" s="529">
        <f t="shared" si="850"/>
        <v>0</v>
      </c>
      <c r="W216" s="1001" t="s">
        <v>701</v>
      </c>
      <c r="X216" s="1001" t="s">
        <v>701</v>
      </c>
      <c r="Y216" s="529">
        <f t="shared" ref="Y216" si="851">Y558</f>
        <v>0</v>
      </c>
      <c r="Z216" s="1001" t="s">
        <v>701</v>
      </c>
      <c r="AA216" s="1098"/>
      <c r="AB216" s="1091"/>
      <c r="AC216" s="1099"/>
      <c r="AD216" s="1100">
        <f t="shared" si="839"/>
        <v>0</v>
      </c>
      <c r="AE216" s="1091"/>
      <c r="AF216" s="1091"/>
      <c r="AG216" s="1091"/>
      <c r="AH216" s="1091"/>
      <c r="AI216" s="1091"/>
      <c r="AJ216" s="1041" t="str">
        <f t="shared" si="799"/>
        <v/>
      </c>
    </row>
    <row r="217" spans="4:36" ht="11.25" customHeight="1" x14ac:dyDescent="0.2">
      <c r="D217" s="1092"/>
      <c r="E217" s="1093"/>
      <c r="F217" s="1093"/>
      <c r="G217" s="1093"/>
      <c r="H217" s="1094"/>
      <c r="I217" s="1095"/>
      <c r="J217" s="1096"/>
      <c r="K217" s="1096"/>
      <c r="L217" s="1096"/>
      <c r="M217" s="1097"/>
      <c r="N217" s="528">
        <f t="shared" ref="N217:P217" si="852">N559</f>
        <v>0</v>
      </c>
      <c r="O217" s="529">
        <f t="shared" si="852"/>
        <v>0</v>
      </c>
      <c r="P217" s="529">
        <f t="shared" si="852"/>
        <v>0</v>
      </c>
      <c r="Q217" s="1001" t="s">
        <v>701</v>
      </c>
      <c r="R217" s="528">
        <f t="shared" ref="R217:S217" si="853">R559</f>
        <v>0</v>
      </c>
      <c r="S217" s="529">
        <f t="shared" si="853"/>
        <v>0</v>
      </c>
      <c r="T217" s="1001" t="s">
        <v>701</v>
      </c>
      <c r="U217" s="530">
        <f t="shared" ref="U217:V217" si="854">U559</f>
        <v>0</v>
      </c>
      <c r="V217" s="529">
        <f t="shared" si="854"/>
        <v>0</v>
      </c>
      <c r="W217" s="1001" t="s">
        <v>701</v>
      </c>
      <c r="X217" s="1001" t="s">
        <v>701</v>
      </c>
      <c r="Y217" s="529">
        <f t="shared" ref="Y217" si="855">Y559</f>
        <v>0</v>
      </c>
      <c r="Z217" s="1001" t="s">
        <v>701</v>
      </c>
      <c r="AA217" s="1098"/>
      <c r="AB217" s="1091"/>
      <c r="AC217" s="1099"/>
      <c r="AD217" s="1100">
        <f t="shared" si="839"/>
        <v>0</v>
      </c>
      <c r="AE217" s="1091"/>
      <c r="AF217" s="1091"/>
      <c r="AG217" s="1091"/>
      <c r="AH217" s="1091"/>
      <c r="AI217" s="1091"/>
      <c r="AJ217" s="1041" t="str">
        <f t="shared" si="799"/>
        <v/>
      </c>
    </row>
    <row r="218" spans="4:36" ht="11.25" customHeight="1" x14ac:dyDescent="0.2">
      <c r="D218" s="1092"/>
      <c r="E218" s="1093"/>
      <c r="F218" s="1093"/>
      <c r="G218" s="1093"/>
      <c r="H218" s="1094"/>
      <c r="I218" s="1095"/>
      <c r="J218" s="1096"/>
      <c r="K218" s="1096"/>
      <c r="L218" s="1096"/>
      <c r="M218" s="1097"/>
      <c r="N218" s="528">
        <f t="shared" ref="N218:P218" si="856">N560</f>
        <v>0</v>
      </c>
      <c r="O218" s="529">
        <f t="shared" si="856"/>
        <v>0</v>
      </c>
      <c r="P218" s="529">
        <f t="shared" si="856"/>
        <v>0</v>
      </c>
      <c r="Q218" s="1001" t="s">
        <v>701</v>
      </c>
      <c r="R218" s="528">
        <f t="shared" ref="R218:S218" si="857">R560</f>
        <v>0</v>
      </c>
      <c r="S218" s="529">
        <f t="shared" si="857"/>
        <v>0</v>
      </c>
      <c r="T218" s="1001" t="s">
        <v>701</v>
      </c>
      <c r="U218" s="530">
        <f t="shared" ref="U218:V218" si="858">U560</f>
        <v>0</v>
      </c>
      <c r="V218" s="529">
        <f t="shared" si="858"/>
        <v>0</v>
      </c>
      <c r="W218" s="1001" t="s">
        <v>701</v>
      </c>
      <c r="X218" s="1001" t="s">
        <v>701</v>
      </c>
      <c r="Y218" s="529">
        <f t="shared" ref="Y218" si="859">Y560</f>
        <v>0</v>
      </c>
      <c r="Z218" s="1001" t="s">
        <v>701</v>
      </c>
      <c r="AA218" s="1098"/>
      <c r="AB218" s="1091"/>
      <c r="AC218" s="1099"/>
      <c r="AD218" s="1100">
        <f t="shared" si="839"/>
        <v>0</v>
      </c>
      <c r="AE218" s="1091"/>
      <c r="AF218" s="1091"/>
      <c r="AG218" s="1091"/>
      <c r="AH218" s="1091"/>
      <c r="AI218" s="1091"/>
      <c r="AJ218" s="1041" t="str">
        <f t="shared" si="799"/>
        <v/>
      </c>
    </row>
    <row r="219" spans="4:36" ht="11.25" customHeight="1" thickBot="1" x14ac:dyDescent="0.25">
      <c r="D219" s="532" t="s">
        <v>418</v>
      </c>
      <c r="E219" s="533"/>
      <c r="F219" s="534"/>
      <c r="G219" s="535"/>
      <c r="H219" s="535"/>
      <c r="I219" s="534"/>
      <c r="J219" s="535"/>
      <c r="K219" s="535"/>
      <c r="L219" s="535"/>
      <c r="M219" s="536"/>
      <c r="N219" s="913">
        <f>SUM(N213:N218)</f>
        <v>0</v>
      </c>
      <c r="O219" s="913">
        <f t="shared" ref="O219" si="860">SUM(O213:O218)</f>
        <v>0</v>
      </c>
      <c r="P219" s="914"/>
      <c r="Q219" s="1002" t="s">
        <v>701</v>
      </c>
      <c r="R219" s="915"/>
      <c r="S219" s="916">
        <f t="shared" ref="S219" si="861">SUM(S213:S218)</f>
        <v>0</v>
      </c>
      <c r="T219" s="1003" t="s">
        <v>701</v>
      </c>
      <c r="U219" s="915"/>
      <c r="V219" s="916">
        <f t="shared" ref="V219:Y219" si="862">SUM(V213:V218)</f>
        <v>9</v>
      </c>
      <c r="W219" s="1003" t="s">
        <v>701</v>
      </c>
      <c r="X219" s="1003" t="s">
        <v>701</v>
      </c>
      <c r="Y219" s="916">
        <f t="shared" si="862"/>
        <v>27381</v>
      </c>
      <c r="Z219" s="1003" t="s">
        <v>701</v>
      </c>
      <c r="AA219" s="1003" t="s">
        <v>701</v>
      </c>
      <c r="AB219" s="1004" t="s">
        <v>701</v>
      </c>
      <c r="AC219" s="1005" t="s">
        <v>701</v>
      </c>
      <c r="AD219" s="917"/>
      <c r="AE219" s="1004" t="s">
        <v>701</v>
      </c>
      <c r="AF219" s="1004" t="s">
        <v>701</v>
      </c>
      <c r="AG219" s="1004" t="s">
        <v>701</v>
      </c>
      <c r="AH219" s="1004" t="s">
        <v>701</v>
      </c>
      <c r="AI219" s="1004" t="s">
        <v>701</v>
      </c>
      <c r="AJ219" s="1042" t="str">
        <f t="shared" si="799"/>
        <v/>
      </c>
    </row>
    <row r="220" spans="4:36" ht="11.25" customHeight="1" x14ac:dyDescent="0.25">
      <c r="D220" s="1092" t="str">
        <f>D562</f>
        <v>Yass Substation and Protection System (VNI)</v>
      </c>
      <c r="E220" s="1093" t="str">
        <f t="shared" ref="E220:P220" si="863">E562</f>
        <v>Transmission substation</v>
      </c>
      <c r="F220" s="1093">
        <f t="shared" si="863"/>
        <v>2148</v>
      </c>
      <c r="G220" s="1093" t="str">
        <f t="shared" si="863"/>
        <v>Capacity upgrade</v>
      </c>
      <c r="H220" s="1094" t="str">
        <f t="shared" si="863"/>
        <v>Net market benefit</v>
      </c>
      <c r="I220" s="1095" t="str">
        <f t="shared" si="863"/>
        <v>330/132</v>
      </c>
      <c r="J220" s="1096">
        <f t="shared" si="863"/>
        <v>400</v>
      </c>
      <c r="K220" s="1096">
        <f t="shared" si="863"/>
        <v>400</v>
      </c>
      <c r="L220" s="1096">
        <f t="shared" si="863"/>
        <v>200</v>
      </c>
      <c r="M220" s="1097">
        <f t="shared" si="863"/>
        <v>200</v>
      </c>
      <c r="N220" s="522">
        <f t="shared" si="863"/>
        <v>0</v>
      </c>
      <c r="O220" s="523">
        <f t="shared" si="863"/>
        <v>0</v>
      </c>
      <c r="P220" s="524">
        <f t="shared" si="863"/>
        <v>0</v>
      </c>
      <c r="Q220" s="1000" t="s">
        <v>701</v>
      </c>
      <c r="R220" s="525">
        <f t="shared" ref="R220:S220" si="864">R562</f>
        <v>0</v>
      </c>
      <c r="S220" s="524">
        <f t="shared" si="864"/>
        <v>0</v>
      </c>
      <c r="T220" s="1000" t="s">
        <v>701</v>
      </c>
      <c r="U220" s="526" t="str">
        <f t="shared" ref="U220:V220" si="865">U562</f>
        <v>Series Compensator</v>
      </c>
      <c r="V220" s="524">
        <f t="shared" si="865"/>
        <v>6</v>
      </c>
      <c r="W220" s="1000" t="s">
        <v>701</v>
      </c>
      <c r="X220" s="1000" t="s">
        <v>701</v>
      </c>
      <c r="Y220" s="527">
        <f t="shared" ref="Y220" si="866">Y562</f>
        <v>900</v>
      </c>
      <c r="Z220" s="1000" t="s">
        <v>701</v>
      </c>
      <c r="AA220" s="1098" t="s">
        <v>701</v>
      </c>
      <c r="AB220" s="1091" t="s">
        <v>701</v>
      </c>
      <c r="AC220" s="1099"/>
      <c r="AD220" s="1100">
        <f t="shared" ref="AD220:AD225" si="867">AD562</f>
        <v>0</v>
      </c>
      <c r="AE220" s="1091" t="s">
        <v>701</v>
      </c>
      <c r="AF220" s="1091" t="s">
        <v>701</v>
      </c>
      <c r="AG220" s="1091" t="s">
        <v>701</v>
      </c>
      <c r="AH220" s="1091" t="s">
        <v>701</v>
      </c>
      <c r="AI220" s="1091" t="s">
        <v>701</v>
      </c>
      <c r="AJ220" s="1040" t="str">
        <f t="shared" si="799"/>
        <v/>
      </c>
    </row>
    <row r="221" spans="4:36" ht="11.25" customHeight="1" x14ac:dyDescent="0.2">
      <c r="D221" s="1092"/>
      <c r="E221" s="1093"/>
      <c r="F221" s="1093"/>
      <c r="G221" s="1093"/>
      <c r="H221" s="1094"/>
      <c r="I221" s="1095"/>
      <c r="J221" s="1096"/>
      <c r="K221" s="1096"/>
      <c r="L221" s="1096"/>
      <c r="M221" s="1097"/>
      <c r="N221" s="528">
        <f t="shared" ref="N221:P221" si="868">N563</f>
        <v>0</v>
      </c>
      <c r="O221" s="529">
        <f t="shared" si="868"/>
        <v>0</v>
      </c>
      <c r="P221" s="529">
        <f t="shared" si="868"/>
        <v>0</v>
      </c>
      <c r="Q221" s="1001" t="s">
        <v>701</v>
      </c>
      <c r="R221" s="528">
        <f t="shared" ref="R221:S221" si="869">R563</f>
        <v>0</v>
      </c>
      <c r="S221" s="529">
        <f t="shared" si="869"/>
        <v>0</v>
      </c>
      <c r="T221" s="1001" t="s">
        <v>701</v>
      </c>
      <c r="U221" s="530">
        <f t="shared" ref="U221:V221" si="870">U563</f>
        <v>0</v>
      </c>
      <c r="V221" s="529">
        <f t="shared" si="870"/>
        <v>0</v>
      </c>
      <c r="W221" s="1001" t="s">
        <v>701</v>
      </c>
      <c r="X221" s="1001" t="s">
        <v>701</v>
      </c>
      <c r="Y221" s="531">
        <f t="shared" ref="Y221" si="871">Y563</f>
        <v>0</v>
      </c>
      <c r="Z221" s="1001" t="s">
        <v>701</v>
      </c>
      <c r="AA221" s="1098"/>
      <c r="AB221" s="1091"/>
      <c r="AC221" s="1099"/>
      <c r="AD221" s="1100">
        <f t="shared" si="867"/>
        <v>0</v>
      </c>
      <c r="AE221" s="1091"/>
      <c r="AF221" s="1091"/>
      <c r="AG221" s="1091"/>
      <c r="AH221" s="1091"/>
      <c r="AI221" s="1091"/>
      <c r="AJ221" s="1041" t="str">
        <f t="shared" si="799"/>
        <v/>
      </c>
    </row>
    <row r="222" spans="4:36" ht="11.25" customHeight="1" x14ac:dyDescent="0.2">
      <c r="D222" s="1092"/>
      <c r="E222" s="1093"/>
      <c r="F222" s="1093"/>
      <c r="G222" s="1093"/>
      <c r="H222" s="1094"/>
      <c r="I222" s="1095"/>
      <c r="J222" s="1096"/>
      <c r="K222" s="1096"/>
      <c r="L222" s="1096"/>
      <c r="M222" s="1097"/>
      <c r="N222" s="528">
        <f t="shared" ref="N222:P222" si="872">N564</f>
        <v>0</v>
      </c>
      <c r="O222" s="529">
        <f t="shared" si="872"/>
        <v>0</v>
      </c>
      <c r="P222" s="529">
        <f t="shared" si="872"/>
        <v>0</v>
      </c>
      <c r="Q222" s="1001" t="s">
        <v>701</v>
      </c>
      <c r="R222" s="528">
        <f t="shared" ref="R222:S222" si="873">R564</f>
        <v>0</v>
      </c>
      <c r="S222" s="529">
        <f t="shared" si="873"/>
        <v>0</v>
      </c>
      <c r="T222" s="1001" t="s">
        <v>701</v>
      </c>
      <c r="U222" s="530">
        <f t="shared" ref="U222:V222" si="874">U564</f>
        <v>0</v>
      </c>
      <c r="V222" s="529">
        <f t="shared" si="874"/>
        <v>0</v>
      </c>
      <c r="W222" s="1001" t="s">
        <v>701</v>
      </c>
      <c r="X222" s="1001" t="s">
        <v>701</v>
      </c>
      <c r="Y222" s="529">
        <f t="shared" ref="Y222" si="875">Y564</f>
        <v>0</v>
      </c>
      <c r="Z222" s="1001" t="s">
        <v>701</v>
      </c>
      <c r="AA222" s="1098"/>
      <c r="AB222" s="1091"/>
      <c r="AC222" s="1099"/>
      <c r="AD222" s="1100">
        <f t="shared" si="867"/>
        <v>0</v>
      </c>
      <c r="AE222" s="1091"/>
      <c r="AF222" s="1091"/>
      <c r="AG222" s="1091"/>
      <c r="AH222" s="1091"/>
      <c r="AI222" s="1091"/>
      <c r="AJ222" s="1041" t="str">
        <f t="shared" si="799"/>
        <v/>
      </c>
    </row>
    <row r="223" spans="4:36" ht="11.25" customHeight="1" x14ac:dyDescent="0.2">
      <c r="D223" s="1092"/>
      <c r="E223" s="1093"/>
      <c r="F223" s="1093"/>
      <c r="G223" s="1093"/>
      <c r="H223" s="1094"/>
      <c r="I223" s="1095"/>
      <c r="J223" s="1096"/>
      <c r="K223" s="1096"/>
      <c r="L223" s="1096"/>
      <c r="M223" s="1097"/>
      <c r="N223" s="528">
        <f t="shared" ref="N223:P223" si="876">N565</f>
        <v>0</v>
      </c>
      <c r="O223" s="529">
        <f t="shared" si="876"/>
        <v>0</v>
      </c>
      <c r="P223" s="529">
        <f t="shared" si="876"/>
        <v>0</v>
      </c>
      <c r="Q223" s="1001" t="s">
        <v>701</v>
      </c>
      <c r="R223" s="528">
        <f t="shared" ref="R223:S223" si="877">R565</f>
        <v>0</v>
      </c>
      <c r="S223" s="529">
        <f t="shared" si="877"/>
        <v>0</v>
      </c>
      <c r="T223" s="1001" t="s">
        <v>701</v>
      </c>
      <c r="U223" s="530">
        <f t="shared" ref="U223:V223" si="878">U565</f>
        <v>0</v>
      </c>
      <c r="V223" s="529">
        <f t="shared" si="878"/>
        <v>0</v>
      </c>
      <c r="W223" s="1001" t="s">
        <v>701</v>
      </c>
      <c r="X223" s="1001" t="s">
        <v>701</v>
      </c>
      <c r="Y223" s="529">
        <f t="shared" ref="Y223" si="879">Y565</f>
        <v>0</v>
      </c>
      <c r="Z223" s="1001" t="s">
        <v>701</v>
      </c>
      <c r="AA223" s="1098"/>
      <c r="AB223" s="1091"/>
      <c r="AC223" s="1099"/>
      <c r="AD223" s="1100">
        <f t="shared" si="867"/>
        <v>0</v>
      </c>
      <c r="AE223" s="1091"/>
      <c r="AF223" s="1091"/>
      <c r="AG223" s="1091"/>
      <c r="AH223" s="1091"/>
      <c r="AI223" s="1091"/>
      <c r="AJ223" s="1041" t="str">
        <f t="shared" si="799"/>
        <v/>
      </c>
    </row>
    <row r="224" spans="4:36" ht="11.25" customHeight="1" x14ac:dyDescent="0.2">
      <c r="D224" s="1092"/>
      <c r="E224" s="1093"/>
      <c r="F224" s="1093"/>
      <c r="G224" s="1093"/>
      <c r="H224" s="1094"/>
      <c r="I224" s="1095"/>
      <c r="J224" s="1096"/>
      <c r="K224" s="1096"/>
      <c r="L224" s="1096"/>
      <c r="M224" s="1097"/>
      <c r="N224" s="528">
        <f t="shared" ref="N224:P224" si="880">N566</f>
        <v>0</v>
      </c>
      <c r="O224" s="529">
        <f t="shared" si="880"/>
        <v>0</v>
      </c>
      <c r="P224" s="529">
        <f t="shared" si="880"/>
        <v>0</v>
      </c>
      <c r="Q224" s="1001" t="s">
        <v>701</v>
      </c>
      <c r="R224" s="528">
        <f t="shared" ref="R224:S224" si="881">R566</f>
        <v>0</v>
      </c>
      <c r="S224" s="529">
        <f t="shared" si="881"/>
        <v>0</v>
      </c>
      <c r="T224" s="1001" t="s">
        <v>701</v>
      </c>
      <c r="U224" s="530">
        <f t="shared" ref="U224:V224" si="882">U566</f>
        <v>0</v>
      </c>
      <c r="V224" s="529">
        <f t="shared" si="882"/>
        <v>0</v>
      </c>
      <c r="W224" s="1001" t="s">
        <v>701</v>
      </c>
      <c r="X224" s="1001" t="s">
        <v>701</v>
      </c>
      <c r="Y224" s="529">
        <f t="shared" ref="Y224" si="883">Y566</f>
        <v>0</v>
      </c>
      <c r="Z224" s="1001" t="s">
        <v>701</v>
      </c>
      <c r="AA224" s="1098"/>
      <c r="AB224" s="1091"/>
      <c r="AC224" s="1099"/>
      <c r="AD224" s="1100">
        <f t="shared" si="867"/>
        <v>0</v>
      </c>
      <c r="AE224" s="1091"/>
      <c r="AF224" s="1091"/>
      <c r="AG224" s="1091"/>
      <c r="AH224" s="1091"/>
      <c r="AI224" s="1091"/>
      <c r="AJ224" s="1041" t="str">
        <f t="shared" si="799"/>
        <v/>
      </c>
    </row>
    <row r="225" spans="4:36" ht="11.25" customHeight="1" x14ac:dyDescent="0.2">
      <c r="D225" s="1092"/>
      <c r="E225" s="1093"/>
      <c r="F225" s="1093"/>
      <c r="G225" s="1093"/>
      <c r="H225" s="1094"/>
      <c r="I225" s="1095"/>
      <c r="J225" s="1096"/>
      <c r="K225" s="1096"/>
      <c r="L225" s="1096"/>
      <c r="M225" s="1097"/>
      <c r="N225" s="528">
        <f t="shared" ref="N225:P225" si="884">N567</f>
        <v>0</v>
      </c>
      <c r="O225" s="529">
        <f t="shared" si="884"/>
        <v>0</v>
      </c>
      <c r="P225" s="529">
        <f t="shared" si="884"/>
        <v>0</v>
      </c>
      <c r="Q225" s="1001" t="s">
        <v>701</v>
      </c>
      <c r="R225" s="528">
        <f t="shared" ref="R225:S225" si="885">R567</f>
        <v>0</v>
      </c>
      <c r="S225" s="529">
        <f t="shared" si="885"/>
        <v>0</v>
      </c>
      <c r="T225" s="1001" t="s">
        <v>701</v>
      </c>
      <c r="U225" s="530">
        <f t="shared" ref="U225:V225" si="886">U567</f>
        <v>0</v>
      </c>
      <c r="V225" s="529">
        <f t="shared" si="886"/>
        <v>0</v>
      </c>
      <c r="W225" s="1001" t="s">
        <v>701</v>
      </c>
      <c r="X225" s="1001" t="s">
        <v>701</v>
      </c>
      <c r="Y225" s="529">
        <f t="shared" ref="Y225" si="887">Y567</f>
        <v>0</v>
      </c>
      <c r="Z225" s="1001" t="s">
        <v>701</v>
      </c>
      <c r="AA225" s="1098"/>
      <c r="AB225" s="1091"/>
      <c r="AC225" s="1099"/>
      <c r="AD225" s="1100">
        <f t="shared" si="867"/>
        <v>0</v>
      </c>
      <c r="AE225" s="1091"/>
      <c r="AF225" s="1091"/>
      <c r="AG225" s="1091"/>
      <c r="AH225" s="1091"/>
      <c r="AI225" s="1091"/>
      <c r="AJ225" s="1041" t="str">
        <f t="shared" si="799"/>
        <v/>
      </c>
    </row>
    <row r="226" spans="4:36" ht="11.25" customHeight="1" thickBot="1" x14ac:dyDescent="0.25">
      <c r="D226" s="532" t="s">
        <v>418</v>
      </c>
      <c r="E226" s="533"/>
      <c r="F226" s="534"/>
      <c r="G226" s="535"/>
      <c r="H226" s="535"/>
      <c r="I226" s="534"/>
      <c r="J226" s="535"/>
      <c r="K226" s="535"/>
      <c r="L226" s="535"/>
      <c r="M226" s="536"/>
      <c r="N226" s="913">
        <f>SUM(N220:N225)</f>
        <v>0</v>
      </c>
      <c r="O226" s="913">
        <f t="shared" ref="O226" si="888">SUM(O220:O225)</f>
        <v>0</v>
      </c>
      <c r="P226" s="914"/>
      <c r="Q226" s="1002" t="s">
        <v>701</v>
      </c>
      <c r="R226" s="915"/>
      <c r="S226" s="916">
        <f t="shared" ref="S226" si="889">SUM(S220:S225)</f>
        <v>0</v>
      </c>
      <c r="T226" s="1003" t="s">
        <v>701</v>
      </c>
      <c r="U226" s="915"/>
      <c r="V226" s="916">
        <f t="shared" ref="V226:Y226" si="890">SUM(V220:V225)</f>
        <v>6</v>
      </c>
      <c r="W226" s="1003" t="s">
        <v>701</v>
      </c>
      <c r="X226" s="1003" t="s">
        <v>701</v>
      </c>
      <c r="Y226" s="916">
        <f t="shared" si="890"/>
        <v>900</v>
      </c>
      <c r="Z226" s="1003" t="s">
        <v>701</v>
      </c>
      <c r="AA226" s="1003" t="s">
        <v>701</v>
      </c>
      <c r="AB226" s="1004" t="s">
        <v>701</v>
      </c>
      <c r="AC226" s="1005" t="s">
        <v>701</v>
      </c>
      <c r="AD226" s="917"/>
      <c r="AE226" s="1004" t="s">
        <v>701</v>
      </c>
      <c r="AF226" s="1004" t="s">
        <v>701</v>
      </c>
      <c r="AG226" s="1004" t="s">
        <v>701</v>
      </c>
      <c r="AH226" s="1004" t="s">
        <v>701</v>
      </c>
      <c r="AI226" s="1004" t="s">
        <v>701</v>
      </c>
      <c r="AJ226" s="1042" t="str">
        <f t="shared" si="799"/>
        <v/>
      </c>
    </row>
    <row r="227" spans="4:36" ht="11.25" customHeight="1" x14ac:dyDescent="0.25">
      <c r="D227" s="1092" t="str">
        <f>D569</f>
        <v>Upper Tumut Substation Protection System  (VNI)</v>
      </c>
      <c r="E227" s="1093" t="str">
        <f t="shared" ref="E227:P227" si="891">E569</f>
        <v>Switching station</v>
      </c>
      <c r="F227" s="1093">
        <f t="shared" si="891"/>
        <v>2148</v>
      </c>
      <c r="G227" s="1093" t="str">
        <f t="shared" si="891"/>
        <v>Other</v>
      </c>
      <c r="H227" s="1094" t="str">
        <f t="shared" si="891"/>
        <v>Net market benefit</v>
      </c>
      <c r="I227" s="1095">
        <f t="shared" si="891"/>
        <v>330</v>
      </c>
      <c r="J227" s="1096" t="str">
        <f t="shared" si="891"/>
        <v>N/A</v>
      </c>
      <c r="K227" s="1096" t="str">
        <f t="shared" si="891"/>
        <v>N/A</v>
      </c>
      <c r="L227" s="1096" t="str">
        <f t="shared" si="891"/>
        <v>N/A</v>
      </c>
      <c r="M227" s="1097" t="str">
        <f t="shared" si="891"/>
        <v>N/A</v>
      </c>
      <c r="N227" s="522">
        <f t="shared" si="891"/>
        <v>0</v>
      </c>
      <c r="O227" s="523">
        <f t="shared" si="891"/>
        <v>0</v>
      </c>
      <c r="P227" s="524">
        <f t="shared" si="891"/>
        <v>0</v>
      </c>
      <c r="Q227" s="1000" t="s">
        <v>701</v>
      </c>
      <c r="R227" s="525">
        <f t="shared" ref="R227:S227" si="892">R569</f>
        <v>0</v>
      </c>
      <c r="S227" s="524">
        <f t="shared" si="892"/>
        <v>0</v>
      </c>
      <c r="T227" s="1000" t="s">
        <v>701</v>
      </c>
      <c r="U227" s="526">
        <f t="shared" ref="U227:V227" si="893">U569</f>
        <v>0</v>
      </c>
      <c r="V227" s="524">
        <f t="shared" si="893"/>
        <v>0</v>
      </c>
      <c r="W227" s="1000" t="s">
        <v>701</v>
      </c>
      <c r="X227" s="1000" t="s">
        <v>701</v>
      </c>
      <c r="Y227" s="527">
        <f t="shared" ref="Y227" si="894">Y569</f>
        <v>250</v>
      </c>
      <c r="Z227" s="1000" t="s">
        <v>701</v>
      </c>
      <c r="AA227" s="1098" t="s">
        <v>701</v>
      </c>
      <c r="AB227" s="1091" t="s">
        <v>701</v>
      </c>
      <c r="AC227" s="1099"/>
      <c r="AD227" s="1100">
        <f t="shared" ref="AD227:AD232" si="895">AD569</f>
        <v>0</v>
      </c>
      <c r="AE227" s="1091" t="s">
        <v>701</v>
      </c>
      <c r="AF227" s="1091" t="s">
        <v>701</v>
      </c>
      <c r="AG227" s="1091" t="s">
        <v>701</v>
      </c>
      <c r="AH227" s="1091" t="s">
        <v>701</v>
      </c>
      <c r="AI227" s="1091" t="s">
        <v>701</v>
      </c>
      <c r="AJ227" s="1040" t="str">
        <f t="shared" si="799"/>
        <v/>
      </c>
    </row>
    <row r="228" spans="4:36" ht="11.25" customHeight="1" x14ac:dyDescent="0.2">
      <c r="D228" s="1092"/>
      <c r="E228" s="1093"/>
      <c r="F228" s="1093"/>
      <c r="G228" s="1093"/>
      <c r="H228" s="1094"/>
      <c r="I228" s="1095"/>
      <c r="J228" s="1096"/>
      <c r="K228" s="1096"/>
      <c r="L228" s="1096"/>
      <c r="M228" s="1097"/>
      <c r="N228" s="528">
        <f t="shared" ref="N228:P228" si="896">N570</f>
        <v>0</v>
      </c>
      <c r="O228" s="529">
        <f t="shared" si="896"/>
        <v>0</v>
      </c>
      <c r="P228" s="529">
        <f t="shared" si="896"/>
        <v>0</v>
      </c>
      <c r="Q228" s="1001" t="s">
        <v>701</v>
      </c>
      <c r="R228" s="528">
        <f t="shared" ref="R228:S228" si="897">R570</f>
        <v>0</v>
      </c>
      <c r="S228" s="529">
        <f t="shared" si="897"/>
        <v>0</v>
      </c>
      <c r="T228" s="1001" t="s">
        <v>701</v>
      </c>
      <c r="U228" s="530">
        <f t="shared" ref="U228:V228" si="898">U570</f>
        <v>0</v>
      </c>
      <c r="V228" s="529">
        <f t="shared" si="898"/>
        <v>0</v>
      </c>
      <c r="W228" s="1001" t="s">
        <v>701</v>
      </c>
      <c r="X228" s="1001" t="s">
        <v>701</v>
      </c>
      <c r="Y228" s="531">
        <f t="shared" ref="Y228" si="899">Y570</f>
        <v>0</v>
      </c>
      <c r="Z228" s="1001" t="s">
        <v>701</v>
      </c>
      <c r="AA228" s="1098"/>
      <c r="AB228" s="1091"/>
      <c r="AC228" s="1099"/>
      <c r="AD228" s="1100">
        <f t="shared" si="895"/>
        <v>0</v>
      </c>
      <c r="AE228" s="1091"/>
      <c r="AF228" s="1091"/>
      <c r="AG228" s="1091"/>
      <c r="AH228" s="1091"/>
      <c r="AI228" s="1091"/>
      <c r="AJ228" s="1041" t="str">
        <f t="shared" si="799"/>
        <v/>
      </c>
    </row>
    <row r="229" spans="4:36" ht="11.25" customHeight="1" x14ac:dyDescent="0.2">
      <c r="D229" s="1092"/>
      <c r="E229" s="1093"/>
      <c r="F229" s="1093"/>
      <c r="G229" s="1093"/>
      <c r="H229" s="1094"/>
      <c r="I229" s="1095"/>
      <c r="J229" s="1096"/>
      <c r="K229" s="1096"/>
      <c r="L229" s="1096"/>
      <c r="M229" s="1097"/>
      <c r="N229" s="528">
        <f t="shared" ref="N229:P229" si="900">N571</f>
        <v>0</v>
      </c>
      <c r="O229" s="529">
        <f t="shared" si="900"/>
        <v>0</v>
      </c>
      <c r="P229" s="529">
        <f t="shared" si="900"/>
        <v>0</v>
      </c>
      <c r="Q229" s="1001" t="s">
        <v>701</v>
      </c>
      <c r="R229" s="528">
        <f t="shared" ref="R229:S229" si="901">R571</f>
        <v>0</v>
      </c>
      <c r="S229" s="529">
        <f t="shared" si="901"/>
        <v>0</v>
      </c>
      <c r="T229" s="1001" t="s">
        <v>701</v>
      </c>
      <c r="U229" s="530">
        <f t="shared" ref="U229:V229" si="902">U571</f>
        <v>0</v>
      </c>
      <c r="V229" s="529">
        <f t="shared" si="902"/>
        <v>0</v>
      </c>
      <c r="W229" s="1001" t="s">
        <v>701</v>
      </c>
      <c r="X229" s="1001" t="s">
        <v>701</v>
      </c>
      <c r="Y229" s="529">
        <f t="shared" ref="Y229" si="903">Y571</f>
        <v>0</v>
      </c>
      <c r="Z229" s="1001" t="s">
        <v>701</v>
      </c>
      <c r="AA229" s="1098"/>
      <c r="AB229" s="1091"/>
      <c r="AC229" s="1099"/>
      <c r="AD229" s="1100">
        <f t="shared" si="895"/>
        <v>0</v>
      </c>
      <c r="AE229" s="1091"/>
      <c r="AF229" s="1091"/>
      <c r="AG229" s="1091"/>
      <c r="AH229" s="1091"/>
      <c r="AI229" s="1091"/>
      <c r="AJ229" s="1041" t="str">
        <f t="shared" si="799"/>
        <v/>
      </c>
    </row>
    <row r="230" spans="4:36" ht="11.25" customHeight="1" x14ac:dyDescent="0.2">
      <c r="D230" s="1092"/>
      <c r="E230" s="1093"/>
      <c r="F230" s="1093"/>
      <c r="G230" s="1093"/>
      <c r="H230" s="1094"/>
      <c r="I230" s="1095"/>
      <c r="J230" s="1096"/>
      <c r="K230" s="1096"/>
      <c r="L230" s="1096"/>
      <c r="M230" s="1097"/>
      <c r="N230" s="528">
        <f t="shared" ref="N230:P230" si="904">N572</f>
        <v>0</v>
      </c>
      <c r="O230" s="529">
        <f t="shared" si="904"/>
        <v>0</v>
      </c>
      <c r="P230" s="529">
        <f t="shared" si="904"/>
        <v>0</v>
      </c>
      <c r="Q230" s="1001" t="s">
        <v>701</v>
      </c>
      <c r="R230" s="528">
        <f t="shared" ref="R230:S230" si="905">R572</f>
        <v>0</v>
      </c>
      <c r="S230" s="529">
        <f t="shared" si="905"/>
        <v>0</v>
      </c>
      <c r="T230" s="1001" t="s">
        <v>701</v>
      </c>
      <c r="U230" s="530">
        <f t="shared" ref="U230:V230" si="906">U572</f>
        <v>0</v>
      </c>
      <c r="V230" s="529">
        <f t="shared" si="906"/>
        <v>0</v>
      </c>
      <c r="W230" s="1001" t="s">
        <v>701</v>
      </c>
      <c r="X230" s="1001" t="s">
        <v>701</v>
      </c>
      <c r="Y230" s="529">
        <f t="shared" ref="Y230" si="907">Y572</f>
        <v>0</v>
      </c>
      <c r="Z230" s="1001" t="s">
        <v>701</v>
      </c>
      <c r="AA230" s="1098"/>
      <c r="AB230" s="1091"/>
      <c r="AC230" s="1099"/>
      <c r="AD230" s="1100">
        <f t="shared" si="895"/>
        <v>0</v>
      </c>
      <c r="AE230" s="1091"/>
      <c r="AF230" s="1091"/>
      <c r="AG230" s="1091"/>
      <c r="AH230" s="1091"/>
      <c r="AI230" s="1091"/>
      <c r="AJ230" s="1041" t="str">
        <f t="shared" si="799"/>
        <v/>
      </c>
    </row>
    <row r="231" spans="4:36" ht="11.25" customHeight="1" x14ac:dyDescent="0.2">
      <c r="D231" s="1092"/>
      <c r="E231" s="1093"/>
      <c r="F231" s="1093"/>
      <c r="G231" s="1093"/>
      <c r="H231" s="1094"/>
      <c r="I231" s="1095"/>
      <c r="J231" s="1096"/>
      <c r="K231" s="1096"/>
      <c r="L231" s="1096"/>
      <c r="M231" s="1097"/>
      <c r="N231" s="528">
        <f t="shared" ref="N231:P231" si="908">N573</f>
        <v>0</v>
      </c>
      <c r="O231" s="529">
        <f t="shared" si="908"/>
        <v>0</v>
      </c>
      <c r="P231" s="529">
        <f t="shared" si="908"/>
        <v>0</v>
      </c>
      <c r="Q231" s="1001" t="s">
        <v>701</v>
      </c>
      <c r="R231" s="528">
        <f t="shared" ref="R231:S231" si="909">R573</f>
        <v>0</v>
      </c>
      <c r="S231" s="529">
        <f t="shared" si="909"/>
        <v>0</v>
      </c>
      <c r="T231" s="1001" t="s">
        <v>701</v>
      </c>
      <c r="U231" s="530">
        <f t="shared" ref="U231:V231" si="910">U573</f>
        <v>0</v>
      </c>
      <c r="V231" s="529">
        <f t="shared" si="910"/>
        <v>0</v>
      </c>
      <c r="W231" s="1001" t="s">
        <v>701</v>
      </c>
      <c r="X231" s="1001" t="s">
        <v>701</v>
      </c>
      <c r="Y231" s="529">
        <f t="shared" ref="Y231" si="911">Y573</f>
        <v>0</v>
      </c>
      <c r="Z231" s="1001" t="s">
        <v>701</v>
      </c>
      <c r="AA231" s="1098"/>
      <c r="AB231" s="1091"/>
      <c r="AC231" s="1099"/>
      <c r="AD231" s="1100">
        <f t="shared" si="895"/>
        <v>0</v>
      </c>
      <c r="AE231" s="1091"/>
      <c r="AF231" s="1091"/>
      <c r="AG231" s="1091"/>
      <c r="AH231" s="1091"/>
      <c r="AI231" s="1091"/>
      <c r="AJ231" s="1041" t="str">
        <f t="shared" si="799"/>
        <v/>
      </c>
    </row>
    <row r="232" spans="4:36" ht="11.25" customHeight="1" x14ac:dyDescent="0.2">
      <c r="D232" s="1092"/>
      <c r="E232" s="1093"/>
      <c r="F232" s="1093"/>
      <c r="G232" s="1093"/>
      <c r="H232" s="1094"/>
      <c r="I232" s="1095"/>
      <c r="J232" s="1096"/>
      <c r="K232" s="1096"/>
      <c r="L232" s="1096"/>
      <c r="M232" s="1097"/>
      <c r="N232" s="528">
        <f t="shared" ref="N232:P232" si="912">N574</f>
        <v>0</v>
      </c>
      <c r="O232" s="529">
        <f t="shared" si="912"/>
        <v>0</v>
      </c>
      <c r="P232" s="529">
        <f t="shared" si="912"/>
        <v>0</v>
      </c>
      <c r="Q232" s="1001" t="s">
        <v>701</v>
      </c>
      <c r="R232" s="528">
        <f t="shared" ref="R232:S232" si="913">R574</f>
        <v>0</v>
      </c>
      <c r="S232" s="529">
        <f t="shared" si="913"/>
        <v>0</v>
      </c>
      <c r="T232" s="1001" t="s">
        <v>701</v>
      </c>
      <c r="U232" s="530">
        <f t="shared" ref="U232:V232" si="914">U574</f>
        <v>0</v>
      </c>
      <c r="V232" s="529">
        <f t="shared" si="914"/>
        <v>0</v>
      </c>
      <c r="W232" s="1001" t="s">
        <v>701</v>
      </c>
      <c r="X232" s="1001" t="s">
        <v>701</v>
      </c>
      <c r="Y232" s="529">
        <f t="shared" ref="Y232" si="915">Y574</f>
        <v>0</v>
      </c>
      <c r="Z232" s="1001" t="s">
        <v>701</v>
      </c>
      <c r="AA232" s="1098"/>
      <c r="AB232" s="1091"/>
      <c r="AC232" s="1099"/>
      <c r="AD232" s="1100">
        <f t="shared" si="895"/>
        <v>0</v>
      </c>
      <c r="AE232" s="1091"/>
      <c r="AF232" s="1091"/>
      <c r="AG232" s="1091"/>
      <c r="AH232" s="1091"/>
      <c r="AI232" s="1091"/>
      <c r="AJ232" s="1041" t="str">
        <f t="shared" si="799"/>
        <v/>
      </c>
    </row>
    <row r="233" spans="4:36" ht="11.25" customHeight="1" thickBot="1" x14ac:dyDescent="0.25">
      <c r="D233" s="532" t="s">
        <v>418</v>
      </c>
      <c r="E233" s="533"/>
      <c r="F233" s="534"/>
      <c r="G233" s="535"/>
      <c r="H233" s="535"/>
      <c r="I233" s="534"/>
      <c r="J233" s="535"/>
      <c r="K233" s="535"/>
      <c r="L233" s="535"/>
      <c r="M233" s="536"/>
      <c r="N233" s="913">
        <f>SUM(N227:N232)</f>
        <v>0</v>
      </c>
      <c r="O233" s="913">
        <f t="shared" ref="O233" si="916">SUM(O227:O232)</f>
        <v>0</v>
      </c>
      <c r="P233" s="914"/>
      <c r="Q233" s="1002" t="s">
        <v>701</v>
      </c>
      <c r="R233" s="915"/>
      <c r="S233" s="916">
        <f t="shared" ref="S233" si="917">SUM(S227:S232)</f>
        <v>0</v>
      </c>
      <c r="T233" s="1003" t="s">
        <v>701</v>
      </c>
      <c r="U233" s="915"/>
      <c r="V233" s="916">
        <f t="shared" ref="V233:Y233" si="918">SUM(V227:V232)</f>
        <v>0</v>
      </c>
      <c r="W233" s="1003" t="s">
        <v>701</v>
      </c>
      <c r="X233" s="1003" t="s">
        <v>701</v>
      </c>
      <c r="Y233" s="916">
        <f t="shared" si="918"/>
        <v>250</v>
      </c>
      <c r="Z233" s="1003" t="s">
        <v>701</v>
      </c>
      <c r="AA233" s="1003" t="s">
        <v>701</v>
      </c>
      <c r="AB233" s="1004" t="s">
        <v>701</v>
      </c>
      <c r="AC233" s="1005" t="s">
        <v>701</v>
      </c>
      <c r="AD233" s="917"/>
      <c r="AE233" s="1004" t="s">
        <v>701</v>
      </c>
      <c r="AF233" s="1004" t="s">
        <v>701</v>
      </c>
      <c r="AG233" s="1004" t="s">
        <v>701</v>
      </c>
      <c r="AH233" s="1004" t="s">
        <v>701</v>
      </c>
      <c r="AI233" s="1004" t="s">
        <v>701</v>
      </c>
      <c r="AJ233" s="1042" t="str">
        <f t="shared" si="799"/>
        <v/>
      </c>
    </row>
    <row r="234" spans="4:36" ht="11.25" customHeight="1" x14ac:dyDescent="0.25">
      <c r="D234" s="1092" t="str">
        <f>D576</f>
        <v>Lower Tumut Substation Protection System  (VNI)</v>
      </c>
      <c r="E234" s="1093" t="str">
        <f t="shared" ref="E234:P234" si="919">E576</f>
        <v>Switching station</v>
      </c>
      <c r="F234" s="1093">
        <f t="shared" si="919"/>
        <v>2148</v>
      </c>
      <c r="G234" s="1093" t="str">
        <f t="shared" si="919"/>
        <v>Other</v>
      </c>
      <c r="H234" s="1094" t="str">
        <f t="shared" si="919"/>
        <v>Net market benefit</v>
      </c>
      <c r="I234" s="1095">
        <f t="shared" si="919"/>
        <v>330</v>
      </c>
      <c r="J234" s="1096" t="str">
        <f t="shared" si="919"/>
        <v>N/A</v>
      </c>
      <c r="K234" s="1096" t="str">
        <f t="shared" si="919"/>
        <v>N/A</v>
      </c>
      <c r="L234" s="1096" t="str">
        <f t="shared" si="919"/>
        <v>N/A</v>
      </c>
      <c r="M234" s="1097" t="str">
        <f t="shared" si="919"/>
        <v>N/A</v>
      </c>
      <c r="N234" s="522">
        <f t="shared" si="919"/>
        <v>0</v>
      </c>
      <c r="O234" s="523">
        <f t="shared" si="919"/>
        <v>0</v>
      </c>
      <c r="P234" s="524">
        <f t="shared" si="919"/>
        <v>0</v>
      </c>
      <c r="Q234" s="1000" t="s">
        <v>701</v>
      </c>
      <c r="R234" s="525">
        <f t="shared" ref="R234:S234" si="920">R576</f>
        <v>0</v>
      </c>
      <c r="S234" s="524">
        <f t="shared" si="920"/>
        <v>0</v>
      </c>
      <c r="T234" s="1000" t="s">
        <v>701</v>
      </c>
      <c r="U234" s="526">
        <f t="shared" ref="U234:V234" si="921">U576</f>
        <v>0</v>
      </c>
      <c r="V234" s="524">
        <f t="shared" si="921"/>
        <v>0</v>
      </c>
      <c r="W234" s="1000" t="s">
        <v>701</v>
      </c>
      <c r="X234" s="1000" t="s">
        <v>701</v>
      </c>
      <c r="Y234" s="527">
        <f t="shared" ref="Y234" si="922">Y576</f>
        <v>400</v>
      </c>
      <c r="Z234" s="1000" t="s">
        <v>701</v>
      </c>
      <c r="AA234" s="1098" t="s">
        <v>701</v>
      </c>
      <c r="AB234" s="1091" t="s">
        <v>701</v>
      </c>
      <c r="AC234" s="1099"/>
      <c r="AD234" s="1100">
        <f t="shared" ref="AD234:AD239" si="923">AD576</f>
        <v>0</v>
      </c>
      <c r="AE234" s="1091" t="s">
        <v>701</v>
      </c>
      <c r="AF234" s="1091" t="s">
        <v>701</v>
      </c>
      <c r="AG234" s="1091" t="s">
        <v>701</v>
      </c>
      <c r="AH234" s="1091" t="s">
        <v>701</v>
      </c>
      <c r="AI234" s="1091" t="s">
        <v>701</v>
      </c>
      <c r="AJ234" s="1040" t="str">
        <f t="shared" si="799"/>
        <v/>
      </c>
    </row>
    <row r="235" spans="4:36" ht="11.25" customHeight="1" x14ac:dyDescent="0.2">
      <c r="D235" s="1092"/>
      <c r="E235" s="1093"/>
      <c r="F235" s="1093"/>
      <c r="G235" s="1093"/>
      <c r="H235" s="1094"/>
      <c r="I235" s="1095"/>
      <c r="J235" s="1096"/>
      <c r="K235" s="1096"/>
      <c r="L235" s="1096"/>
      <c r="M235" s="1097"/>
      <c r="N235" s="528">
        <f t="shared" ref="N235:P235" si="924">N577</f>
        <v>0</v>
      </c>
      <c r="O235" s="529">
        <f t="shared" si="924"/>
        <v>0</v>
      </c>
      <c r="P235" s="529">
        <f t="shared" si="924"/>
        <v>0</v>
      </c>
      <c r="Q235" s="1001" t="s">
        <v>701</v>
      </c>
      <c r="R235" s="528">
        <f t="shared" ref="R235:S235" si="925">R577</f>
        <v>0</v>
      </c>
      <c r="S235" s="529">
        <f t="shared" si="925"/>
        <v>0</v>
      </c>
      <c r="T235" s="1001" t="s">
        <v>701</v>
      </c>
      <c r="U235" s="530">
        <f t="shared" ref="U235:V235" si="926">U577</f>
        <v>0</v>
      </c>
      <c r="V235" s="529">
        <f t="shared" si="926"/>
        <v>0</v>
      </c>
      <c r="W235" s="1001" t="s">
        <v>701</v>
      </c>
      <c r="X235" s="1001" t="s">
        <v>701</v>
      </c>
      <c r="Y235" s="531">
        <f t="shared" ref="Y235" si="927">Y577</f>
        <v>0</v>
      </c>
      <c r="Z235" s="1001" t="s">
        <v>701</v>
      </c>
      <c r="AA235" s="1098"/>
      <c r="AB235" s="1091"/>
      <c r="AC235" s="1099"/>
      <c r="AD235" s="1100">
        <f t="shared" si="923"/>
        <v>0</v>
      </c>
      <c r="AE235" s="1091"/>
      <c r="AF235" s="1091"/>
      <c r="AG235" s="1091"/>
      <c r="AH235" s="1091"/>
      <c r="AI235" s="1091"/>
      <c r="AJ235" s="1041" t="str">
        <f t="shared" si="799"/>
        <v/>
      </c>
    </row>
    <row r="236" spans="4:36" ht="11.25" customHeight="1" x14ac:dyDescent="0.2">
      <c r="D236" s="1092"/>
      <c r="E236" s="1093"/>
      <c r="F236" s="1093"/>
      <c r="G236" s="1093"/>
      <c r="H236" s="1094"/>
      <c r="I236" s="1095"/>
      <c r="J236" s="1096"/>
      <c r="K236" s="1096"/>
      <c r="L236" s="1096"/>
      <c r="M236" s="1097"/>
      <c r="N236" s="528">
        <f t="shared" ref="N236:P236" si="928">N578</f>
        <v>0</v>
      </c>
      <c r="O236" s="529">
        <f t="shared" si="928"/>
        <v>0</v>
      </c>
      <c r="P236" s="529">
        <f t="shared" si="928"/>
        <v>0</v>
      </c>
      <c r="Q236" s="1001" t="s">
        <v>701</v>
      </c>
      <c r="R236" s="528">
        <f t="shared" ref="R236:S236" si="929">R578</f>
        <v>0</v>
      </c>
      <c r="S236" s="529">
        <f t="shared" si="929"/>
        <v>0</v>
      </c>
      <c r="T236" s="1001" t="s">
        <v>701</v>
      </c>
      <c r="U236" s="530">
        <f t="shared" ref="U236:V236" si="930">U578</f>
        <v>0</v>
      </c>
      <c r="V236" s="529">
        <f t="shared" si="930"/>
        <v>0</v>
      </c>
      <c r="W236" s="1001" t="s">
        <v>701</v>
      </c>
      <c r="X236" s="1001" t="s">
        <v>701</v>
      </c>
      <c r="Y236" s="529">
        <f t="shared" ref="Y236" si="931">Y578</f>
        <v>0</v>
      </c>
      <c r="Z236" s="1001" t="s">
        <v>701</v>
      </c>
      <c r="AA236" s="1098"/>
      <c r="AB236" s="1091"/>
      <c r="AC236" s="1099"/>
      <c r="AD236" s="1100">
        <f t="shared" si="923"/>
        <v>0</v>
      </c>
      <c r="AE236" s="1091"/>
      <c r="AF236" s="1091"/>
      <c r="AG236" s="1091"/>
      <c r="AH236" s="1091"/>
      <c r="AI236" s="1091"/>
      <c r="AJ236" s="1041" t="str">
        <f t="shared" si="799"/>
        <v/>
      </c>
    </row>
    <row r="237" spans="4:36" ht="11.25" customHeight="1" x14ac:dyDescent="0.2">
      <c r="D237" s="1092"/>
      <c r="E237" s="1093"/>
      <c r="F237" s="1093"/>
      <c r="G237" s="1093"/>
      <c r="H237" s="1094"/>
      <c r="I237" s="1095"/>
      <c r="J237" s="1096"/>
      <c r="K237" s="1096"/>
      <c r="L237" s="1096"/>
      <c r="M237" s="1097"/>
      <c r="N237" s="528">
        <f t="shared" ref="N237:P237" si="932">N579</f>
        <v>0</v>
      </c>
      <c r="O237" s="529">
        <f t="shared" si="932"/>
        <v>0</v>
      </c>
      <c r="P237" s="529">
        <f t="shared" si="932"/>
        <v>0</v>
      </c>
      <c r="Q237" s="1001" t="s">
        <v>701</v>
      </c>
      <c r="R237" s="528">
        <f t="shared" ref="R237:S237" si="933">R579</f>
        <v>0</v>
      </c>
      <c r="S237" s="529">
        <f t="shared" si="933"/>
        <v>0</v>
      </c>
      <c r="T237" s="1001" t="s">
        <v>701</v>
      </c>
      <c r="U237" s="530">
        <f t="shared" ref="U237:V237" si="934">U579</f>
        <v>0</v>
      </c>
      <c r="V237" s="529">
        <f t="shared" si="934"/>
        <v>0</v>
      </c>
      <c r="W237" s="1001" t="s">
        <v>701</v>
      </c>
      <c r="X237" s="1001" t="s">
        <v>701</v>
      </c>
      <c r="Y237" s="529">
        <f t="shared" ref="Y237" si="935">Y579</f>
        <v>0</v>
      </c>
      <c r="Z237" s="1001" t="s">
        <v>701</v>
      </c>
      <c r="AA237" s="1098"/>
      <c r="AB237" s="1091"/>
      <c r="AC237" s="1099"/>
      <c r="AD237" s="1100">
        <f t="shared" si="923"/>
        <v>0</v>
      </c>
      <c r="AE237" s="1091"/>
      <c r="AF237" s="1091"/>
      <c r="AG237" s="1091"/>
      <c r="AH237" s="1091"/>
      <c r="AI237" s="1091"/>
      <c r="AJ237" s="1041" t="str">
        <f t="shared" si="799"/>
        <v/>
      </c>
    </row>
    <row r="238" spans="4:36" ht="11.25" customHeight="1" x14ac:dyDescent="0.2">
      <c r="D238" s="1092"/>
      <c r="E238" s="1093"/>
      <c r="F238" s="1093"/>
      <c r="G238" s="1093"/>
      <c r="H238" s="1094"/>
      <c r="I238" s="1095"/>
      <c r="J238" s="1096"/>
      <c r="K238" s="1096"/>
      <c r="L238" s="1096"/>
      <c r="M238" s="1097"/>
      <c r="N238" s="528">
        <f t="shared" ref="N238:P238" si="936">N580</f>
        <v>0</v>
      </c>
      <c r="O238" s="529">
        <f t="shared" si="936"/>
        <v>0</v>
      </c>
      <c r="P238" s="529">
        <f t="shared" si="936"/>
        <v>0</v>
      </c>
      <c r="Q238" s="1001" t="s">
        <v>701</v>
      </c>
      <c r="R238" s="528">
        <f t="shared" ref="R238:S238" si="937">R580</f>
        <v>0</v>
      </c>
      <c r="S238" s="529">
        <f t="shared" si="937"/>
        <v>0</v>
      </c>
      <c r="T238" s="1001" t="s">
        <v>701</v>
      </c>
      <c r="U238" s="530">
        <f t="shared" ref="U238:V238" si="938">U580</f>
        <v>0</v>
      </c>
      <c r="V238" s="529">
        <f t="shared" si="938"/>
        <v>0</v>
      </c>
      <c r="W238" s="1001" t="s">
        <v>701</v>
      </c>
      <c r="X238" s="1001" t="s">
        <v>701</v>
      </c>
      <c r="Y238" s="529">
        <f t="shared" ref="Y238" si="939">Y580</f>
        <v>0</v>
      </c>
      <c r="Z238" s="1001" t="s">
        <v>701</v>
      </c>
      <c r="AA238" s="1098"/>
      <c r="AB238" s="1091"/>
      <c r="AC238" s="1099"/>
      <c r="AD238" s="1100">
        <f t="shared" si="923"/>
        <v>0</v>
      </c>
      <c r="AE238" s="1091"/>
      <c r="AF238" s="1091"/>
      <c r="AG238" s="1091"/>
      <c r="AH238" s="1091"/>
      <c r="AI238" s="1091"/>
      <c r="AJ238" s="1041" t="str">
        <f t="shared" si="799"/>
        <v/>
      </c>
    </row>
    <row r="239" spans="4:36" ht="11.25" customHeight="1" x14ac:dyDescent="0.2">
      <c r="D239" s="1092"/>
      <c r="E239" s="1093"/>
      <c r="F239" s="1093"/>
      <c r="G239" s="1093"/>
      <c r="H239" s="1094"/>
      <c r="I239" s="1095"/>
      <c r="J239" s="1096"/>
      <c r="K239" s="1096"/>
      <c r="L239" s="1096"/>
      <c r="M239" s="1097"/>
      <c r="N239" s="528">
        <f t="shared" ref="N239:P239" si="940">N581</f>
        <v>0</v>
      </c>
      <c r="O239" s="529">
        <f t="shared" si="940"/>
        <v>0</v>
      </c>
      <c r="P239" s="529">
        <f t="shared" si="940"/>
        <v>0</v>
      </c>
      <c r="Q239" s="1001" t="s">
        <v>701</v>
      </c>
      <c r="R239" s="528">
        <f t="shared" ref="R239:S239" si="941">R581</f>
        <v>0</v>
      </c>
      <c r="S239" s="529">
        <f t="shared" si="941"/>
        <v>0</v>
      </c>
      <c r="T239" s="1001" t="s">
        <v>701</v>
      </c>
      <c r="U239" s="530">
        <f t="shared" ref="U239:V239" si="942">U581</f>
        <v>0</v>
      </c>
      <c r="V239" s="529">
        <f t="shared" si="942"/>
        <v>0</v>
      </c>
      <c r="W239" s="1001" t="s">
        <v>701</v>
      </c>
      <c r="X239" s="1001" t="s">
        <v>701</v>
      </c>
      <c r="Y239" s="529">
        <f t="shared" ref="Y239" si="943">Y581</f>
        <v>0</v>
      </c>
      <c r="Z239" s="1001" t="s">
        <v>701</v>
      </c>
      <c r="AA239" s="1098"/>
      <c r="AB239" s="1091"/>
      <c r="AC239" s="1099"/>
      <c r="AD239" s="1100">
        <f t="shared" si="923"/>
        <v>0</v>
      </c>
      <c r="AE239" s="1091"/>
      <c r="AF239" s="1091"/>
      <c r="AG239" s="1091"/>
      <c r="AH239" s="1091"/>
      <c r="AI239" s="1091"/>
      <c r="AJ239" s="1041" t="str">
        <f t="shared" si="799"/>
        <v/>
      </c>
    </row>
    <row r="240" spans="4:36" ht="11.25" customHeight="1" thickBot="1" x14ac:dyDescent="0.25">
      <c r="D240" s="532" t="s">
        <v>418</v>
      </c>
      <c r="E240" s="533"/>
      <c r="F240" s="534"/>
      <c r="G240" s="535"/>
      <c r="H240" s="535"/>
      <c r="I240" s="534"/>
      <c r="J240" s="535"/>
      <c r="K240" s="535"/>
      <c r="L240" s="535"/>
      <c r="M240" s="536"/>
      <c r="N240" s="913">
        <f>SUM(N234:N239)</f>
        <v>0</v>
      </c>
      <c r="O240" s="913">
        <f t="shared" ref="O240" si="944">SUM(O234:O239)</f>
        <v>0</v>
      </c>
      <c r="P240" s="914"/>
      <c r="Q240" s="1002" t="s">
        <v>701</v>
      </c>
      <c r="R240" s="915"/>
      <c r="S240" s="916">
        <f t="shared" ref="S240" si="945">SUM(S234:S239)</f>
        <v>0</v>
      </c>
      <c r="T240" s="1003" t="s">
        <v>701</v>
      </c>
      <c r="U240" s="915"/>
      <c r="V240" s="916">
        <f t="shared" ref="V240:Y240" si="946">SUM(V234:V239)</f>
        <v>0</v>
      </c>
      <c r="W240" s="1003" t="s">
        <v>701</v>
      </c>
      <c r="X240" s="1003" t="s">
        <v>701</v>
      </c>
      <c r="Y240" s="916">
        <f t="shared" si="946"/>
        <v>400</v>
      </c>
      <c r="Z240" s="1003" t="s">
        <v>701</v>
      </c>
      <c r="AA240" s="1003" t="s">
        <v>701</v>
      </c>
      <c r="AB240" s="1004" t="s">
        <v>701</v>
      </c>
      <c r="AC240" s="1005" t="s">
        <v>701</v>
      </c>
      <c r="AD240" s="917"/>
      <c r="AE240" s="1004" t="s">
        <v>701</v>
      </c>
      <c r="AF240" s="1004" t="s">
        <v>701</v>
      </c>
      <c r="AG240" s="1004" t="s">
        <v>701</v>
      </c>
      <c r="AH240" s="1004" t="s">
        <v>701</v>
      </c>
      <c r="AI240" s="1004" t="s">
        <v>701</v>
      </c>
      <c r="AJ240" s="1042" t="str">
        <f t="shared" si="799"/>
        <v/>
      </c>
    </row>
    <row r="241" spans="4:36" ht="11.25" customHeight="1" x14ac:dyDescent="0.25">
      <c r="D241" s="1092" t="str">
        <f>D583</f>
        <v>Gullen Range Substation Protection System  (VNI)</v>
      </c>
      <c r="E241" s="1093" t="str">
        <f t="shared" ref="E241:P241" si="947">E583</f>
        <v>Transmission substation</v>
      </c>
      <c r="F241" s="1093">
        <f t="shared" si="947"/>
        <v>2148</v>
      </c>
      <c r="G241" s="1093" t="str">
        <f t="shared" si="947"/>
        <v>Other</v>
      </c>
      <c r="H241" s="1094" t="str">
        <f t="shared" si="947"/>
        <v>Net market benefit</v>
      </c>
      <c r="I241" s="1095">
        <f t="shared" si="947"/>
        <v>330</v>
      </c>
      <c r="J241" s="1096">
        <f t="shared" si="947"/>
        <v>180</v>
      </c>
      <c r="K241" s="1096">
        <f t="shared" si="947"/>
        <v>180</v>
      </c>
      <c r="L241" s="1096">
        <f t="shared" si="947"/>
        <v>90</v>
      </c>
      <c r="M241" s="1097">
        <f t="shared" si="947"/>
        <v>90</v>
      </c>
      <c r="N241" s="522">
        <f t="shared" si="947"/>
        <v>0</v>
      </c>
      <c r="O241" s="523">
        <f t="shared" si="947"/>
        <v>0</v>
      </c>
      <c r="P241" s="524">
        <f t="shared" si="947"/>
        <v>0</v>
      </c>
      <c r="Q241" s="1000" t="s">
        <v>701</v>
      </c>
      <c r="R241" s="525">
        <f t="shared" ref="R241:S241" si="948">R583</f>
        <v>0</v>
      </c>
      <c r="S241" s="524">
        <f t="shared" si="948"/>
        <v>0</v>
      </c>
      <c r="T241" s="1000" t="s">
        <v>701</v>
      </c>
      <c r="U241" s="526">
        <f t="shared" ref="U241:V241" si="949">U583</f>
        <v>0</v>
      </c>
      <c r="V241" s="524">
        <f t="shared" si="949"/>
        <v>0</v>
      </c>
      <c r="W241" s="1000" t="s">
        <v>701</v>
      </c>
      <c r="X241" s="1000" t="s">
        <v>701</v>
      </c>
      <c r="Y241" s="527">
        <f t="shared" ref="Y241" si="950">Y583</f>
        <v>400</v>
      </c>
      <c r="Z241" s="1000" t="s">
        <v>701</v>
      </c>
      <c r="AA241" s="1098" t="s">
        <v>701</v>
      </c>
      <c r="AB241" s="1091" t="s">
        <v>701</v>
      </c>
      <c r="AC241" s="1099"/>
      <c r="AD241" s="1100">
        <f t="shared" ref="AD241:AD246" si="951">AD583</f>
        <v>0</v>
      </c>
      <c r="AE241" s="1091" t="s">
        <v>701</v>
      </c>
      <c r="AF241" s="1091" t="s">
        <v>701</v>
      </c>
      <c r="AG241" s="1091" t="s">
        <v>701</v>
      </c>
      <c r="AH241" s="1091" t="s">
        <v>701</v>
      </c>
      <c r="AI241" s="1091" t="s">
        <v>701</v>
      </c>
      <c r="AJ241" s="1040" t="str">
        <f t="shared" si="799"/>
        <v/>
      </c>
    </row>
    <row r="242" spans="4:36" ht="11.25" customHeight="1" x14ac:dyDescent="0.2">
      <c r="D242" s="1092"/>
      <c r="E242" s="1093"/>
      <c r="F242" s="1093"/>
      <c r="G242" s="1093"/>
      <c r="H242" s="1094"/>
      <c r="I242" s="1095"/>
      <c r="J242" s="1096"/>
      <c r="K242" s="1096"/>
      <c r="L242" s="1096"/>
      <c r="M242" s="1097"/>
      <c r="N242" s="528">
        <f t="shared" ref="N242:P242" si="952">N584</f>
        <v>0</v>
      </c>
      <c r="O242" s="529">
        <f t="shared" si="952"/>
        <v>0</v>
      </c>
      <c r="P242" s="529">
        <f t="shared" si="952"/>
        <v>0</v>
      </c>
      <c r="Q242" s="1001" t="s">
        <v>701</v>
      </c>
      <c r="R242" s="528">
        <f t="shared" ref="R242:S242" si="953">R584</f>
        <v>0</v>
      </c>
      <c r="S242" s="529">
        <f t="shared" si="953"/>
        <v>0</v>
      </c>
      <c r="T242" s="1001" t="s">
        <v>701</v>
      </c>
      <c r="U242" s="530">
        <f t="shared" ref="U242:V242" si="954">U584</f>
        <v>0</v>
      </c>
      <c r="V242" s="529">
        <f t="shared" si="954"/>
        <v>0</v>
      </c>
      <c r="W242" s="1001" t="s">
        <v>701</v>
      </c>
      <c r="X242" s="1001" t="s">
        <v>701</v>
      </c>
      <c r="Y242" s="531">
        <f t="shared" ref="Y242" si="955">Y584</f>
        <v>0</v>
      </c>
      <c r="Z242" s="1001" t="s">
        <v>701</v>
      </c>
      <c r="AA242" s="1098"/>
      <c r="AB242" s="1091"/>
      <c r="AC242" s="1099"/>
      <c r="AD242" s="1100">
        <f t="shared" si="951"/>
        <v>0</v>
      </c>
      <c r="AE242" s="1091"/>
      <c r="AF242" s="1091"/>
      <c r="AG242" s="1091"/>
      <c r="AH242" s="1091"/>
      <c r="AI242" s="1091"/>
      <c r="AJ242" s="1041" t="str">
        <f t="shared" si="799"/>
        <v/>
      </c>
    </row>
    <row r="243" spans="4:36" ht="11.25" customHeight="1" x14ac:dyDescent="0.2">
      <c r="D243" s="1092"/>
      <c r="E243" s="1093"/>
      <c r="F243" s="1093"/>
      <c r="G243" s="1093"/>
      <c r="H243" s="1094"/>
      <c r="I243" s="1095"/>
      <c r="J243" s="1096"/>
      <c r="K243" s="1096"/>
      <c r="L243" s="1096"/>
      <c r="M243" s="1097"/>
      <c r="N243" s="528">
        <f t="shared" ref="N243:P243" si="956">N585</f>
        <v>0</v>
      </c>
      <c r="O243" s="529">
        <f t="shared" si="956"/>
        <v>0</v>
      </c>
      <c r="P243" s="529">
        <f t="shared" si="956"/>
        <v>0</v>
      </c>
      <c r="Q243" s="1001" t="s">
        <v>701</v>
      </c>
      <c r="R243" s="528">
        <f t="shared" ref="R243:S243" si="957">R585</f>
        <v>0</v>
      </c>
      <c r="S243" s="529">
        <f t="shared" si="957"/>
        <v>0</v>
      </c>
      <c r="T243" s="1001" t="s">
        <v>701</v>
      </c>
      <c r="U243" s="530">
        <f t="shared" ref="U243:V243" si="958">U585</f>
        <v>0</v>
      </c>
      <c r="V243" s="529">
        <f t="shared" si="958"/>
        <v>0</v>
      </c>
      <c r="W243" s="1001" t="s">
        <v>701</v>
      </c>
      <c r="X243" s="1001" t="s">
        <v>701</v>
      </c>
      <c r="Y243" s="529">
        <f t="shared" ref="Y243" si="959">Y585</f>
        <v>0</v>
      </c>
      <c r="Z243" s="1001" t="s">
        <v>701</v>
      </c>
      <c r="AA243" s="1098"/>
      <c r="AB243" s="1091"/>
      <c r="AC243" s="1099"/>
      <c r="AD243" s="1100">
        <f t="shared" si="951"/>
        <v>0</v>
      </c>
      <c r="AE243" s="1091"/>
      <c r="AF243" s="1091"/>
      <c r="AG243" s="1091"/>
      <c r="AH243" s="1091"/>
      <c r="AI243" s="1091"/>
      <c r="AJ243" s="1041" t="str">
        <f t="shared" si="799"/>
        <v/>
      </c>
    </row>
    <row r="244" spans="4:36" ht="11.25" customHeight="1" x14ac:dyDescent="0.2">
      <c r="D244" s="1092"/>
      <c r="E244" s="1093"/>
      <c r="F244" s="1093"/>
      <c r="G244" s="1093"/>
      <c r="H244" s="1094"/>
      <c r="I244" s="1095"/>
      <c r="J244" s="1096"/>
      <c r="K244" s="1096"/>
      <c r="L244" s="1096"/>
      <c r="M244" s="1097"/>
      <c r="N244" s="528">
        <f t="shared" ref="N244:P244" si="960">N586</f>
        <v>0</v>
      </c>
      <c r="O244" s="529">
        <f t="shared" si="960"/>
        <v>0</v>
      </c>
      <c r="P244" s="529">
        <f t="shared" si="960"/>
        <v>0</v>
      </c>
      <c r="Q244" s="1001" t="s">
        <v>701</v>
      </c>
      <c r="R244" s="528">
        <f t="shared" ref="R244:S244" si="961">R586</f>
        <v>0</v>
      </c>
      <c r="S244" s="529">
        <f t="shared" si="961"/>
        <v>0</v>
      </c>
      <c r="T244" s="1001" t="s">
        <v>701</v>
      </c>
      <c r="U244" s="530">
        <f t="shared" ref="U244:V244" si="962">U586</f>
        <v>0</v>
      </c>
      <c r="V244" s="529">
        <f t="shared" si="962"/>
        <v>0</v>
      </c>
      <c r="W244" s="1001" t="s">
        <v>701</v>
      </c>
      <c r="X244" s="1001" t="s">
        <v>701</v>
      </c>
      <c r="Y244" s="529">
        <f t="shared" ref="Y244" si="963">Y586</f>
        <v>0</v>
      </c>
      <c r="Z244" s="1001" t="s">
        <v>701</v>
      </c>
      <c r="AA244" s="1098"/>
      <c r="AB244" s="1091"/>
      <c r="AC244" s="1099"/>
      <c r="AD244" s="1100">
        <f t="shared" si="951"/>
        <v>0</v>
      </c>
      <c r="AE244" s="1091"/>
      <c r="AF244" s="1091"/>
      <c r="AG244" s="1091"/>
      <c r="AH244" s="1091"/>
      <c r="AI244" s="1091"/>
      <c r="AJ244" s="1041" t="str">
        <f t="shared" si="799"/>
        <v/>
      </c>
    </row>
    <row r="245" spans="4:36" ht="11.25" customHeight="1" x14ac:dyDescent="0.2">
      <c r="D245" s="1092"/>
      <c r="E245" s="1093"/>
      <c r="F245" s="1093"/>
      <c r="G245" s="1093"/>
      <c r="H245" s="1094"/>
      <c r="I245" s="1095"/>
      <c r="J245" s="1096"/>
      <c r="K245" s="1096"/>
      <c r="L245" s="1096"/>
      <c r="M245" s="1097"/>
      <c r="N245" s="528">
        <f t="shared" ref="N245:P245" si="964">N587</f>
        <v>0</v>
      </c>
      <c r="O245" s="529">
        <f t="shared" si="964"/>
        <v>0</v>
      </c>
      <c r="P245" s="529">
        <f t="shared" si="964"/>
        <v>0</v>
      </c>
      <c r="Q245" s="1001" t="s">
        <v>701</v>
      </c>
      <c r="R245" s="528">
        <f t="shared" ref="R245:S245" si="965">R587</f>
        <v>0</v>
      </c>
      <c r="S245" s="529">
        <f t="shared" si="965"/>
        <v>0</v>
      </c>
      <c r="T245" s="1001" t="s">
        <v>701</v>
      </c>
      <c r="U245" s="530">
        <f t="shared" ref="U245:V245" si="966">U587</f>
        <v>0</v>
      </c>
      <c r="V245" s="529">
        <f t="shared" si="966"/>
        <v>0</v>
      </c>
      <c r="W245" s="1001" t="s">
        <v>701</v>
      </c>
      <c r="X245" s="1001" t="s">
        <v>701</v>
      </c>
      <c r="Y245" s="529">
        <f t="shared" ref="Y245" si="967">Y587</f>
        <v>0</v>
      </c>
      <c r="Z245" s="1001" t="s">
        <v>701</v>
      </c>
      <c r="AA245" s="1098"/>
      <c r="AB245" s="1091"/>
      <c r="AC245" s="1099"/>
      <c r="AD245" s="1100">
        <f t="shared" si="951"/>
        <v>0</v>
      </c>
      <c r="AE245" s="1091"/>
      <c r="AF245" s="1091"/>
      <c r="AG245" s="1091"/>
      <c r="AH245" s="1091"/>
      <c r="AI245" s="1091"/>
      <c r="AJ245" s="1041" t="str">
        <f t="shared" si="799"/>
        <v/>
      </c>
    </row>
    <row r="246" spans="4:36" ht="11.25" customHeight="1" x14ac:dyDescent="0.2">
      <c r="D246" s="1092"/>
      <c r="E246" s="1093"/>
      <c r="F246" s="1093"/>
      <c r="G246" s="1093"/>
      <c r="H246" s="1094"/>
      <c r="I246" s="1095"/>
      <c r="J246" s="1096"/>
      <c r="K246" s="1096"/>
      <c r="L246" s="1096"/>
      <c r="M246" s="1097"/>
      <c r="N246" s="528">
        <f t="shared" ref="N246:P246" si="968">N588</f>
        <v>0</v>
      </c>
      <c r="O246" s="529">
        <f t="shared" si="968"/>
        <v>0</v>
      </c>
      <c r="P246" s="529">
        <f t="shared" si="968"/>
        <v>0</v>
      </c>
      <c r="Q246" s="1001" t="s">
        <v>701</v>
      </c>
      <c r="R246" s="528">
        <f t="shared" ref="R246:S246" si="969">R588</f>
        <v>0</v>
      </c>
      <c r="S246" s="529">
        <f t="shared" si="969"/>
        <v>0</v>
      </c>
      <c r="T246" s="1001" t="s">
        <v>701</v>
      </c>
      <c r="U246" s="530">
        <f t="shared" ref="U246:V246" si="970">U588</f>
        <v>0</v>
      </c>
      <c r="V246" s="529">
        <f t="shared" si="970"/>
        <v>0</v>
      </c>
      <c r="W246" s="1001" t="s">
        <v>701</v>
      </c>
      <c r="X246" s="1001" t="s">
        <v>701</v>
      </c>
      <c r="Y246" s="529">
        <f t="shared" ref="Y246" si="971">Y588</f>
        <v>0</v>
      </c>
      <c r="Z246" s="1001" t="s">
        <v>701</v>
      </c>
      <c r="AA246" s="1098"/>
      <c r="AB246" s="1091"/>
      <c r="AC246" s="1099"/>
      <c r="AD246" s="1100">
        <f t="shared" si="951"/>
        <v>0</v>
      </c>
      <c r="AE246" s="1091"/>
      <c r="AF246" s="1091"/>
      <c r="AG246" s="1091"/>
      <c r="AH246" s="1091"/>
      <c r="AI246" s="1091"/>
      <c r="AJ246" s="1041" t="str">
        <f t="shared" si="799"/>
        <v/>
      </c>
    </row>
    <row r="247" spans="4:36" ht="11.25" customHeight="1" thickBot="1" x14ac:dyDescent="0.25">
      <c r="D247" s="532" t="s">
        <v>418</v>
      </c>
      <c r="E247" s="533"/>
      <c r="F247" s="534"/>
      <c r="G247" s="535"/>
      <c r="H247" s="535"/>
      <c r="I247" s="534"/>
      <c r="J247" s="535"/>
      <c r="K247" s="535"/>
      <c r="L247" s="535"/>
      <c r="M247" s="536"/>
      <c r="N247" s="913">
        <f>SUM(N241:N246)</f>
        <v>0</v>
      </c>
      <c r="O247" s="913">
        <f t="shared" ref="O247" si="972">SUM(O241:O246)</f>
        <v>0</v>
      </c>
      <c r="P247" s="914"/>
      <c r="Q247" s="1002" t="s">
        <v>701</v>
      </c>
      <c r="R247" s="915"/>
      <c r="S247" s="916">
        <f t="shared" ref="S247" si="973">SUM(S241:S246)</f>
        <v>0</v>
      </c>
      <c r="T247" s="1003" t="s">
        <v>701</v>
      </c>
      <c r="U247" s="915"/>
      <c r="V247" s="916">
        <f t="shared" ref="V247:Y247" si="974">SUM(V241:V246)</f>
        <v>0</v>
      </c>
      <c r="W247" s="1003" t="s">
        <v>701</v>
      </c>
      <c r="X247" s="1003" t="s">
        <v>701</v>
      </c>
      <c r="Y247" s="916">
        <f t="shared" si="974"/>
        <v>400</v>
      </c>
      <c r="Z247" s="1003" t="s">
        <v>701</v>
      </c>
      <c r="AA247" s="1003" t="s">
        <v>701</v>
      </c>
      <c r="AB247" s="1004" t="s">
        <v>701</v>
      </c>
      <c r="AC247" s="1005" t="s">
        <v>701</v>
      </c>
      <c r="AD247" s="917"/>
      <c r="AE247" s="1004" t="s">
        <v>701</v>
      </c>
      <c r="AF247" s="1004" t="s">
        <v>701</v>
      </c>
      <c r="AG247" s="1004" t="s">
        <v>701</v>
      </c>
      <c r="AH247" s="1004" t="s">
        <v>701</v>
      </c>
      <c r="AI247" s="1004" t="s">
        <v>701</v>
      </c>
      <c r="AJ247" s="1042" t="str">
        <f t="shared" si="799"/>
        <v/>
      </c>
    </row>
    <row r="248" spans="4:36" ht="11.25" customHeight="1" x14ac:dyDescent="0.25">
      <c r="D248" s="1092" t="str">
        <f>D590</f>
        <v>Collector Substation Protection System  (Part of VNI)</v>
      </c>
      <c r="E248" s="1093" t="str">
        <f t="shared" ref="E248:P248" si="975">E590</f>
        <v>Transmission substation</v>
      </c>
      <c r="F248" s="1093">
        <f t="shared" si="975"/>
        <v>2148</v>
      </c>
      <c r="G248" s="1093" t="str">
        <f t="shared" si="975"/>
        <v>New substation establishment</v>
      </c>
      <c r="H248" s="1094" t="str">
        <f t="shared" si="975"/>
        <v>Net market benefit</v>
      </c>
      <c r="I248" s="1095">
        <f t="shared" si="975"/>
        <v>330</v>
      </c>
      <c r="J248" s="1096" t="str">
        <f t="shared" si="975"/>
        <v>N/A</v>
      </c>
      <c r="K248" s="1096" t="str">
        <f t="shared" si="975"/>
        <v>N/A</v>
      </c>
      <c r="L248" s="1096" t="str">
        <f t="shared" si="975"/>
        <v>N/A</v>
      </c>
      <c r="M248" s="1097" t="str">
        <f t="shared" si="975"/>
        <v>N/A</v>
      </c>
      <c r="N248" s="522">
        <f t="shared" si="975"/>
        <v>0</v>
      </c>
      <c r="O248" s="523">
        <f t="shared" si="975"/>
        <v>0</v>
      </c>
      <c r="P248" s="524">
        <f t="shared" si="975"/>
        <v>0</v>
      </c>
      <c r="Q248" s="1000" t="s">
        <v>701</v>
      </c>
      <c r="R248" s="525">
        <f t="shared" ref="R248:S248" si="976">R590</f>
        <v>0</v>
      </c>
      <c r="S248" s="524">
        <f t="shared" si="976"/>
        <v>0</v>
      </c>
      <c r="T248" s="1000" t="s">
        <v>701</v>
      </c>
      <c r="U248" s="526">
        <f t="shared" ref="U248:V248" si="977">U590</f>
        <v>0</v>
      </c>
      <c r="V248" s="524">
        <f t="shared" si="977"/>
        <v>0</v>
      </c>
      <c r="W248" s="1000" t="s">
        <v>701</v>
      </c>
      <c r="X248" s="1000" t="s">
        <v>701</v>
      </c>
      <c r="Y248" s="527">
        <f t="shared" ref="Y248" si="978">Y590</f>
        <v>400</v>
      </c>
      <c r="Z248" s="1000" t="s">
        <v>701</v>
      </c>
      <c r="AA248" s="1098" t="s">
        <v>701</v>
      </c>
      <c r="AB248" s="1091" t="s">
        <v>701</v>
      </c>
      <c r="AC248" s="1099"/>
      <c r="AD248" s="1100">
        <f t="shared" ref="AD248:AD253" si="979">AD590</f>
        <v>0</v>
      </c>
      <c r="AE248" s="1091" t="s">
        <v>701</v>
      </c>
      <c r="AF248" s="1091" t="s">
        <v>701</v>
      </c>
      <c r="AG248" s="1091" t="s">
        <v>701</v>
      </c>
      <c r="AH248" s="1091" t="s">
        <v>701</v>
      </c>
      <c r="AI248" s="1091" t="s">
        <v>701</v>
      </c>
      <c r="AJ248" s="1040" t="str">
        <f t="shared" si="799"/>
        <v/>
      </c>
    </row>
    <row r="249" spans="4:36" ht="11.25" customHeight="1" x14ac:dyDescent="0.2">
      <c r="D249" s="1092"/>
      <c r="E249" s="1093"/>
      <c r="F249" s="1093"/>
      <c r="G249" s="1093"/>
      <c r="H249" s="1094"/>
      <c r="I249" s="1095"/>
      <c r="J249" s="1096"/>
      <c r="K249" s="1096"/>
      <c r="L249" s="1096"/>
      <c r="M249" s="1097"/>
      <c r="N249" s="528">
        <f t="shared" ref="N249:P249" si="980">N591</f>
        <v>0</v>
      </c>
      <c r="O249" s="529">
        <f t="shared" si="980"/>
        <v>0</v>
      </c>
      <c r="P249" s="529">
        <f t="shared" si="980"/>
        <v>0</v>
      </c>
      <c r="Q249" s="1001" t="s">
        <v>701</v>
      </c>
      <c r="R249" s="528">
        <f t="shared" ref="R249:S249" si="981">R591</f>
        <v>0</v>
      </c>
      <c r="S249" s="529">
        <f t="shared" si="981"/>
        <v>0</v>
      </c>
      <c r="T249" s="1001" t="s">
        <v>701</v>
      </c>
      <c r="U249" s="530">
        <f t="shared" ref="U249:V249" si="982">U591</f>
        <v>0</v>
      </c>
      <c r="V249" s="529">
        <f t="shared" si="982"/>
        <v>0</v>
      </c>
      <c r="W249" s="1001" t="s">
        <v>701</v>
      </c>
      <c r="X249" s="1001" t="s">
        <v>701</v>
      </c>
      <c r="Y249" s="531">
        <f t="shared" ref="Y249" si="983">Y591</f>
        <v>0</v>
      </c>
      <c r="Z249" s="1001" t="s">
        <v>701</v>
      </c>
      <c r="AA249" s="1098"/>
      <c r="AB249" s="1091"/>
      <c r="AC249" s="1099"/>
      <c r="AD249" s="1100">
        <f t="shared" si="979"/>
        <v>0</v>
      </c>
      <c r="AE249" s="1091"/>
      <c r="AF249" s="1091"/>
      <c r="AG249" s="1091"/>
      <c r="AH249" s="1091"/>
      <c r="AI249" s="1091"/>
      <c r="AJ249" s="1041" t="str">
        <f t="shared" si="799"/>
        <v/>
      </c>
    </row>
    <row r="250" spans="4:36" ht="11.25" customHeight="1" x14ac:dyDescent="0.2">
      <c r="D250" s="1092"/>
      <c r="E250" s="1093"/>
      <c r="F250" s="1093"/>
      <c r="G250" s="1093"/>
      <c r="H250" s="1094"/>
      <c r="I250" s="1095"/>
      <c r="J250" s="1096"/>
      <c r="K250" s="1096"/>
      <c r="L250" s="1096"/>
      <c r="M250" s="1097"/>
      <c r="N250" s="528">
        <f t="shared" ref="N250:P250" si="984">N592</f>
        <v>0</v>
      </c>
      <c r="O250" s="529">
        <f t="shared" si="984"/>
        <v>0</v>
      </c>
      <c r="P250" s="529">
        <f t="shared" si="984"/>
        <v>0</v>
      </c>
      <c r="Q250" s="1001" t="s">
        <v>701</v>
      </c>
      <c r="R250" s="528">
        <f t="shared" ref="R250:S250" si="985">R592</f>
        <v>0</v>
      </c>
      <c r="S250" s="529">
        <f t="shared" si="985"/>
        <v>0</v>
      </c>
      <c r="T250" s="1001" t="s">
        <v>701</v>
      </c>
      <c r="U250" s="530">
        <f t="shared" ref="U250:V250" si="986">U592</f>
        <v>0</v>
      </c>
      <c r="V250" s="529">
        <f t="shared" si="986"/>
        <v>0</v>
      </c>
      <c r="W250" s="1001" t="s">
        <v>701</v>
      </c>
      <c r="X250" s="1001" t="s">
        <v>701</v>
      </c>
      <c r="Y250" s="529">
        <f t="shared" ref="Y250" si="987">Y592</f>
        <v>0</v>
      </c>
      <c r="Z250" s="1001" t="s">
        <v>701</v>
      </c>
      <c r="AA250" s="1098"/>
      <c r="AB250" s="1091"/>
      <c r="AC250" s="1099"/>
      <c r="AD250" s="1100">
        <f t="shared" si="979"/>
        <v>0</v>
      </c>
      <c r="AE250" s="1091"/>
      <c r="AF250" s="1091"/>
      <c r="AG250" s="1091"/>
      <c r="AH250" s="1091"/>
      <c r="AI250" s="1091"/>
      <c r="AJ250" s="1041" t="str">
        <f t="shared" si="799"/>
        <v/>
      </c>
    </row>
    <row r="251" spans="4:36" ht="11.25" customHeight="1" x14ac:dyDescent="0.2">
      <c r="D251" s="1092"/>
      <c r="E251" s="1093"/>
      <c r="F251" s="1093"/>
      <c r="G251" s="1093"/>
      <c r="H251" s="1094"/>
      <c r="I251" s="1095"/>
      <c r="J251" s="1096"/>
      <c r="K251" s="1096"/>
      <c r="L251" s="1096"/>
      <c r="M251" s="1097"/>
      <c r="N251" s="528">
        <f t="shared" ref="N251:P251" si="988">N593</f>
        <v>0</v>
      </c>
      <c r="O251" s="529">
        <f t="shared" si="988"/>
        <v>0</v>
      </c>
      <c r="P251" s="529">
        <f t="shared" si="988"/>
        <v>0</v>
      </c>
      <c r="Q251" s="1001" t="s">
        <v>701</v>
      </c>
      <c r="R251" s="528">
        <f t="shared" ref="R251:S251" si="989">R593</f>
        <v>0</v>
      </c>
      <c r="S251" s="529">
        <f t="shared" si="989"/>
        <v>0</v>
      </c>
      <c r="T251" s="1001" t="s">
        <v>701</v>
      </c>
      <c r="U251" s="530">
        <f t="shared" ref="U251:V251" si="990">U593</f>
        <v>0</v>
      </c>
      <c r="V251" s="529">
        <f t="shared" si="990"/>
        <v>0</v>
      </c>
      <c r="W251" s="1001" t="s">
        <v>701</v>
      </c>
      <c r="X251" s="1001" t="s">
        <v>701</v>
      </c>
      <c r="Y251" s="529">
        <f t="shared" ref="Y251" si="991">Y593</f>
        <v>0</v>
      </c>
      <c r="Z251" s="1001" t="s">
        <v>701</v>
      </c>
      <c r="AA251" s="1098"/>
      <c r="AB251" s="1091"/>
      <c r="AC251" s="1099"/>
      <c r="AD251" s="1100">
        <f t="shared" si="979"/>
        <v>0</v>
      </c>
      <c r="AE251" s="1091"/>
      <c r="AF251" s="1091"/>
      <c r="AG251" s="1091"/>
      <c r="AH251" s="1091"/>
      <c r="AI251" s="1091"/>
      <c r="AJ251" s="1041" t="str">
        <f t="shared" si="799"/>
        <v/>
      </c>
    </row>
    <row r="252" spans="4:36" ht="11.25" customHeight="1" x14ac:dyDescent="0.2">
      <c r="D252" s="1092"/>
      <c r="E252" s="1093"/>
      <c r="F252" s="1093"/>
      <c r="G252" s="1093"/>
      <c r="H252" s="1094"/>
      <c r="I252" s="1095"/>
      <c r="J252" s="1096"/>
      <c r="K252" s="1096"/>
      <c r="L252" s="1096"/>
      <c r="M252" s="1097"/>
      <c r="N252" s="528">
        <f t="shared" ref="N252:P252" si="992">N594</f>
        <v>0</v>
      </c>
      <c r="O252" s="529">
        <f t="shared" si="992"/>
        <v>0</v>
      </c>
      <c r="P252" s="529">
        <f t="shared" si="992"/>
        <v>0</v>
      </c>
      <c r="Q252" s="1001" t="s">
        <v>701</v>
      </c>
      <c r="R252" s="528">
        <f t="shared" ref="R252:S252" si="993">R594</f>
        <v>0</v>
      </c>
      <c r="S252" s="529">
        <f t="shared" si="993"/>
        <v>0</v>
      </c>
      <c r="T252" s="1001" t="s">
        <v>701</v>
      </c>
      <c r="U252" s="530">
        <f t="shared" ref="U252:V252" si="994">U594</f>
        <v>0</v>
      </c>
      <c r="V252" s="529">
        <f t="shared" si="994"/>
        <v>0</v>
      </c>
      <c r="W252" s="1001" t="s">
        <v>701</v>
      </c>
      <c r="X252" s="1001" t="s">
        <v>701</v>
      </c>
      <c r="Y252" s="529">
        <f t="shared" ref="Y252" si="995">Y594</f>
        <v>0</v>
      </c>
      <c r="Z252" s="1001" t="s">
        <v>701</v>
      </c>
      <c r="AA252" s="1098"/>
      <c r="AB252" s="1091"/>
      <c r="AC252" s="1099"/>
      <c r="AD252" s="1100">
        <f t="shared" si="979"/>
        <v>0</v>
      </c>
      <c r="AE252" s="1091"/>
      <c r="AF252" s="1091"/>
      <c r="AG252" s="1091"/>
      <c r="AH252" s="1091"/>
      <c r="AI252" s="1091"/>
      <c r="AJ252" s="1041" t="str">
        <f t="shared" si="799"/>
        <v/>
      </c>
    </row>
    <row r="253" spans="4:36" ht="11.25" customHeight="1" x14ac:dyDescent="0.2">
      <c r="D253" s="1092"/>
      <c r="E253" s="1093"/>
      <c r="F253" s="1093"/>
      <c r="G253" s="1093"/>
      <c r="H253" s="1094"/>
      <c r="I253" s="1095"/>
      <c r="J253" s="1096"/>
      <c r="K253" s="1096"/>
      <c r="L253" s="1096"/>
      <c r="M253" s="1097"/>
      <c r="N253" s="528">
        <f t="shared" ref="N253:P253" si="996">N595</f>
        <v>0</v>
      </c>
      <c r="O253" s="529">
        <f t="shared" si="996"/>
        <v>0</v>
      </c>
      <c r="P253" s="529">
        <f t="shared" si="996"/>
        <v>0</v>
      </c>
      <c r="Q253" s="1001" t="s">
        <v>701</v>
      </c>
      <c r="R253" s="528">
        <f t="shared" ref="R253:S253" si="997">R595</f>
        <v>0</v>
      </c>
      <c r="S253" s="529">
        <f t="shared" si="997"/>
        <v>0</v>
      </c>
      <c r="T253" s="1001" t="s">
        <v>701</v>
      </c>
      <c r="U253" s="530">
        <f t="shared" ref="U253:V253" si="998">U595</f>
        <v>0</v>
      </c>
      <c r="V253" s="529">
        <f t="shared" si="998"/>
        <v>0</v>
      </c>
      <c r="W253" s="1001" t="s">
        <v>701</v>
      </c>
      <c r="X253" s="1001" t="s">
        <v>701</v>
      </c>
      <c r="Y253" s="529">
        <f t="shared" ref="Y253" si="999">Y595</f>
        <v>0</v>
      </c>
      <c r="Z253" s="1001" t="s">
        <v>701</v>
      </c>
      <c r="AA253" s="1098"/>
      <c r="AB253" s="1091"/>
      <c r="AC253" s="1099"/>
      <c r="AD253" s="1100">
        <f t="shared" si="979"/>
        <v>0</v>
      </c>
      <c r="AE253" s="1091"/>
      <c r="AF253" s="1091"/>
      <c r="AG253" s="1091"/>
      <c r="AH253" s="1091"/>
      <c r="AI253" s="1091"/>
      <c r="AJ253" s="1041" t="str">
        <f t="shared" si="799"/>
        <v/>
      </c>
    </row>
    <row r="254" spans="4:36" ht="11.25" customHeight="1" thickBot="1" x14ac:dyDescent="0.25">
      <c r="D254" s="532" t="s">
        <v>418</v>
      </c>
      <c r="E254" s="533"/>
      <c r="F254" s="534"/>
      <c r="G254" s="535"/>
      <c r="H254" s="535"/>
      <c r="I254" s="534"/>
      <c r="J254" s="535"/>
      <c r="K254" s="535"/>
      <c r="L254" s="535"/>
      <c r="M254" s="536"/>
      <c r="N254" s="913">
        <f>SUM(N248:N253)</f>
        <v>0</v>
      </c>
      <c r="O254" s="913">
        <f t="shared" ref="O254" si="1000">SUM(O248:O253)</f>
        <v>0</v>
      </c>
      <c r="P254" s="914"/>
      <c r="Q254" s="1002" t="s">
        <v>701</v>
      </c>
      <c r="R254" s="915"/>
      <c r="S254" s="916">
        <f t="shared" ref="S254" si="1001">SUM(S248:S253)</f>
        <v>0</v>
      </c>
      <c r="T254" s="1003" t="s">
        <v>701</v>
      </c>
      <c r="U254" s="915"/>
      <c r="V254" s="916">
        <f t="shared" ref="V254:Y254" si="1002">SUM(V248:V253)</f>
        <v>0</v>
      </c>
      <c r="W254" s="1003" t="s">
        <v>701</v>
      </c>
      <c r="X254" s="1003" t="s">
        <v>701</v>
      </c>
      <c r="Y254" s="916">
        <f t="shared" si="1002"/>
        <v>400</v>
      </c>
      <c r="Z254" s="1003" t="s">
        <v>701</v>
      </c>
      <c r="AA254" s="1003" t="s">
        <v>701</v>
      </c>
      <c r="AB254" s="1004" t="s">
        <v>701</v>
      </c>
      <c r="AC254" s="1005" t="s">
        <v>701</v>
      </c>
      <c r="AD254" s="917"/>
      <c r="AE254" s="1004" t="s">
        <v>701</v>
      </c>
      <c r="AF254" s="1004" t="s">
        <v>701</v>
      </c>
      <c r="AG254" s="1004" t="s">
        <v>701</v>
      </c>
      <c r="AH254" s="1004" t="s">
        <v>701</v>
      </c>
      <c r="AI254" s="1004" t="s">
        <v>701</v>
      </c>
      <c r="AJ254" s="1042" t="str">
        <f t="shared" si="799"/>
        <v/>
      </c>
    </row>
    <row r="255" spans="4:36" ht="11.25" customHeight="1" x14ac:dyDescent="0.25">
      <c r="D255" s="1092" t="str">
        <f>D597</f>
        <v>Marulan Substation Protection System  (VNI)</v>
      </c>
      <c r="E255" s="1093" t="str">
        <f t="shared" ref="E255:P255" si="1003">E597</f>
        <v>Transmission substation</v>
      </c>
      <c r="F255" s="1093">
        <f t="shared" si="1003"/>
        <v>2148</v>
      </c>
      <c r="G255" s="1093" t="str">
        <f t="shared" si="1003"/>
        <v>Other</v>
      </c>
      <c r="H255" s="1094" t="str">
        <f t="shared" si="1003"/>
        <v>Net market benefit</v>
      </c>
      <c r="I255" s="1095" t="str">
        <f t="shared" si="1003"/>
        <v>330/132</v>
      </c>
      <c r="J255" s="1096">
        <f t="shared" si="1003"/>
        <v>360</v>
      </c>
      <c r="K255" s="1096">
        <f t="shared" si="1003"/>
        <v>360</v>
      </c>
      <c r="L255" s="1096">
        <f t="shared" si="1003"/>
        <v>160</v>
      </c>
      <c r="M255" s="1097">
        <f t="shared" si="1003"/>
        <v>160</v>
      </c>
      <c r="N255" s="522">
        <f t="shared" si="1003"/>
        <v>0</v>
      </c>
      <c r="O255" s="523">
        <f t="shared" si="1003"/>
        <v>0</v>
      </c>
      <c r="P255" s="524">
        <f t="shared" si="1003"/>
        <v>0</v>
      </c>
      <c r="Q255" s="1000" t="s">
        <v>701</v>
      </c>
      <c r="R255" s="525">
        <f t="shared" ref="R255:S255" si="1004">R597</f>
        <v>0</v>
      </c>
      <c r="S255" s="524">
        <f t="shared" si="1004"/>
        <v>0</v>
      </c>
      <c r="T255" s="1000" t="s">
        <v>701</v>
      </c>
      <c r="U255" s="526">
        <f t="shared" ref="U255:V255" si="1005">U597</f>
        <v>0</v>
      </c>
      <c r="V255" s="524">
        <f t="shared" si="1005"/>
        <v>0</v>
      </c>
      <c r="W255" s="1000" t="s">
        <v>701</v>
      </c>
      <c r="X255" s="1000" t="s">
        <v>701</v>
      </c>
      <c r="Y255" s="527">
        <f t="shared" ref="Y255" si="1006">Y597</f>
        <v>400</v>
      </c>
      <c r="Z255" s="1000" t="s">
        <v>701</v>
      </c>
      <c r="AA255" s="1098" t="s">
        <v>701</v>
      </c>
      <c r="AB255" s="1091" t="s">
        <v>701</v>
      </c>
      <c r="AC255" s="1099"/>
      <c r="AD255" s="1100">
        <f t="shared" ref="AD255:AD260" si="1007">AD597</f>
        <v>0</v>
      </c>
      <c r="AE255" s="1091" t="s">
        <v>701</v>
      </c>
      <c r="AF255" s="1091" t="s">
        <v>701</v>
      </c>
      <c r="AG255" s="1091" t="s">
        <v>701</v>
      </c>
      <c r="AH255" s="1091" t="s">
        <v>701</v>
      </c>
      <c r="AI255" s="1091" t="s">
        <v>701</v>
      </c>
      <c r="AJ255" s="1040" t="str">
        <f t="shared" si="799"/>
        <v/>
      </c>
    </row>
    <row r="256" spans="4:36" ht="11.25" customHeight="1" x14ac:dyDescent="0.2">
      <c r="D256" s="1092"/>
      <c r="E256" s="1093"/>
      <c r="F256" s="1093"/>
      <c r="G256" s="1093"/>
      <c r="H256" s="1094"/>
      <c r="I256" s="1095"/>
      <c r="J256" s="1096"/>
      <c r="K256" s="1096"/>
      <c r="L256" s="1096"/>
      <c r="M256" s="1097"/>
      <c r="N256" s="528">
        <f t="shared" ref="N256:P256" si="1008">N598</f>
        <v>0</v>
      </c>
      <c r="O256" s="529">
        <f t="shared" si="1008"/>
        <v>0</v>
      </c>
      <c r="P256" s="529">
        <f t="shared" si="1008"/>
        <v>0</v>
      </c>
      <c r="Q256" s="1001" t="s">
        <v>701</v>
      </c>
      <c r="R256" s="528">
        <f t="shared" ref="R256:S256" si="1009">R598</f>
        <v>0</v>
      </c>
      <c r="S256" s="529">
        <f t="shared" si="1009"/>
        <v>0</v>
      </c>
      <c r="T256" s="1001" t="s">
        <v>701</v>
      </c>
      <c r="U256" s="530">
        <f t="shared" ref="U256:V256" si="1010">U598</f>
        <v>0</v>
      </c>
      <c r="V256" s="529">
        <f t="shared" si="1010"/>
        <v>0</v>
      </c>
      <c r="W256" s="1001" t="s">
        <v>701</v>
      </c>
      <c r="X256" s="1001" t="s">
        <v>701</v>
      </c>
      <c r="Y256" s="531">
        <f t="shared" ref="Y256" si="1011">Y598</f>
        <v>0</v>
      </c>
      <c r="Z256" s="1001" t="s">
        <v>701</v>
      </c>
      <c r="AA256" s="1098"/>
      <c r="AB256" s="1091"/>
      <c r="AC256" s="1099"/>
      <c r="AD256" s="1100">
        <f t="shared" si="1007"/>
        <v>0</v>
      </c>
      <c r="AE256" s="1091"/>
      <c r="AF256" s="1091"/>
      <c r="AG256" s="1091"/>
      <c r="AH256" s="1091"/>
      <c r="AI256" s="1091"/>
      <c r="AJ256" s="1041" t="str">
        <f t="shared" si="799"/>
        <v/>
      </c>
    </row>
    <row r="257" spans="4:36" ht="11.25" customHeight="1" x14ac:dyDescent="0.2">
      <c r="D257" s="1092"/>
      <c r="E257" s="1093"/>
      <c r="F257" s="1093"/>
      <c r="G257" s="1093"/>
      <c r="H257" s="1094"/>
      <c r="I257" s="1095"/>
      <c r="J257" s="1096"/>
      <c r="K257" s="1096"/>
      <c r="L257" s="1096"/>
      <c r="M257" s="1097"/>
      <c r="N257" s="528">
        <f t="shared" ref="N257:P257" si="1012">N599</f>
        <v>0</v>
      </c>
      <c r="O257" s="529">
        <f t="shared" si="1012"/>
        <v>0</v>
      </c>
      <c r="P257" s="529">
        <f t="shared" si="1012"/>
        <v>0</v>
      </c>
      <c r="Q257" s="1001" t="s">
        <v>701</v>
      </c>
      <c r="R257" s="528">
        <f t="shared" ref="R257:S257" si="1013">R599</f>
        <v>0</v>
      </c>
      <c r="S257" s="529">
        <f t="shared" si="1013"/>
        <v>0</v>
      </c>
      <c r="T257" s="1001" t="s">
        <v>701</v>
      </c>
      <c r="U257" s="530">
        <f t="shared" ref="U257:V257" si="1014">U599</f>
        <v>0</v>
      </c>
      <c r="V257" s="529">
        <f t="shared" si="1014"/>
        <v>0</v>
      </c>
      <c r="W257" s="1001" t="s">
        <v>701</v>
      </c>
      <c r="X257" s="1001" t="s">
        <v>701</v>
      </c>
      <c r="Y257" s="529">
        <f t="shared" ref="Y257" si="1015">Y599</f>
        <v>0</v>
      </c>
      <c r="Z257" s="1001" t="s">
        <v>701</v>
      </c>
      <c r="AA257" s="1098"/>
      <c r="AB257" s="1091"/>
      <c r="AC257" s="1099"/>
      <c r="AD257" s="1100">
        <f t="shared" si="1007"/>
        <v>0</v>
      </c>
      <c r="AE257" s="1091"/>
      <c r="AF257" s="1091"/>
      <c r="AG257" s="1091"/>
      <c r="AH257" s="1091"/>
      <c r="AI257" s="1091"/>
      <c r="AJ257" s="1041" t="str">
        <f t="shared" si="799"/>
        <v/>
      </c>
    </row>
    <row r="258" spans="4:36" ht="11.25" customHeight="1" x14ac:dyDescent="0.2">
      <c r="D258" s="1092"/>
      <c r="E258" s="1093"/>
      <c r="F258" s="1093"/>
      <c r="G258" s="1093"/>
      <c r="H258" s="1094"/>
      <c r="I258" s="1095"/>
      <c r="J258" s="1096"/>
      <c r="K258" s="1096"/>
      <c r="L258" s="1096"/>
      <c r="M258" s="1097"/>
      <c r="N258" s="528">
        <f t="shared" ref="N258:P258" si="1016">N600</f>
        <v>0</v>
      </c>
      <c r="O258" s="529">
        <f t="shared" si="1016"/>
        <v>0</v>
      </c>
      <c r="P258" s="529">
        <f t="shared" si="1016"/>
        <v>0</v>
      </c>
      <c r="Q258" s="1001" t="s">
        <v>701</v>
      </c>
      <c r="R258" s="528">
        <f t="shared" ref="R258:S258" si="1017">R600</f>
        <v>0</v>
      </c>
      <c r="S258" s="529">
        <f t="shared" si="1017"/>
        <v>0</v>
      </c>
      <c r="T258" s="1001" t="s">
        <v>701</v>
      </c>
      <c r="U258" s="530">
        <f t="shared" ref="U258:V258" si="1018">U600</f>
        <v>0</v>
      </c>
      <c r="V258" s="529">
        <f t="shared" si="1018"/>
        <v>0</v>
      </c>
      <c r="W258" s="1001" t="s">
        <v>701</v>
      </c>
      <c r="X258" s="1001" t="s">
        <v>701</v>
      </c>
      <c r="Y258" s="529">
        <f t="shared" ref="Y258" si="1019">Y600</f>
        <v>0</v>
      </c>
      <c r="Z258" s="1001" t="s">
        <v>701</v>
      </c>
      <c r="AA258" s="1098"/>
      <c r="AB258" s="1091"/>
      <c r="AC258" s="1099"/>
      <c r="AD258" s="1100">
        <f t="shared" si="1007"/>
        <v>0</v>
      </c>
      <c r="AE258" s="1091"/>
      <c r="AF258" s="1091"/>
      <c r="AG258" s="1091"/>
      <c r="AH258" s="1091"/>
      <c r="AI258" s="1091"/>
      <c r="AJ258" s="1041" t="str">
        <f t="shared" si="799"/>
        <v/>
      </c>
    </row>
    <row r="259" spans="4:36" ht="11.25" customHeight="1" x14ac:dyDescent="0.2">
      <c r="D259" s="1092"/>
      <c r="E259" s="1093"/>
      <c r="F259" s="1093"/>
      <c r="G259" s="1093"/>
      <c r="H259" s="1094"/>
      <c r="I259" s="1095"/>
      <c r="J259" s="1096"/>
      <c r="K259" s="1096"/>
      <c r="L259" s="1096"/>
      <c r="M259" s="1097"/>
      <c r="N259" s="528">
        <f t="shared" ref="N259:P259" si="1020">N601</f>
        <v>0</v>
      </c>
      <c r="O259" s="529">
        <f t="shared" si="1020"/>
        <v>0</v>
      </c>
      <c r="P259" s="529">
        <f t="shared" si="1020"/>
        <v>0</v>
      </c>
      <c r="Q259" s="1001" t="s">
        <v>701</v>
      </c>
      <c r="R259" s="528">
        <f t="shared" ref="R259:S259" si="1021">R601</f>
        <v>0</v>
      </c>
      <c r="S259" s="529">
        <f t="shared" si="1021"/>
        <v>0</v>
      </c>
      <c r="T259" s="1001" t="s">
        <v>701</v>
      </c>
      <c r="U259" s="530">
        <f t="shared" ref="U259:V259" si="1022">U601</f>
        <v>0</v>
      </c>
      <c r="V259" s="529">
        <f t="shared" si="1022"/>
        <v>0</v>
      </c>
      <c r="W259" s="1001" t="s">
        <v>701</v>
      </c>
      <c r="X259" s="1001" t="s">
        <v>701</v>
      </c>
      <c r="Y259" s="529">
        <f t="shared" ref="Y259" si="1023">Y601</f>
        <v>0</v>
      </c>
      <c r="Z259" s="1001" t="s">
        <v>701</v>
      </c>
      <c r="AA259" s="1098"/>
      <c r="AB259" s="1091"/>
      <c r="AC259" s="1099"/>
      <c r="AD259" s="1100">
        <f t="shared" si="1007"/>
        <v>0</v>
      </c>
      <c r="AE259" s="1091"/>
      <c r="AF259" s="1091"/>
      <c r="AG259" s="1091"/>
      <c r="AH259" s="1091"/>
      <c r="AI259" s="1091"/>
      <c r="AJ259" s="1041" t="str">
        <f t="shared" si="799"/>
        <v/>
      </c>
    </row>
    <row r="260" spans="4:36" ht="11.25" customHeight="1" x14ac:dyDescent="0.2">
      <c r="D260" s="1092"/>
      <c r="E260" s="1093"/>
      <c r="F260" s="1093"/>
      <c r="G260" s="1093"/>
      <c r="H260" s="1094"/>
      <c r="I260" s="1095"/>
      <c r="J260" s="1096"/>
      <c r="K260" s="1096"/>
      <c r="L260" s="1096"/>
      <c r="M260" s="1097"/>
      <c r="N260" s="528">
        <f t="shared" ref="N260:P260" si="1024">N602</f>
        <v>0</v>
      </c>
      <c r="O260" s="529">
        <f t="shared" si="1024"/>
        <v>0</v>
      </c>
      <c r="P260" s="529">
        <f t="shared" si="1024"/>
        <v>0</v>
      </c>
      <c r="Q260" s="1001" t="s">
        <v>701</v>
      </c>
      <c r="R260" s="528">
        <f t="shared" ref="R260:S260" si="1025">R602</f>
        <v>0</v>
      </c>
      <c r="S260" s="529">
        <f t="shared" si="1025"/>
        <v>0</v>
      </c>
      <c r="T260" s="1001" t="s">
        <v>701</v>
      </c>
      <c r="U260" s="530">
        <f t="shared" ref="U260:V260" si="1026">U602</f>
        <v>0</v>
      </c>
      <c r="V260" s="529">
        <f t="shared" si="1026"/>
        <v>0</v>
      </c>
      <c r="W260" s="1001" t="s">
        <v>701</v>
      </c>
      <c r="X260" s="1001" t="s">
        <v>701</v>
      </c>
      <c r="Y260" s="529">
        <f t="shared" ref="Y260" si="1027">Y602</f>
        <v>0</v>
      </c>
      <c r="Z260" s="1001" t="s">
        <v>701</v>
      </c>
      <c r="AA260" s="1098"/>
      <c r="AB260" s="1091"/>
      <c r="AC260" s="1099"/>
      <c r="AD260" s="1100">
        <f t="shared" si="1007"/>
        <v>0</v>
      </c>
      <c r="AE260" s="1091"/>
      <c r="AF260" s="1091"/>
      <c r="AG260" s="1091"/>
      <c r="AH260" s="1091"/>
      <c r="AI260" s="1091"/>
      <c r="AJ260" s="1041" t="str">
        <f t="shared" si="799"/>
        <v/>
      </c>
    </row>
    <row r="261" spans="4:36" ht="11.25" customHeight="1" thickBot="1" x14ac:dyDescent="0.25">
      <c r="D261" s="532" t="s">
        <v>418</v>
      </c>
      <c r="E261" s="533"/>
      <c r="F261" s="534"/>
      <c r="G261" s="535"/>
      <c r="H261" s="535"/>
      <c r="I261" s="534"/>
      <c r="J261" s="535"/>
      <c r="K261" s="535"/>
      <c r="L261" s="535"/>
      <c r="M261" s="536"/>
      <c r="N261" s="913">
        <f>SUM(N255:N260)</f>
        <v>0</v>
      </c>
      <c r="O261" s="913">
        <f t="shared" ref="O261" si="1028">SUM(O255:O260)</f>
        <v>0</v>
      </c>
      <c r="P261" s="914"/>
      <c r="Q261" s="1002" t="s">
        <v>701</v>
      </c>
      <c r="R261" s="915"/>
      <c r="S261" s="916">
        <f t="shared" ref="S261" si="1029">SUM(S255:S260)</f>
        <v>0</v>
      </c>
      <c r="T261" s="1003" t="s">
        <v>701</v>
      </c>
      <c r="U261" s="915"/>
      <c r="V261" s="916">
        <f t="shared" ref="V261:Y261" si="1030">SUM(V255:V260)</f>
        <v>0</v>
      </c>
      <c r="W261" s="1003" t="s">
        <v>701</v>
      </c>
      <c r="X261" s="1003" t="s">
        <v>701</v>
      </c>
      <c r="Y261" s="916">
        <f t="shared" si="1030"/>
        <v>400</v>
      </c>
      <c r="Z261" s="1003" t="s">
        <v>701</v>
      </c>
      <c r="AA261" s="1003" t="s">
        <v>701</v>
      </c>
      <c r="AB261" s="1004" t="s">
        <v>701</v>
      </c>
      <c r="AC261" s="1005" t="s">
        <v>701</v>
      </c>
      <c r="AD261" s="917"/>
      <c r="AE261" s="1004" t="s">
        <v>701</v>
      </c>
      <c r="AF261" s="1004" t="s">
        <v>701</v>
      </c>
      <c r="AG261" s="1004" t="s">
        <v>701</v>
      </c>
      <c r="AH261" s="1004" t="s">
        <v>701</v>
      </c>
      <c r="AI261" s="1004" t="s">
        <v>701</v>
      </c>
      <c r="AJ261" s="1042" t="str">
        <f t="shared" si="799"/>
        <v/>
      </c>
    </row>
    <row r="262" spans="4:36" ht="11.25" customHeight="1" x14ac:dyDescent="0.25">
      <c r="D262" s="1092" t="str">
        <f>D604</f>
        <v>Canberra Substation Protection System  (VNI)</v>
      </c>
      <c r="E262" s="1093" t="str">
        <f t="shared" ref="E262:P262" si="1031">E604</f>
        <v>Transmission substation</v>
      </c>
      <c r="F262" s="1093">
        <f t="shared" si="1031"/>
        <v>2148</v>
      </c>
      <c r="G262" s="1093" t="str">
        <f t="shared" si="1031"/>
        <v>Other</v>
      </c>
      <c r="H262" s="1094" t="str">
        <f t="shared" si="1031"/>
        <v>Net market benefit</v>
      </c>
      <c r="I262" s="1095" t="str">
        <f t="shared" si="1031"/>
        <v>330/132</v>
      </c>
      <c r="J262" s="1096">
        <f t="shared" si="1031"/>
        <v>750</v>
      </c>
      <c r="K262" s="1096">
        <f t="shared" si="1031"/>
        <v>750</v>
      </c>
      <c r="L262" s="1096">
        <f t="shared" si="1031"/>
        <v>375</v>
      </c>
      <c r="M262" s="1097">
        <f t="shared" si="1031"/>
        <v>375</v>
      </c>
      <c r="N262" s="522">
        <f t="shared" si="1031"/>
        <v>0</v>
      </c>
      <c r="O262" s="523">
        <f t="shared" si="1031"/>
        <v>0</v>
      </c>
      <c r="P262" s="524">
        <f t="shared" si="1031"/>
        <v>0</v>
      </c>
      <c r="Q262" s="1000" t="s">
        <v>701</v>
      </c>
      <c r="R262" s="525">
        <f t="shared" ref="R262:S262" si="1032">R604</f>
        <v>0</v>
      </c>
      <c r="S262" s="524">
        <f t="shared" si="1032"/>
        <v>0</v>
      </c>
      <c r="T262" s="1000" t="s">
        <v>701</v>
      </c>
      <c r="U262" s="526">
        <f t="shared" ref="U262:V262" si="1033">U604</f>
        <v>0</v>
      </c>
      <c r="V262" s="524">
        <f t="shared" si="1033"/>
        <v>0</v>
      </c>
      <c r="W262" s="1000" t="s">
        <v>701</v>
      </c>
      <c r="X262" s="1000" t="s">
        <v>701</v>
      </c>
      <c r="Y262" s="527">
        <f t="shared" ref="Y262" si="1034">Y604</f>
        <v>400</v>
      </c>
      <c r="Z262" s="1000" t="s">
        <v>701</v>
      </c>
      <c r="AA262" s="1098" t="s">
        <v>701</v>
      </c>
      <c r="AB262" s="1091" t="s">
        <v>701</v>
      </c>
      <c r="AC262" s="1099"/>
      <c r="AD262" s="1100">
        <f t="shared" ref="AD262:AD267" si="1035">AD604</f>
        <v>0</v>
      </c>
      <c r="AE262" s="1091" t="s">
        <v>701</v>
      </c>
      <c r="AF262" s="1091" t="s">
        <v>701</v>
      </c>
      <c r="AG262" s="1091" t="s">
        <v>701</v>
      </c>
      <c r="AH262" s="1091" t="s">
        <v>701</v>
      </c>
      <c r="AI262" s="1091" t="s">
        <v>701</v>
      </c>
      <c r="AJ262" s="1040" t="str">
        <f t="shared" si="799"/>
        <v/>
      </c>
    </row>
    <row r="263" spans="4:36" ht="11.25" customHeight="1" x14ac:dyDescent="0.2">
      <c r="D263" s="1092"/>
      <c r="E263" s="1093"/>
      <c r="F263" s="1093"/>
      <c r="G263" s="1093"/>
      <c r="H263" s="1094"/>
      <c r="I263" s="1095"/>
      <c r="J263" s="1096"/>
      <c r="K263" s="1096"/>
      <c r="L263" s="1096"/>
      <c r="M263" s="1097"/>
      <c r="N263" s="528">
        <f t="shared" ref="N263:P263" si="1036">N605</f>
        <v>0</v>
      </c>
      <c r="O263" s="529">
        <f t="shared" si="1036"/>
        <v>0</v>
      </c>
      <c r="P263" s="529">
        <f t="shared" si="1036"/>
        <v>0</v>
      </c>
      <c r="Q263" s="1001" t="s">
        <v>701</v>
      </c>
      <c r="R263" s="528">
        <f t="shared" ref="R263:S263" si="1037">R605</f>
        <v>0</v>
      </c>
      <c r="S263" s="529">
        <f t="shared" si="1037"/>
        <v>0</v>
      </c>
      <c r="T263" s="1001" t="s">
        <v>701</v>
      </c>
      <c r="U263" s="530">
        <f t="shared" ref="U263:V263" si="1038">U605</f>
        <v>0</v>
      </c>
      <c r="V263" s="529">
        <f t="shared" si="1038"/>
        <v>0</v>
      </c>
      <c r="W263" s="1001" t="s">
        <v>701</v>
      </c>
      <c r="X263" s="1001" t="s">
        <v>701</v>
      </c>
      <c r="Y263" s="531">
        <f t="shared" ref="Y263" si="1039">Y605</f>
        <v>0</v>
      </c>
      <c r="Z263" s="1001" t="s">
        <v>701</v>
      </c>
      <c r="AA263" s="1098"/>
      <c r="AB263" s="1091"/>
      <c r="AC263" s="1099"/>
      <c r="AD263" s="1100">
        <f t="shared" si="1035"/>
        <v>0</v>
      </c>
      <c r="AE263" s="1091"/>
      <c r="AF263" s="1091"/>
      <c r="AG263" s="1091"/>
      <c r="AH263" s="1091"/>
      <c r="AI263" s="1091"/>
      <c r="AJ263" s="1041" t="str">
        <f t="shared" si="799"/>
        <v/>
      </c>
    </row>
    <row r="264" spans="4:36" ht="11.25" customHeight="1" x14ac:dyDescent="0.2">
      <c r="D264" s="1092"/>
      <c r="E264" s="1093"/>
      <c r="F264" s="1093"/>
      <c r="G264" s="1093"/>
      <c r="H264" s="1094"/>
      <c r="I264" s="1095"/>
      <c r="J264" s="1096"/>
      <c r="K264" s="1096"/>
      <c r="L264" s="1096"/>
      <c r="M264" s="1097"/>
      <c r="N264" s="528">
        <f t="shared" ref="N264:P264" si="1040">N606</f>
        <v>0</v>
      </c>
      <c r="O264" s="529">
        <f t="shared" si="1040"/>
        <v>0</v>
      </c>
      <c r="P264" s="529">
        <f t="shared" si="1040"/>
        <v>0</v>
      </c>
      <c r="Q264" s="1001" t="s">
        <v>701</v>
      </c>
      <c r="R264" s="528">
        <f t="shared" ref="R264:S264" si="1041">R606</f>
        <v>0</v>
      </c>
      <c r="S264" s="529">
        <f t="shared" si="1041"/>
        <v>0</v>
      </c>
      <c r="T264" s="1001" t="s">
        <v>701</v>
      </c>
      <c r="U264" s="530">
        <f t="shared" ref="U264:V264" si="1042">U606</f>
        <v>0</v>
      </c>
      <c r="V264" s="529">
        <f t="shared" si="1042"/>
        <v>0</v>
      </c>
      <c r="W264" s="1001" t="s">
        <v>701</v>
      </c>
      <c r="X264" s="1001" t="s">
        <v>701</v>
      </c>
      <c r="Y264" s="529">
        <f t="shared" ref="Y264" si="1043">Y606</f>
        <v>0</v>
      </c>
      <c r="Z264" s="1001" t="s">
        <v>701</v>
      </c>
      <c r="AA264" s="1098"/>
      <c r="AB264" s="1091"/>
      <c r="AC264" s="1099"/>
      <c r="AD264" s="1100">
        <f t="shared" si="1035"/>
        <v>0</v>
      </c>
      <c r="AE264" s="1091"/>
      <c r="AF264" s="1091"/>
      <c r="AG264" s="1091"/>
      <c r="AH264" s="1091"/>
      <c r="AI264" s="1091"/>
      <c r="AJ264" s="1041" t="str">
        <f t="shared" si="799"/>
        <v/>
      </c>
    </row>
    <row r="265" spans="4:36" ht="11.25" customHeight="1" x14ac:dyDescent="0.2">
      <c r="D265" s="1092"/>
      <c r="E265" s="1093"/>
      <c r="F265" s="1093"/>
      <c r="G265" s="1093"/>
      <c r="H265" s="1094"/>
      <c r="I265" s="1095"/>
      <c r="J265" s="1096"/>
      <c r="K265" s="1096"/>
      <c r="L265" s="1096"/>
      <c r="M265" s="1097"/>
      <c r="N265" s="528">
        <f t="shared" ref="N265:P265" si="1044">N607</f>
        <v>0</v>
      </c>
      <c r="O265" s="529">
        <f t="shared" si="1044"/>
        <v>0</v>
      </c>
      <c r="P265" s="529">
        <f t="shared" si="1044"/>
        <v>0</v>
      </c>
      <c r="Q265" s="1001" t="s">
        <v>701</v>
      </c>
      <c r="R265" s="528">
        <f t="shared" ref="R265:S265" si="1045">R607</f>
        <v>0</v>
      </c>
      <c r="S265" s="529">
        <f t="shared" si="1045"/>
        <v>0</v>
      </c>
      <c r="T265" s="1001" t="s">
        <v>701</v>
      </c>
      <c r="U265" s="530">
        <f t="shared" ref="U265:V265" si="1046">U607</f>
        <v>0</v>
      </c>
      <c r="V265" s="529">
        <f t="shared" si="1046"/>
        <v>0</v>
      </c>
      <c r="W265" s="1001" t="s">
        <v>701</v>
      </c>
      <c r="X265" s="1001" t="s">
        <v>701</v>
      </c>
      <c r="Y265" s="529">
        <f t="shared" ref="Y265" si="1047">Y607</f>
        <v>0</v>
      </c>
      <c r="Z265" s="1001" t="s">
        <v>701</v>
      </c>
      <c r="AA265" s="1098"/>
      <c r="AB265" s="1091"/>
      <c r="AC265" s="1099"/>
      <c r="AD265" s="1100">
        <f t="shared" si="1035"/>
        <v>0</v>
      </c>
      <c r="AE265" s="1091"/>
      <c r="AF265" s="1091"/>
      <c r="AG265" s="1091"/>
      <c r="AH265" s="1091"/>
      <c r="AI265" s="1091"/>
      <c r="AJ265" s="1041" t="str">
        <f t="shared" si="799"/>
        <v/>
      </c>
    </row>
    <row r="266" spans="4:36" ht="11.25" customHeight="1" x14ac:dyDescent="0.2">
      <c r="D266" s="1092"/>
      <c r="E266" s="1093"/>
      <c r="F266" s="1093"/>
      <c r="G266" s="1093"/>
      <c r="H266" s="1094"/>
      <c r="I266" s="1095"/>
      <c r="J266" s="1096"/>
      <c r="K266" s="1096"/>
      <c r="L266" s="1096"/>
      <c r="M266" s="1097"/>
      <c r="N266" s="528">
        <f t="shared" ref="N266:P266" si="1048">N608</f>
        <v>0</v>
      </c>
      <c r="O266" s="529">
        <f t="shared" si="1048"/>
        <v>0</v>
      </c>
      <c r="P266" s="529">
        <f t="shared" si="1048"/>
        <v>0</v>
      </c>
      <c r="Q266" s="1001" t="s">
        <v>701</v>
      </c>
      <c r="R266" s="528">
        <f t="shared" ref="R266:S266" si="1049">R608</f>
        <v>0</v>
      </c>
      <c r="S266" s="529">
        <f t="shared" si="1049"/>
        <v>0</v>
      </c>
      <c r="T266" s="1001" t="s">
        <v>701</v>
      </c>
      <c r="U266" s="530">
        <f t="shared" ref="U266:V266" si="1050">U608</f>
        <v>0</v>
      </c>
      <c r="V266" s="529">
        <f t="shared" si="1050"/>
        <v>0</v>
      </c>
      <c r="W266" s="1001" t="s">
        <v>701</v>
      </c>
      <c r="X266" s="1001" t="s">
        <v>701</v>
      </c>
      <c r="Y266" s="529">
        <f t="shared" ref="Y266" si="1051">Y608</f>
        <v>0</v>
      </c>
      <c r="Z266" s="1001" t="s">
        <v>701</v>
      </c>
      <c r="AA266" s="1098"/>
      <c r="AB266" s="1091"/>
      <c r="AC266" s="1099"/>
      <c r="AD266" s="1100">
        <f t="shared" si="1035"/>
        <v>0</v>
      </c>
      <c r="AE266" s="1091"/>
      <c r="AF266" s="1091"/>
      <c r="AG266" s="1091"/>
      <c r="AH266" s="1091"/>
      <c r="AI266" s="1091"/>
      <c r="AJ266" s="1041" t="str">
        <f t="shared" si="799"/>
        <v/>
      </c>
    </row>
    <row r="267" spans="4:36" ht="11.25" customHeight="1" x14ac:dyDescent="0.2">
      <c r="D267" s="1092"/>
      <c r="E267" s="1093"/>
      <c r="F267" s="1093"/>
      <c r="G267" s="1093"/>
      <c r="H267" s="1094"/>
      <c r="I267" s="1095"/>
      <c r="J267" s="1096"/>
      <c r="K267" s="1096"/>
      <c r="L267" s="1096"/>
      <c r="M267" s="1097"/>
      <c r="N267" s="528">
        <f t="shared" ref="N267:P267" si="1052">N609</f>
        <v>0</v>
      </c>
      <c r="O267" s="529">
        <f t="shared" si="1052"/>
        <v>0</v>
      </c>
      <c r="P267" s="529">
        <f t="shared" si="1052"/>
        <v>0</v>
      </c>
      <c r="Q267" s="1001" t="s">
        <v>701</v>
      </c>
      <c r="R267" s="528">
        <f t="shared" ref="R267:S267" si="1053">R609</f>
        <v>0</v>
      </c>
      <c r="S267" s="529">
        <f t="shared" si="1053"/>
        <v>0</v>
      </c>
      <c r="T267" s="1001" t="s">
        <v>701</v>
      </c>
      <c r="U267" s="530">
        <f t="shared" ref="U267:V267" si="1054">U609</f>
        <v>0</v>
      </c>
      <c r="V267" s="529">
        <f t="shared" si="1054"/>
        <v>0</v>
      </c>
      <c r="W267" s="1001" t="s">
        <v>701</v>
      </c>
      <c r="X267" s="1001" t="s">
        <v>701</v>
      </c>
      <c r="Y267" s="529">
        <f t="shared" ref="Y267" si="1055">Y609</f>
        <v>0</v>
      </c>
      <c r="Z267" s="1001" t="s">
        <v>701</v>
      </c>
      <c r="AA267" s="1098"/>
      <c r="AB267" s="1091"/>
      <c r="AC267" s="1099"/>
      <c r="AD267" s="1100">
        <f t="shared" si="1035"/>
        <v>0</v>
      </c>
      <c r="AE267" s="1091"/>
      <c r="AF267" s="1091"/>
      <c r="AG267" s="1091"/>
      <c r="AH267" s="1091"/>
      <c r="AI267" s="1091"/>
      <c r="AJ267" s="1041" t="str">
        <f t="shared" ref="AJ267:AJ325" si="1056">AJ609</f>
        <v/>
      </c>
    </row>
    <row r="268" spans="4:36" ht="11.25" customHeight="1" thickBot="1" x14ac:dyDescent="0.25">
      <c r="D268" s="532" t="s">
        <v>418</v>
      </c>
      <c r="E268" s="533"/>
      <c r="F268" s="534"/>
      <c r="G268" s="535"/>
      <c r="H268" s="535"/>
      <c r="I268" s="534"/>
      <c r="J268" s="535"/>
      <c r="K268" s="535"/>
      <c r="L268" s="535"/>
      <c r="M268" s="536"/>
      <c r="N268" s="913">
        <f>SUM(N262:N267)</f>
        <v>0</v>
      </c>
      <c r="O268" s="913">
        <f t="shared" ref="O268" si="1057">SUM(O262:O267)</f>
        <v>0</v>
      </c>
      <c r="P268" s="914"/>
      <c r="Q268" s="1002" t="s">
        <v>701</v>
      </c>
      <c r="R268" s="915"/>
      <c r="S268" s="916">
        <f t="shared" ref="S268" si="1058">SUM(S262:S267)</f>
        <v>0</v>
      </c>
      <c r="T268" s="1003" t="s">
        <v>701</v>
      </c>
      <c r="U268" s="915"/>
      <c r="V268" s="916">
        <f t="shared" ref="V268:Y268" si="1059">SUM(V262:V267)</f>
        <v>0</v>
      </c>
      <c r="W268" s="1003" t="s">
        <v>701</v>
      </c>
      <c r="X268" s="1003" t="s">
        <v>701</v>
      </c>
      <c r="Y268" s="916">
        <f t="shared" si="1059"/>
        <v>400</v>
      </c>
      <c r="Z268" s="1003" t="s">
        <v>701</v>
      </c>
      <c r="AA268" s="1003" t="s">
        <v>701</v>
      </c>
      <c r="AB268" s="1004" t="s">
        <v>701</v>
      </c>
      <c r="AC268" s="1005" t="s">
        <v>701</v>
      </c>
      <c r="AD268" s="917"/>
      <c r="AE268" s="1004" t="s">
        <v>701</v>
      </c>
      <c r="AF268" s="1004" t="s">
        <v>701</v>
      </c>
      <c r="AG268" s="1004" t="s">
        <v>701</v>
      </c>
      <c r="AH268" s="1004" t="s">
        <v>701</v>
      </c>
      <c r="AI268" s="1004" t="s">
        <v>701</v>
      </c>
      <c r="AJ268" s="1042" t="str">
        <f t="shared" si="1056"/>
        <v/>
      </c>
    </row>
    <row r="269" spans="4:36" ht="11.25" customHeight="1" x14ac:dyDescent="0.25">
      <c r="D269" s="1092" t="str">
        <f>D611</f>
        <v>Williamsdale Substation Protection System (VNI)</v>
      </c>
      <c r="E269" s="1093" t="str">
        <f t="shared" ref="E269:P269" si="1060">E611</f>
        <v>Transmission substation</v>
      </c>
      <c r="F269" s="1093">
        <f t="shared" si="1060"/>
        <v>2148</v>
      </c>
      <c r="G269" s="1093" t="str">
        <f t="shared" si="1060"/>
        <v>Other</v>
      </c>
      <c r="H269" s="1094" t="str">
        <f t="shared" si="1060"/>
        <v>Net market benefit</v>
      </c>
      <c r="I269" s="1095" t="str">
        <f t="shared" si="1060"/>
        <v>330/132</v>
      </c>
      <c r="J269" s="1096">
        <f t="shared" si="1060"/>
        <v>750</v>
      </c>
      <c r="K269" s="1096">
        <f t="shared" si="1060"/>
        <v>750</v>
      </c>
      <c r="L269" s="1096">
        <f t="shared" si="1060"/>
        <v>375</v>
      </c>
      <c r="M269" s="1097">
        <f t="shared" si="1060"/>
        <v>375</v>
      </c>
      <c r="N269" s="522">
        <f t="shared" si="1060"/>
        <v>0</v>
      </c>
      <c r="O269" s="523">
        <f t="shared" si="1060"/>
        <v>0</v>
      </c>
      <c r="P269" s="524">
        <f t="shared" si="1060"/>
        <v>0</v>
      </c>
      <c r="Q269" s="1000" t="s">
        <v>701</v>
      </c>
      <c r="R269" s="525">
        <f t="shared" ref="R269:S269" si="1061">R611</f>
        <v>0</v>
      </c>
      <c r="S269" s="524">
        <f t="shared" si="1061"/>
        <v>0</v>
      </c>
      <c r="T269" s="1000" t="s">
        <v>701</v>
      </c>
      <c r="U269" s="526">
        <f t="shared" ref="U269:V269" si="1062">U611</f>
        <v>0</v>
      </c>
      <c r="V269" s="524">
        <f t="shared" si="1062"/>
        <v>0</v>
      </c>
      <c r="W269" s="1000" t="s">
        <v>701</v>
      </c>
      <c r="X269" s="1000" t="s">
        <v>701</v>
      </c>
      <c r="Y269" s="527">
        <f t="shared" ref="Y269" si="1063">Y611</f>
        <v>400</v>
      </c>
      <c r="Z269" s="1000" t="s">
        <v>701</v>
      </c>
      <c r="AA269" s="1098" t="s">
        <v>701</v>
      </c>
      <c r="AB269" s="1091" t="s">
        <v>701</v>
      </c>
      <c r="AC269" s="1099"/>
      <c r="AD269" s="1100">
        <f t="shared" ref="AD269:AD274" si="1064">AD611</f>
        <v>0</v>
      </c>
      <c r="AE269" s="1091" t="s">
        <v>701</v>
      </c>
      <c r="AF269" s="1091" t="s">
        <v>701</v>
      </c>
      <c r="AG269" s="1091" t="s">
        <v>701</v>
      </c>
      <c r="AH269" s="1091" t="s">
        <v>701</v>
      </c>
      <c r="AI269" s="1091" t="s">
        <v>701</v>
      </c>
      <c r="AJ269" s="1040" t="str">
        <f t="shared" si="1056"/>
        <v/>
      </c>
    </row>
    <row r="270" spans="4:36" ht="11.25" customHeight="1" x14ac:dyDescent="0.2">
      <c r="D270" s="1092"/>
      <c r="E270" s="1093"/>
      <c r="F270" s="1093"/>
      <c r="G270" s="1093"/>
      <c r="H270" s="1094"/>
      <c r="I270" s="1095"/>
      <c r="J270" s="1096"/>
      <c r="K270" s="1096"/>
      <c r="L270" s="1096"/>
      <c r="M270" s="1097"/>
      <c r="N270" s="528">
        <f t="shared" ref="N270:P270" si="1065">N612</f>
        <v>0</v>
      </c>
      <c r="O270" s="529">
        <f t="shared" si="1065"/>
        <v>0</v>
      </c>
      <c r="P270" s="529">
        <f t="shared" si="1065"/>
        <v>0</v>
      </c>
      <c r="Q270" s="1001" t="s">
        <v>701</v>
      </c>
      <c r="R270" s="528">
        <f t="shared" ref="R270:S270" si="1066">R612</f>
        <v>0</v>
      </c>
      <c r="S270" s="529">
        <f t="shared" si="1066"/>
        <v>0</v>
      </c>
      <c r="T270" s="1001" t="s">
        <v>701</v>
      </c>
      <c r="U270" s="530">
        <f t="shared" ref="U270:V270" si="1067">U612</f>
        <v>0</v>
      </c>
      <c r="V270" s="529">
        <f t="shared" si="1067"/>
        <v>0</v>
      </c>
      <c r="W270" s="1001" t="s">
        <v>701</v>
      </c>
      <c r="X270" s="1001" t="s">
        <v>701</v>
      </c>
      <c r="Y270" s="531">
        <f t="shared" ref="Y270" si="1068">Y612</f>
        <v>0</v>
      </c>
      <c r="Z270" s="1001" t="s">
        <v>701</v>
      </c>
      <c r="AA270" s="1098"/>
      <c r="AB270" s="1091"/>
      <c r="AC270" s="1099"/>
      <c r="AD270" s="1100">
        <f t="shared" si="1064"/>
        <v>0</v>
      </c>
      <c r="AE270" s="1091"/>
      <c r="AF270" s="1091"/>
      <c r="AG270" s="1091"/>
      <c r="AH270" s="1091"/>
      <c r="AI270" s="1091"/>
      <c r="AJ270" s="1041" t="str">
        <f t="shared" si="1056"/>
        <v/>
      </c>
    </row>
    <row r="271" spans="4:36" ht="11.25" customHeight="1" x14ac:dyDescent="0.2">
      <c r="D271" s="1092"/>
      <c r="E271" s="1093"/>
      <c r="F271" s="1093"/>
      <c r="G271" s="1093"/>
      <c r="H271" s="1094"/>
      <c r="I271" s="1095"/>
      <c r="J271" s="1096"/>
      <c r="K271" s="1096"/>
      <c r="L271" s="1096"/>
      <c r="M271" s="1097"/>
      <c r="N271" s="528">
        <f t="shared" ref="N271:P271" si="1069">N613</f>
        <v>0</v>
      </c>
      <c r="O271" s="529">
        <f t="shared" si="1069"/>
        <v>0</v>
      </c>
      <c r="P271" s="529">
        <f t="shared" si="1069"/>
        <v>0</v>
      </c>
      <c r="Q271" s="1001" t="s">
        <v>701</v>
      </c>
      <c r="R271" s="528">
        <f t="shared" ref="R271:S271" si="1070">R613</f>
        <v>0</v>
      </c>
      <c r="S271" s="529">
        <f t="shared" si="1070"/>
        <v>0</v>
      </c>
      <c r="T271" s="1001" t="s">
        <v>701</v>
      </c>
      <c r="U271" s="530">
        <f t="shared" ref="U271:V271" si="1071">U613</f>
        <v>0</v>
      </c>
      <c r="V271" s="529">
        <f t="shared" si="1071"/>
        <v>0</v>
      </c>
      <c r="W271" s="1001" t="s">
        <v>701</v>
      </c>
      <c r="X271" s="1001" t="s">
        <v>701</v>
      </c>
      <c r="Y271" s="529">
        <f t="shared" ref="Y271" si="1072">Y613</f>
        <v>0</v>
      </c>
      <c r="Z271" s="1001" t="s">
        <v>701</v>
      </c>
      <c r="AA271" s="1098"/>
      <c r="AB271" s="1091"/>
      <c r="AC271" s="1099"/>
      <c r="AD271" s="1100">
        <f t="shared" si="1064"/>
        <v>0</v>
      </c>
      <c r="AE271" s="1091"/>
      <c r="AF271" s="1091"/>
      <c r="AG271" s="1091"/>
      <c r="AH271" s="1091"/>
      <c r="AI271" s="1091"/>
      <c r="AJ271" s="1041" t="str">
        <f t="shared" si="1056"/>
        <v/>
      </c>
    </row>
    <row r="272" spans="4:36" ht="11.25" customHeight="1" x14ac:dyDescent="0.2">
      <c r="D272" s="1092"/>
      <c r="E272" s="1093"/>
      <c r="F272" s="1093"/>
      <c r="G272" s="1093"/>
      <c r="H272" s="1094"/>
      <c r="I272" s="1095"/>
      <c r="J272" s="1096"/>
      <c r="K272" s="1096"/>
      <c r="L272" s="1096"/>
      <c r="M272" s="1097"/>
      <c r="N272" s="528">
        <f t="shared" ref="N272:P272" si="1073">N614</f>
        <v>0</v>
      </c>
      <c r="O272" s="529">
        <f t="shared" si="1073"/>
        <v>0</v>
      </c>
      <c r="P272" s="529">
        <f t="shared" si="1073"/>
        <v>0</v>
      </c>
      <c r="Q272" s="1001" t="s">
        <v>701</v>
      </c>
      <c r="R272" s="528">
        <f t="shared" ref="R272:S272" si="1074">R614</f>
        <v>0</v>
      </c>
      <c r="S272" s="529">
        <f t="shared" si="1074"/>
        <v>0</v>
      </c>
      <c r="T272" s="1001" t="s">
        <v>701</v>
      </c>
      <c r="U272" s="530">
        <f t="shared" ref="U272:V272" si="1075">U614</f>
        <v>0</v>
      </c>
      <c r="V272" s="529">
        <f t="shared" si="1075"/>
        <v>0</v>
      </c>
      <c r="W272" s="1001" t="s">
        <v>701</v>
      </c>
      <c r="X272" s="1001" t="s">
        <v>701</v>
      </c>
      <c r="Y272" s="529">
        <f t="shared" ref="Y272" si="1076">Y614</f>
        <v>0</v>
      </c>
      <c r="Z272" s="1001" t="s">
        <v>701</v>
      </c>
      <c r="AA272" s="1098"/>
      <c r="AB272" s="1091"/>
      <c r="AC272" s="1099"/>
      <c r="AD272" s="1100">
        <f t="shared" si="1064"/>
        <v>0</v>
      </c>
      <c r="AE272" s="1091"/>
      <c r="AF272" s="1091"/>
      <c r="AG272" s="1091"/>
      <c r="AH272" s="1091"/>
      <c r="AI272" s="1091"/>
      <c r="AJ272" s="1041" t="str">
        <f t="shared" si="1056"/>
        <v/>
      </c>
    </row>
    <row r="273" spans="4:36" ht="11.25" customHeight="1" x14ac:dyDescent="0.2">
      <c r="D273" s="1092"/>
      <c r="E273" s="1093"/>
      <c r="F273" s="1093"/>
      <c r="G273" s="1093"/>
      <c r="H273" s="1094"/>
      <c r="I273" s="1095"/>
      <c r="J273" s="1096"/>
      <c r="K273" s="1096"/>
      <c r="L273" s="1096"/>
      <c r="M273" s="1097"/>
      <c r="N273" s="528">
        <f t="shared" ref="N273:P273" si="1077">N615</f>
        <v>0</v>
      </c>
      <c r="O273" s="529">
        <f t="shared" si="1077"/>
        <v>0</v>
      </c>
      <c r="P273" s="529">
        <f t="shared" si="1077"/>
        <v>0</v>
      </c>
      <c r="Q273" s="1001" t="s">
        <v>701</v>
      </c>
      <c r="R273" s="528">
        <f t="shared" ref="R273:S273" si="1078">R615</f>
        <v>0</v>
      </c>
      <c r="S273" s="529">
        <f t="shared" si="1078"/>
        <v>0</v>
      </c>
      <c r="T273" s="1001" t="s">
        <v>701</v>
      </c>
      <c r="U273" s="530">
        <f t="shared" ref="U273:V273" si="1079">U615</f>
        <v>0</v>
      </c>
      <c r="V273" s="529">
        <f t="shared" si="1079"/>
        <v>0</v>
      </c>
      <c r="W273" s="1001" t="s">
        <v>701</v>
      </c>
      <c r="X273" s="1001" t="s">
        <v>701</v>
      </c>
      <c r="Y273" s="529">
        <f t="shared" ref="Y273" si="1080">Y615</f>
        <v>0</v>
      </c>
      <c r="Z273" s="1001" t="s">
        <v>701</v>
      </c>
      <c r="AA273" s="1098"/>
      <c r="AB273" s="1091"/>
      <c r="AC273" s="1099"/>
      <c r="AD273" s="1100">
        <f t="shared" si="1064"/>
        <v>0</v>
      </c>
      <c r="AE273" s="1091"/>
      <c r="AF273" s="1091"/>
      <c r="AG273" s="1091"/>
      <c r="AH273" s="1091"/>
      <c r="AI273" s="1091"/>
      <c r="AJ273" s="1041" t="str">
        <f t="shared" si="1056"/>
        <v/>
      </c>
    </row>
    <row r="274" spans="4:36" ht="11.25" customHeight="1" x14ac:dyDescent="0.2">
      <c r="D274" s="1092"/>
      <c r="E274" s="1093"/>
      <c r="F274" s="1093"/>
      <c r="G274" s="1093"/>
      <c r="H274" s="1094"/>
      <c r="I274" s="1095"/>
      <c r="J274" s="1096"/>
      <c r="K274" s="1096"/>
      <c r="L274" s="1096"/>
      <c r="M274" s="1097"/>
      <c r="N274" s="528">
        <f t="shared" ref="N274:P274" si="1081">N616</f>
        <v>0</v>
      </c>
      <c r="O274" s="529">
        <f t="shared" si="1081"/>
        <v>0</v>
      </c>
      <c r="P274" s="529">
        <f t="shared" si="1081"/>
        <v>0</v>
      </c>
      <c r="Q274" s="1001" t="s">
        <v>701</v>
      </c>
      <c r="R274" s="528">
        <f t="shared" ref="R274:S274" si="1082">R616</f>
        <v>0</v>
      </c>
      <c r="S274" s="529">
        <f t="shared" si="1082"/>
        <v>0</v>
      </c>
      <c r="T274" s="1001" t="s">
        <v>701</v>
      </c>
      <c r="U274" s="530">
        <f t="shared" ref="U274:V274" si="1083">U616</f>
        <v>0</v>
      </c>
      <c r="V274" s="529">
        <f t="shared" si="1083"/>
        <v>0</v>
      </c>
      <c r="W274" s="1001" t="s">
        <v>701</v>
      </c>
      <c r="X274" s="1001" t="s">
        <v>701</v>
      </c>
      <c r="Y274" s="529">
        <f t="shared" ref="Y274" si="1084">Y616</f>
        <v>0</v>
      </c>
      <c r="Z274" s="1001" t="s">
        <v>701</v>
      </c>
      <c r="AA274" s="1098"/>
      <c r="AB274" s="1091"/>
      <c r="AC274" s="1099"/>
      <c r="AD274" s="1100">
        <f t="shared" si="1064"/>
        <v>0</v>
      </c>
      <c r="AE274" s="1091"/>
      <c r="AF274" s="1091"/>
      <c r="AG274" s="1091"/>
      <c r="AH274" s="1091"/>
      <c r="AI274" s="1091"/>
      <c r="AJ274" s="1041" t="str">
        <f t="shared" si="1056"/>
        <v/>
      </c>
    </row>
    <row r="275" spans="4:36" ht="11.25" customHeight="1" thickBot="1" x14ac:dyDescent="0.25">
      <c r="D275" s="532" t="s">
        <v>418</v>
      </c>
      <c r="E275" s="533"/>
      <c r="F275" s="534"/>
      <c r="G275" s="535"/>
      <c r="H275" s="535"/>
      <c r="I275" s="534"/>
      <c r="J275" s="535"/>
      <c r="K275" s="535"/>
      <c r="L275" s="535"/>
      <c r="M275" s="536"/>
      <c r="N275" s="913">
        <f>SUM(N269:N274)</f>
        <v>0</v>
      </c>
      <c r="O275" s="913">
        <f t="shared" ref="O275" si="1085">SUM(O269:O274)</f>
        <v>0</v>
      </c>
      <c r="P275" s="914"/>
      <c r="Q275" s="1002" t="s">
        <v>701</v>
      </c>
      <c r="R275" s="915"/>
      <c r="S275" s="916">
        <f t="shared" ref="S275" si="1086">SUM(S269:S274)</f>
        <v>0</v>
      </c>
      <c r="T275" s="1003" t="s">
        <v>701</v>
      </c>
      <c r="U275" s="915"/>
      <c r="V275" s="916">
        <f t="shared" ref="V275:Y275" si="1087">SUM(V269:V274)</f>
        <v>0</v>
      </c>
      <c r="W275" s="1003" t="s">
        <v>701</v>
      </c>
      <c r="X275" s="1003" t="s">
        <v>701</v>
      </c>
      <c r="Y275" s="916">
        <f t="shared" si="1087"/>
        <v>400</v>
      </c>
      <c r="Z275" s="1003" t="s">
        <v>701</v>
      </c>
      <c r="AA275" s="1003" t="s">
        <v>701</v>
      </c>
      <c r="AB275" s="1004" t="s">
        <v>701</v>
      </c>
      <c r="AC275" s="1005" t="s">
        <v>701</v>
      </c>
      <c r="AD275" s="917"/>
      <c r="AE275" s="1004" t="s">
        <v>701</v>
      </c>
      <c r="AF275" s="1004" t="s">
        <v>701</v>
      </c>
      <c r="AG275" s="1004" t="s">
        <v>701</v>
      </c>
      <c r="AH275" s="1004" t="s">
        <v>701</v>
      </c>
      <c r="AI275" s="1004" t="s">
        <v>701</v>
      </c>
      <c r="AJ275" s="1042" t="str">
        <f t="shared" si="1056"/>
        <v/>
      </c>
    </row>
    <row r="276" spans="4:36" ht="11.25" customHeight="1" x14ac:dyDescent="0.25">
      <c r="D276" s="1092" t="str">
        <f>D618</f>
        <v>Armidale</v>
      </c>
      <c r="E276" s="1093" t="str">
        <f t="shared" ref="E276:P276" si="1088">E618</f>
        <v>Transmission Substation</v>
      </c>
      <c r="F276" s="1093">
        <f t="shared" si="1088"/>
        <v>1529</v>
      </c>
      <c r="G276" s="1093" t="str">
        <f t="shared" si="1088"/>
        <v>Voltage upgrade</v>
      </c>
      <c r="H276" s="1094" t="str">
        <f t="shared" si="1088"/>
        <v>Net market benefit</v>
      </c>
      <c r="I276" s="1095" t="str">
        <f t="shared" si="1088"/>
        <v>330/132</v>
      </c>
      <c r="J276" s="1096">
        <f t="shared" si="1088"/>
        <v>750</v>
      </c>
      <c r="K276" s="1096">
        <f t="shared" si="1088"/>
        <v>750</v>
      </c>
      <c r="L276" s="1096">
        <f t="shared" si="1088"/>
        <v>375</v>
      </c>
      <c r="M276" s="1097">
        <f t="shared" si="1088"/>
        <v>375</v>
      </c>
      <c r="N276" s="522">
        <f t="shared" si="1088"/>
        <v>0</v>
      </c>
      <c r="O276" s="523">
        <f t="shared" si="1088"/>
        <v>0</v>
      </c>
      <c r="P276" s="524">
        <f t="shared" si="1088"/>
        <v>0</v>
      </c>
      <c r="Q276" s="1000" t="s">
        <v>701</v>
      </c>
      <c r="R276" s="525">
        <f t="shared" ref="R276:S276" si="1089">R618</f>
        <v>0</v>
      </c>
      <c r="S276" s="524">
        <f t="shared" si="1089"/>
        <v>2</v>
      </c>
      <c r="T276" s="1000" t="s">
        <v>701</v>
      </c>
      <c r="U276" s="526" t="str">
        <f t="shared" ref="U276:V276" si="1090">U618</f>
        <v>Cap banks</v>
      </c>
      <c r="V276" s="524">
        <f t="shared" si="1090"/>
        <v>2</v>
      </c>
      <c r="W276" s="1000" t="s">
        <v>701</v>
      </c>
      <c r="X276" s="1000" t="s">
        <v>701</v>
      </c>
      <c r="Y276" s="527">
        <f t="shared" ref="Y276" si="1091">Y618</f>
        <v>54214.74579258616</v>
      </c>
      <c r="Z276" s="1000" t="s">
        <v>701</v>
      </c>
      <c r="AA276" s="1098" t="s">
        <v>701</v>
      </c>
      <c r="AB276" s="1091" t="s">
        <v>701</v>
      </c>
      <c r="AC276" s="1099"/>
      <c r="AD276" s="1100">
        <f t="shared" ref="AD276:AD281" si="1092">AD618</f>
        <v>0</v>
      </c>
      <c r="AE276" s="1091" t="s">
        <v>701</v>
      </c>
      <c r="AF276" s="1091" t="s">
        <v>701</v>
      </c>
      <c r="AG276" s="1091" t="s">
        <v>701</v>
      </c>
      <c r="AH276" s="1091" t="s">
        <v>701</v>
      </c>
      <c r="AI276" s="1091" t="s">
        <v>701</v>
      </c>
      <c r="AJ276" s="1040" t="str">
        <f t="shared" si="1056"/>
        <v/>
      </c>
    </row>
    <row r="277" spans="4:36" ht="11.25" customHeight="1" x14ac:dyDescent="0.2">
      <c r="D277" s="1092"/>
      <c r="E277" s="1093"/>
      <c r="F277" s="1093"/>
      <c r="G277" s="1093"/>
      <c r="H277" s="1094"/>
      <c r="I277" s="1095"/>
      <c r="J277" s="1096"/>
      <c r="K277" s="1096"/>
      <c r="L277" s="1096"/>
      <c r="M277" s="1097"/>
      <c r="N277" s="528">
        <f t="shared" ref="N277:P277" si="1093">N619</f>
        <v>0</v>
      </c>
      <c r="O277" s="529">
        <f t="shared" si="1093"/>
        <v>0</v>
      </c>
      <c r="P277" s="529">
        <f t="shared" si="1093"/>
        <v>0</v>
      </c>
      <c r="Q277" s="1001" t="s">
        <v>701</v>
      </c>
      <c r="R277" s="528">
        <f t="shared" ref="R277:S277" si="1094">R619</f>
        <v>0</v>
      </c>
      <c r="S277" s="529">
        <f t="shared" si="1094"/>
        <v>0</v>
      </c>
      <c r="T277" s="1001" t="s">
        <v>701</v>
      </c>
      <c r="U277" s="530">
        <f t="shared" ref="U277:V277" si="1095">U619</f>
        <v>0</v>
      </c>
      <c r="V277" s="529">
        <f t="shared" si="1095"/>
        <v>0</v>
      </c>
      <c r="W277" s="1001" t="s">
        <v>701</v>
      </c>
      <c r="X277" s="1001" t="s">
        <v>701</v>
      </c>
      <c r="Y277" s="531">
        <f t="shared" ref="Y277" si="1096">Y619</f>
        <v>0</v>
      </c>
      <c r="Z277" s="1001" t="s">
        <v>701</v>
      </c>
      <c r="AA277" s="1098"/>
      <c r="AB277" s="1091"/>
      <c r="AC277" s="1099"/>
      <c r="AD277" s="1100">
        <f t="shared" si="1092"/>
        <v>0</v>
      </c>
      <c r="AE277" s="1091"/>
      <c r="AF277" s="1091"/>
      <c r="AG277" s="1091"/>
      <c r="AH277" s="1091"/>
      <c r="AI277" s="1091"/>
      <c r="AJ277" s="1041" t="str">
        <f t="shared" si="1056"/>
        <v/>
      </c>
    </row>
    <row r="278" spans="4:36" ht="11.25" customHeight="1" x14ac:dyDescent="0.2">
      <c r="D278" s="1092"/>
      <c r="E278" s="1093"/>
      <c r="F278" s="1093"/>
      <c r="G278" s="1093"/>
      <c r="H278" s="1094"/>
      <c r="I278" s="1095"/>
      <c r="J278" s="1096"/>
      <c r="K278" s="1096"/>
      <c r="L278" s="1096"/>
      <c r="M278" s="1097"/>
      <c r="N278" s="528">
        <f t="shared" ref="N278:P278" si="1097">N620</f>
        <v>0</v>
      </c>
      <c r="O278" s="529">
        <f t="shared" si="1097"/>
        <v>0</v>
      </c>
      <c r="P278" s="529">
        <f t="shared" si="1097"/>
        <v>0</v>
      </c>
      <c r="Q278" s="1001" t="s">
        <v>701</v>
      </c>
      <c r="R278" s="528">
        <f t="shared" ref="R278:S278" si="1098">R620</f>
        <v>0</v>
      </c>
      <c r="S278" s="529">
        <f t="shared" si="1098"/>
        <v>0</v>
      </c>
      <c r="T278" s="1001" t="s">
        <v>701</v>
      </c>
      <c r="U278" s="530">
        <f t="shared" ref="U278:V278" si="1099">U620</f>
        <v>0</v>
      </c>
      <c r="V278" s="529">
        <f t="shared" si="1099"/>
        <v>0</v>
      </c>
      <c r="W278" s="1001" t="s">
        <v>701</v>
      </c>
      <c r="X278" s="1001" t="s">
        <v>701</v>
      </c>
      <c r="Y278" s="529">
        <f t="shared" ref="Y278" si="1100">Y620</f>
        <v>0</v>
      </c>
      <c r="Z278" s="1001" t="s">
        <v>701</v>
      </c>
      <c r="AA278" s="1098"/>
      <c r="AB278" s="1091"/>
      <c r="AC278" s="1099"/>
      <c r="AD278" s="1100">
        <f t="shared" si="1092"/>
        <v>0</v>
      </c>
      <c r="AE278" s="1091"/>
      <c r="AF278" s="1091"/>
      <c r="AG278" s="1091"/>
      <c r="AH278" s="1091"/>
      <c r="AI278" s="1091"/>
      <c r="AJ278" s="1041" t="str">
        <f t="shared" si="1056"/>
        <v/>
      </c>
    </row>
    <row r="279" spans="4:36" ht="11.25" customHeight="1" x14ac:dyDescent="0.2">
      <c r="D279" s="1092"/>
      <c r="E279" s="1093"/>
      <c r="F279" s="1093"/>
      <c r="G279" s="1093"/>
      <c r="H279" s="1094"/>
      <c r="I279" s="1095"/>
      <c r="J279" s="1096"/>
      <c r="K279" s="1096"/>
      <c r="L279" s="1096"/>
      <c r="M279" s="1097"/>
      <c r="N279" s="528">
        <f t="shared" ref="N279:P279" si="1101">N621</f>
        <v>0</v>
      </c>
      <c r="O279" s="529">
        <f t="shared" si="1101"/>
        <v>0</v>
      </c>
      <c r="P279" s="529">
        <f t="shared" si="1101"/>
        <v>0</v>
      </c>
      <c r="Q279" s="1001" t="s">
        <v>701</v>
      </c>
      <c r="R279" s="528">
        <f t="shared" ref="R279:S279" si="1102">R621</f>
        <v>0</v>
      </c>
      <c r="S279" s="529">
        <f t="shared" si="1102"/>
        <v>0</v>
      </c>
      <c r="T279" s="1001" t="s">
        <v>701</v>
      </c>
      <c r="U279" s="530">
        <f t="shared" ref="U279:V279" si="1103">U621</f>
        <v>0</v>
      </c>
      <c r="V279" s="529">
        <f t="shared" si="1103"/>
        <v>0</v>
      </c>
      <c r="W279" s="1001" t="s">
        <v>701</v>
      </c>
      <c r="X279" s="1001" t="s">
        <v>701</v>
      </c>
      <c r="Y279" s="529">
        <f t="shared" ref="Y279" si="1104">Y621</f>
        <v>0</v>
      </c>
      <c r="Z279" s="1001" t="s">
        <v>701</v>
      </c>
      <c r="AA279" s="1098"/>
      <c r="AB279" s="1091"/>
      <c r="AC279" s="1099"/>
      <c r="AD279" s="1100">
        <f t="shared" si="1092"/>
        <v>0</v>
      </c>
      <c r="AE279" s="1091"/>
      <c r="AF279" s="1091"/>
      <c r="AG279" s="1091"/>
      <c r="AH279" s="1091"/>
      <c r="AI279" s="1091"/>
      <c r="AJ279" s="1041" t="str">
        <f t="shared" si="1056"/>
        <v/>
      </c>
    </row>
    <row r="280" spans="4:36" ht="11.25" customHeight="1" x14ac:dyDescent="0.2">
      <c r="D280" s="1092"/>
      <c r="E280" s="1093"/>
      <c r="F280" s="1093"/>
      <c r="G280" s="1093"/>
      <c r="H280" s="1094"/>
      <c r="I280" s="1095"/>
      <c r="J280" s="1096"/>
      <c r="K280" s="1096"/>
      <c r="L280" s="1096"/>
      <c r="M280" s="1097"/>
      <c r="N280" s="528">
        <f t="shared" ref="N280:P280" si="1105">N622</f>
        <v>0</v>
      </c>
      <c r="O280" s="529">
        <f t="shared" si="1105"/>
        <v>0</v>
      </c>
      <c r="P280" s="529">
        <f t="shared" si="1105"/>
        <v>0</v>
      </c>
      <c r="Q280" s="1001" t="s">
        <v>701</v>
      </c>
      <c r="R280" s="528">
        <f t="shared" ref="R280:S280" si="1106">R622</f>
        <v>0</v>
      </c>
      <c r="S280" s="529">
        <f t="shared" si="1106"/>
        <v>0</v>
      </c>
      <c r="T280" s="1001" t="s">
        <v>701</v>
      </c>
      <c r="U280" s="530">
        <f t="shared" ref="U280:V280" si="1107">U622</f>
        <v>0</v>
      </c>
      <c r="V280" s="529">
        <f t="shared" si="1107"/>
        <v>0</v>
      </c>
      <c r="W280" s="1001" t="s">
        <v>701</v>
      </c>
      <c r="X280" s="1001" t="s">
        <v>701</v>
      </c>
      <c r="Y280" s="529">
        <f t="shared" ref="Y280" si="1108">Y622</f>
        <v>0</v>
      </c>
      <c r="Z280" s="1001" t="s">
        <v>701</v>
      </c>
      <c r="AA280" s="1098"/>
      <c r="AB280" s="1091"/>
      <c r="AC280" s="1099"/>
      <c r="AD280" s="1100">
        <f t="shared" si="1092"/>
        <v>0</v>
      </c>
      <c r="AE280" s="1091"/>
      <c r="AF280" s="1091"/>
      <c r="AG280" s="1091"/>
      <c r="AH280" s="1091"/>
      <c r="AI280" s="1091"/>
      <c r="AJ280" s="1041" t="str">
        <f t="shared" si="1056"/>
        <v/>
      </c>
    </row>
    <row r="281" spans="4:36" ht="11.25" customHeight="1" x14ac:dyDescent="0.2">
      <c r="D281" s="1092"/>
      <c r="E281" s="1093"/>
      <c r="F281" s="1093"/>
      <c r="G281" s="1093"/>
      <c r="H281" s="1094"/>
      <c r="I281" s="1095"/>
      <c r="J281" s="1096"/>
      <c r="K281" s="1096"/>
      <c r="L281" s="1096"/>
      <c r="M281" s="1097"/>
      <c r="N281" s="528">
        <f t="shared" ref="N281:P281" si="1109">N623</f>
        <v>0</v>
      </c>
      <c r="O281" s="529">
        <f t="shared" si="1109"/>
        <v>0</v>
      </c>
      <c r="P281" s="529">
        <f t="shared" si="1109"/>
        <v>0</v>
      </c>
      <c r="Q281" s="1001" t="s">
        <v>701</v>
      </c>
      <c r="R281" s="528">
        <f t="shared" ref="R281:S281" si="1110">R623</f>
        <v>0</v>
      </c>
      <c r="S281" s="529">
        <f t="shared" si="1110"/>
        <v>0</v>
      </c>
      <c r="T281" s="1001" t="s">
        <v>701</v>
      </c>
      <c r="U281" s="530">
        <f t="shared" ref="U281:V281" si="1111">U623</f>
        <v>0</v>
      </c>
      <c r="V281" s="529">
        <f t="shared" si="1111"/>
        <v>0</v>
      </c>
      <c r="W281" s="1001" t="s">
        <v>701</v>
      </c>
      <c r="X281" s="1001" t="s">
        <v>701</v>
      </c>
      <c r="Y281" s="529">
        <f t="shared" ref="Y281" si="1112">Y623</f>
        <v>0</v>
      </c>
      <c r="Z281" s="1001" t="s">
        <v>701</v>
      </c>
      <c r="AA281" s="1098"/>
      <c r="AB281" s="1091"/>
      <c r="AC281" s="1099"/>
      <c r="AD281" s="1100">
        <f t="shared" si="1092"/>
        <v>0</v>
      </c>
      <c r="AE281" s="1091"/>
      <c r="AF281" s="1091"/>
      <c r="AG281" s="1091"/>
      <c r="AH281" s="1091"/>
      <c r="AI281" s="1091"/>
      <c r="AJ281" s="1041" t="str">
        <f t="shared" si="1056"/>
        <v/>
      </c>
    </row>
    <row r="282" spans="4:36" ht="11.25" customHeight="1" thickBot="1" x14ac:dyDescent="0.25">
      <c r="D282" s="532" t="s">
        <v>418</v>
      </c>
      <c r="E282" s="533"/>
      <c r="F282" s="534"/>
      <c r="G282" s="535"/>
      <c r="H282" s="535"/>
      <c r="I282" s="534"/>
      <c r="J282" s="535"/>
      <c r="K282" s="535"/>
      <c r="L282" s="535"/>
      <c r="M282" s="536"/>
      <c r="N282" s="913">
        <f>SUM(N276:N281)</f>
        <v>0</v>
      </c>
      <c r="O282" s="913">
        <f t="shared" ref="O282" si="1113">SUM(O276:O281)</f>
        <v>0</v>
      </c>
      <c r="P282" s="914"/>
      <c r="Q282" s="1002" t="s">
        <v>701</v>
      </c>
      <c r="R282" s="915"/>
      <c r="S282" s="916">
        <f t="shared" ref="S282" si="1114">SUM(S276:S281)</f>
        <v>2</v>
      </c>
      <c r="T282" s="1003" t="s">
        <v>701</v>
      </c>
      <c r="U282" s="915"/>
      <c r="V282" s="916">
        <f t="shared" ref="V282:Y282" si="1115">SUM(V276:V281)</f>
        <v>2</v>
      </c>
      <c r="W282" s="1003" t="s">
        <v>701</v>
      </c>
      <c r="X282" s="1003" t="s">
        <v>701</v>
      </c>
      <c r="Y282" s="916">
        <f t="shared" si="1115"/>
        <v>54214.74579258616</v>
      </c>
      <c r="Z282" s="1003" t="s">
        <v>701</v>
      </c>
      <c r="AA282" s="1003" t="s">
        <v>701</v>
      </c>
      <c r="AB282" s="1004" t="s">
        <v>701</v>
      </c>
      <c r="AC282" s="1005" t="s">
        <v>701</v>
      </c>
      <c r="AD282" s="917"/>
      <c r="AE282" s="1004" t="s">
        <v>701</v>
      </c>
      <c r="AF282" s="1004" t="s">
        <v>701</v>
      </c>
      <c r="AG282" s="1004" t="s">
        <v>701</v>
      </c>
      <c r="AH282" s="1004" t="s">
        <v>701</v>
      </c>
      <c r="AI282" s="1004" t="s">
        <v>701</v>
      </c>
      <c r="AJ282" s="1042" t="str">
        <f t="shared" si="1056"/>
        <v/>
      </c>
    </row>
    <row r="283" spans="4:36" ht="11.25" customHeight="1" x14ac:dyDescent="0.25">
      <c r="D283" s="1092" t="str">
        <f>D625</f>
        <v>Tamworth</v>
      </c>
      <c r="E283" s="1093" t="str">
        <f t="shared" ref="E283:P283" si="1116">E625</f>
        <v>Transmission Substation</v>
      </c>
      <c r="F283" s="1093">
        <f t="shared" si="1116"/>
        <v>1529</v>
      </c>
      <c r="G283" s="1093" t="str">
        <f t="shared" si="1116"/>
        <v>Voltage upgrade</v>
      </c>
      <c r="H283" s="1094" t="str">
        <f t="shared" si="1116"/>
        <v>Net market benefit</v>
      </c>
      <c r="I283" s="1095" t="str">
        <f t="shared" si="1116"/>
        <v>330/132</v>
      </c>
      <c r="J283" s="1096">
        <f t="shared" si="1116"/>
        <v>500</v>
      </c>
      <c r="K283" s="1096">
        <f t="shared" si="1116"/>
        <v>500</v>
      </c>
      <c r="L283" s="1096">
        <f t="shared" si="1116"/>
        <v>300</v>
      </c>
      <c r="M283" s="1097">
        <f t="shared" si="1116"/>
        <v>300</v>
      </c>
      <c r="N283" s="522">
        <f t="shared" si="1116"/>
        <v>0</v>
      </c>
      <c r="O283" s="523">
        <f t="shared" si="1116"/>
        <v>0</v>
      </c>
      <c r="P283" s="524">
        <f t="shared" si="1116"/>
        <v>0</v>
      </c>
      <c r="Q283" s="1000" t="s">
        <v>701</v>
      </c>
      <c r="R283" s="525">
        <f t="shared" ref="R283:S283" si="1117">R625</f>
        <v>0</v>
      </c>
      <c r="S283" s="524">
        <f t="shared" si="1117"/>
        <v>0</v>
      </c>
      <c r="T283" s="1000" t="s">
        <v>701</v>
      </c>
      <c r="U283" s="526" t="str">
        <f t="shared" ref="U283:V283" si="1118">U625</f>
        <v>Cap Banks</v>
      </c>
      <c r="V283" s="524">
        <f t="shared" si="1118"/>
        <v>3</v>
      </c>
      <c r="W283" s="1000" t="s">
        <v>701</v>
      </c>
      <c r="X283" s="1000" t="s">
        <v>701</v>
      </c>
      <c r="Y283" s="527">
        <f t="shared" ref="Y283" si="1119">Y625</f>
        <v>97450.97929126794</v>
      </c>
      <c r="Z283" s="1000" t="s">
        <v>701</v>
      </c>
      <c r="AA283" s="1098" t="s">
        <v>701</v>
      </c>
      <c r="AB283" s="1091" t="s">
        <v>701</v>
      </c>
      <c r="AC283" s="1099"/>
      <c r="AD283" s="1100">
        <f t="shared" ref="AD283:AD288" si="1120">AD625</f>
        <v>0</v>
      </c>
      <c r="AE283" s="1091" t="s">
        <v>701</v>
      </c>
      <c r="AF283" s="1091" t="s">
        <v>701</v>
      </c>
      <c r="AG283" s="1091" t="s">
        <v>701</v>
      </c>
      <c r="AH283" s="1091" t="s">
        <v>701</v>
      </c>
      <c r="AI283" s="1091" t="s">
        <v>701</v>
      </c>
      <c r="AJ283" s="1040" t="str">
        <f t="shared" si="1056"/>
        <v/>
      </c>
    </row>
    <row r="284" spans="4:36" ht="11.25" customHeight="1" x14ac:dyDescent="0.2">
      <c r="D284" s="1092"/>
      <c r="E284" s="1093"/>
      <c r="F284" s="1093"/>
      <c r="G284" s="1093"/>
      <c r="H284" s="1094"/>
      <c r="I284" s="1095"/>
      <c r="J284" s="1096"/>
      <c r="K284" s="1096"/>
      <c r="L284" s="1096"/>
      <c r="M284" s="1097"/>
      <c r="N284" s="528">
        <f t="shared" ref="N284:P284" si="1121">N626</f>
        <v>0</v>
      </c>
      <c r="O284" s="529">
        <f t="shared" si="1121"/>
        <v>0</v>
      </c>
      <c r="P284" s="529">
        <f t="shared" si="1121"/>
        <v>0</v>
      </c>
      <c r="Q284" s="1001" t="s">
        <v>701</v>
      </c>
      <c r="R284" s="528">
        <f t="shared" ref="R284:S284" si="1122">R626</f>
        <v>0</v>
      </c>
      <c r="S284" s="529">
        <f t="shared" si="1122"/>
        <v>0</v>
      </c>
      <c r="T284" s="1001" t="s">
        <v>701</v>
      </c>
      <c r="U284" s="530" t="str">
        <f t="shared" ref="U284:V284" si="1123">U626</f>
        <v>SVC</v>
      </c>
      <c r="V284" s="529">
        <f t="shared" si="1123"/>
        <v>1</v>
      </c>
      <c r="W284" s="1001" t="s">
        <v>701</v>
      </c>
      <c r="X284" s="1001" t="s">
        <v>701</v>
      </c>
      <c r="Y284" s="531">
        <f t="shared" ref="Y284" si="1124">Y626</f>
        <v>0</v>
      </c>
      <c r="Z284" s="1001" t="s">
        <v>701</v>
      </c>
      <c r="AA284" s="1098"/>
      <c r="AB284" s="1091"/>
      <c r="AC284" s="1099"/>
      <c r="AD284" s="1100">
        <f t="shared" si="1120"/>
        <v>0</v>
      </c>
      <c r="AE284" s="1091"/>
      <c r="AF284" s="1091"/>
      <c r="AG284" s="1091"/>
      <c r="AH284" s="1091"/>
      <c r="AI284" s="1091"/>
      <c r="AJ284" s="1041" t="str">
        <f t="shared" si="1056"/>
        <v/>
      </c>
    </row>
    <row r="285" spans="4:36" ht="11.25" customHeight="1" x14ac:dyDescent="0.2">
      <c r="D285" s="1092"/>
      <c r="E285" s="1093"/>
      <c r="F285" s="1093"/>
      <c r="G285" s="1093"/>
      <c r="H285" s="1094"/>
      <c r="I285" s="1095"/>
      <c r="J285" s="1096"/>
      <c r="K285" s="1096"/>
      <c r="L285" s="1096"/>
      <c r="M285" s="1097"/>
      <c r="N285" s="528">
        <f t="shared" ref="N285:P285" si="1125">N627</f>
        <v>0</v>
      </c>
      <c r="O285" s="529">
        <f t="shared" si="1125"/>
        <v>0</v>
      </c>
      <c r="P285" s="529">
        <f t="shared" si="1125"/>
        <v>0</v>
      </c>
      <c r="Q285" s="1001" t="s">
        <v>701</v>
      </c>
      <c r="R285" s="528">
        <f t="shared" ref="R285:S285" si="1126">R627</f>
        <v>0</v>
      </c>
      <c r="S285" s="529">
        <f t="shared" si="1126"/>
        <v>0</v>
      </c>
      <c r="T285" s="1001" t="s">
        <v>701</v>
      </c>
      <c r="U285" s="530">
        <f t="shared" ref="U285:V285" si="1127">U627</f>
        <v>0</v>
      </c>
      <c r="V285" s="529">
        <f t="shared" si="1127"/>
        <v>0</v>
      </c>
      <c r="W285" s="1001" t="s">
        <v>701</v>
      </c>
      <c r="X285" s="1001" t="s">
        <v>701</v>
      </c>
      <c r="Y285" s="529">
        <f t="shared" ref="Y285" si="1128">Y627</f>
        <v>0</v>
      </c>
      <c r="Z285" s="1001" t="s">
        <v>701</v>
      </c>
      <c r="AA285" s="1098"/>
      <c r="AB285" s="1091"/>
      <c r="AC285" s="1099"/>
      <c r="AD285" s="1100">
        <f t="shared" si="1120"/>
        <v>0</v>
      </c>
      <c r="AE285" s="1091"/>
      <c r="AF285" s="1091"/>
      <c r="AG285" s="1091"/>
      <c r="AH285" s="1091"/>
      <c r="AI285" s="1091"/>
      <c r="AJ285" s="1041" t="str">
        <f t="shared" si="1056"/>
        <v/>
      </c>
    </row>
    <row r="286" spans="4:36" ht="11.25" customHeight="1" x14ac:dyDescent="0.2">
      <c r="D286" s="1092"/>
      <c r="E286" s="1093"/>
      <c r="F286" s="1093"/>
      <c r="G286" s="1093"/>
      <c r="H286" s="1094"/>
      <c r="I286" s="1095"/>
      <c r="J286" s="1096"/>
      <c r="K286" s="1096"/>
      <c r="L286" s="1096"/>
      <c r="M286" s="1097"/>
      <c r="N286" s="528">
        <f t="shared" ref="N286:P286" si="1129">N628</f>
        <v>0</v>
      </c>
      <c r="O286" s="529">
        <f t="shared" si="1129"/>
        <v>0</v>
      </c>
      <c r="P286" s="529">
        <f t="shared" si="1129"/>
        <v>0</v>
      </c>
      <c r="Q286" s="1001" t="s">
        <v>701</v>
      </c>
      <c r="R286" s="528">
        <f t="shared" ref="R286:S286" si="1130">R628</f>
        <v>0</v>
      </c>
      <c r="S286" s="529">
        <f t="shared" si="1130"/>
        <v>0</v>
      </c>
      <c r="T286" s="1001" t="s">
        <v>701</v>
      </c>
      <c r="U286" s="530">
        <f t="shared" ref="U286:V286" si="1131">U628</f>
        <v>0</v>
      </c>
      <c r="V286" s="529">
        <f t="shared" si="1131"/>
        <v>0</v>
      </c>
      <c r="W286" s="1001" t="s">
        <v>701</v>
      </c>
      <c r="X286" s="1001" t="s">
        <v>701</v>
      </c>
      <c r="Y286" s="529">
        <f t="shared" ref="Y286" si="1132">Y628</f>
        <v>0</v>
      </c>
      <c r="Z286" s="1001" t="s">
        <v>701</v>
      </c>
      <c r="AA286" s="1098"/>
      <c r="AB286" s="1091"/>
      <c r="AC286" s="1099"/>
      <c r="AD286" s="1100">
        <f t="shared" si="1120"/>
        <v>0</v>
      </c>
      <c r="AE286" s="1091"/>
      <c r="AF286" s="1091"/>
      <c r="AG286" s="1091"/>
      <c r="AH286" s="1091"/>
      <c r="AI286" s="1091"/>
      <c r="AJ286" s="1041" t="str">
        <f t="shared" si="1056"/>
        <v/>
      </c>
    </row>
    <row r="287" spans="4:36" ht="11.25" customHeight="1" x14ac:dyDescent="0.2">
      <c r="D287" s="1092"/>
      <c r="E287" s="1093"/>
      <c r="F287" s="1093"/>
      <c r="G287" s="1093"/>
      <c r="H287" s="1094"/>
      <c r="I287" s="1095"/>
      <c r="J287" s="1096"/>
      <c r="K287" s="1096"/>
      <c r="L287" s="1096"/>
      <c r="M287" s="1097"/>
      <c r="N287" s="528">
        <f t="shared" ref="N287:P287" si="1133">N629</f>
        <v>0</v>
      </c>
      <c r="O287" s="529">
        <f t="shared" si="1133"/>
        <v>0</v>
      </c>
      <c r="P287" s="529">
        <f t="shared" si="1133"/>
        <v>0</v>
      </c>
      <c r="Q287" s="1001" t="s">
        <v>701</v>
      </c>
      <c r="R287" s="528">
        <f t="shared" ref="R287:S287" si="1134">R629</f>
        <v>0</v>
      </c>
      <c r="S287" s="529">
        <f t="shared" si="1134"/>
        <v>0</v>
      </c>
      <c r="T287" s="1001" t="s">
        <v>701</v>
      </c>
      <c r="U287" s="530">
        <f t="shared" ref="U287:V287" si="1135">U629</f>
        <v>0</v>
      </c>
      <c r="V287" s="529">
        <f t="shared" si="1135"/>
        <v>0</v>
      </c>
      <c r="W287" s="1001" t="s">
        <v>701</v>
      </c>
      <c r="X287" s="1001" t="s">
        <v>701</v>
      </c>
      <c r="Y287" s="529">
        <f t="shared" ref="Y287" si="1136">Y629</f>
        <v>0</v>
      </c>
      <c r="Z287" s="1001" t="s">
        <v>701</v>
      </c>
      <c r="AA287" s="1098"/>
      <c r="AB287" s="1091"/>
      <c r="AC287" s="1099"/>
      <c r="AD287" s="1100">
        <f t="shared" si="1120"/>
        <v>0</v>
      </c>
      <c r="AE287" s="1091"/>
      <c r="AF287" s="1091"/>
      <c r="AG287" s="1091"/>
      <c r="AH287" s="1091"/>
      <c r="AI287" s="1091"/>
      <c r="AJ287" s="1041" t="str">
        <f t="shared" si="1056"/>
        <v/>
      </c>
    </row>
    <row r="288" spans="4:36" ht="11.25" customHeight="1" x14ac:dyDescent="0.2">
      <c r="D288" s="1092"/>
      <c r="E288" s="1093"/>
      <c r="F288" s="1093"/>
      <c r="G288" s="1093"/>
      <c r="H288" s="1094"/>
      <c r="I288" s="1095"/>
      <c r="J288" s="1096"/>
      <c r="K288" s="1096"/>
      <c r="L288" s="1096"/>
      <c r="M288" s="1097"/>
      <c r="N288" s="528">
        <f t="shared" ref="N288:P288" si="1137">N630</f>
        <v>0</v>
      </c>
      <c r="O288" s="529">
        <f t="shared" si="1137"/>
        <v>0</v>
      </c>
      <c r="P288" s="529">
        <f t="shared" si="1137"/>
        <v>0</v>
      </c>
      <c r="Q288" s="1001" t="s">
        <v>701</v>
      </c>
      <c r="R288" s="528">
        <f t="shared" ref="R288:S288" si="1138">R630</f>
        <v>0</v>
      </c>
      <c r="S288" s="529">
        <f t="shared" si="1138"/>
        <v>0</v>
      </c>
      <c r="T288" s="1001" t="s">
        <v>701</v>
      </c>
      <c r="U288" s="530">
        <f t="shared" ref="U288:V288" si="1139">U630</f>
        <v>0</v>
      </c>
      <c r="V288" s="529">
        <f t="shared" si="1139"/>
        <v>0</v>
      </c>
      <c r="W288" s="1001" t="s">
        <v>701</v>
      </c>
      <c r="X288" s="1001" t="s">
        <v>701</v>
      </c>
      <c r="Y288" s="529">
        <f t="shared" ref="Y288" si="1140">Y630</f>
        <v>0</v>
      </c>
      <c r="Z288" s="1001" t="s">
        <v>701</v>
      </c>
      <c r="AA288" s="1098"/>
      <c r="AB288" s="1091"/>
      <c r="AC288" s="1099"/>
      <c r="AD288" s="1100">
        <f t="shared" si="1120"/>
        <v>0</v>
      </c>
      <c r="AE288" s="1091"/>
      <c r="AF288" s="1091"/>
      <c r="AG288" s="1091"/>
      <c r="AH288" s="1091"/>
      <c r="AI288" s="1091"/>
      <c r="AJ288" s="1041" t="str">
        <f t="shared" si="1056"/>
        <v/>
      </c>
    </row>
    <row r="289" spans="4:36" ht="11.25" customHeight="1" thickBot="1" x14ac:dyDescent="0.25">
      <c r="D289" s="532" t="s">
        <v>418</v>
      </c>
      <c r="E289" s="533"/>
      <c r="F289" s="534"/>
      <c r="G289" s="535"/>
      <c r="H289" s="535"/>
      <c r="I289" s="534"/>
      <c r="J289" s="535"/>
      <c r="K289" s="535"/>
      <c r="L289" s="535"/>
      <c r="M289" s="536"/>
      <c r="N289" s="913">
        <f>SUM(N283:N288)</f>
        <v>0</v>
      </c>
      <c r="O289" s="913">
        <f t="shared" ref="O289" si="1141">SUM(O283:O288)</f>
        <v>0</v>
      </c>
      <c r="P289" s="914"/>
      <c r="Q289" s="1002" t="s">
        <v>701</v>
      </c>
      <c r="R289" s="915"/>
      <c r="S289" s="916">
        <f t="shared" ref="S289" si="1142">SUM(S283:S288)</f>
        <v>0</v>
      </c>
      <c r="T289" s="1003" t="s">
        <v>701</v>
      </c>
      <c r="U289" s="915"/>
      <c r="V289" s="916">
        <f t="shared" ref="V289:Y289" si="1143">SUM(V283:V288)</f>
        <v>4</v>
      </c>
      <c r="W289" s="1003" t="s">
        <v>701</v>
      </c>
      <c r="X289" s="1003" t="s">
        <v>701</v>
      </c>
      <c r="Y289" s="916">
        <f t="shared" si="1143"/>
        <v>97450.97929126794</v>
      </c>
      <c r="Z289" s="1003" t="s">
        <v>701</v>
      </c>
      <c r="AA289" s="1003" t="s">
        <v>701</v>
      </c>
      <c r="AB289" s="1004" t="s">
        <v>701</v>
      </c>
      <c r="AC289" s="1005" t="s">
        <v>701</v>
      </c>
      <c r="AD289" s="917"/>
      <c r="AE289" s="1004" t="s">
        <v>701</v>
      </c>
      <c r="AF289" s="1004" t="s">
        <v>701</v>
      </c>
      <c r="AG289" s="1004" t="s">
        <v>701</v>
      </c>
      <c r="AH289" s="1004" t="s">
        <v>701</v>
      </c>
      <c r="AI289" s="1004" t="s">
        <v>701</v>
      </c>
      <c r="AJ289" s="1042" t="str">
        <f t="shared" si="1056"/>
        <v/>
      </c>
    </row>
    <row r="290" spans="4:36" ht="11.25" customHeight="1" x14ac:dyDescent="0.25">
      <c r="D290" s="1092" t="str">
        <f>D632</f>
        <v>Dumaresq</v>
      </c>
      <c r="E290" s="1093" t="str">
        <f t="shared" ref="E290:P290" si="1144">E632</f>
        <v>Switching station</v>
      </c>
      <c r="F290" s="1093">
        <f t="shared" si="1144"/>
        <v>1529</v>
      </c>
      <c r="G290" s="1093" t="str">
        <f t="shared" si="1144"/>
        <v>Voltage upgrade</v>
      </c>
      <c r="H290" s="1094" t="str">
        <f t="shared" si="1144"/>
        <v>Net market benefit</v>
      </c>
      <c r="I290" s="1095">
        <f t="shared" si="1144"/>
        <v>330</v>
      </c>
      <c r="J290" s="1096" t="str">
        <f t="shared" si="1144"/>
        <v>N/A</v>
      </c>
      <c r="K290" s="1096" t="str">
        <f t="shared" si="1144"/>
        <v>N/A</v>
      </c>
      <c r="L290" s="1096" t="str">
        <f t="shared" si="1144"/>
        <v>N/A</v>
      </c>
      <c r="M290" s="1097" t="str">
        <f t="shared" si="1144"/>
        <v>N/A</v>
      </c>
      <c r="N290" s="522">
        <f t="shared" si="1144"/>
        <v>0</v>
      </c>
      <c r="O290" s="523">
        <f t="shared" si="1144"/>
        <v>0</v>
      </c>
      <c r="P290" s="524">
        <f t="shared" si="1144"/>
        <v>0</v>
      </c>
      <c r="Q290" s="1000" t="s">
        <v>701</v>
      </c>
      <c r="R290" s="525">
        <f t="shared" ref="R290:S290" si="1145">R632</f>
        <v>0</v>
      </c>
      <c r="S290" s="524">
        <f t="shared" si="1145"/>
        <v>0</v>
      </c>
      <c r="T290" s="1000" t="s">
        <v>701</v>
      </c>
      <c r="U290" s="526" t="str">
        <f t="shared" ref="U290:V290" si="1146">U632</f>
        <v>Cap banks</v>
      </c>
      <c r="V290" s="524">
        <f t="shared" si="1146"/>
        <v>1</v>
      </c>
      <c r="W290" s="1000" t="s">
        <v>701</v>
      </c>
      <c r="X290" s="1000" t="s">
        <v>701</v>
      </c>
      <c r="Y290" s="527">
        <f t="shared" ref="Y290" si="1147">Y632</f>
        <v>88458.32551005602</v>
      </c>
      <c r="Z290" s="1000" t="s">
        <v>701</v>
      </c>
      <c r="AA290" s="1098" t="s">
        <v>701</v>
      </c>
      <c r="AB290" s="1091" t="s">
        <v>701</v>
      </c>
      <c r="AC290" s="1099"/>
      <c r="AD290" s="1100">
        <f t="shared" ref="AD290:AD295" si="1148">AD632</f>
        <v>0</v>
      </c>
      <c r="AE290" s="1091" t="s">
        <v>701</v>
      </c>
      <c r="AF290" s="1091" t="s">
        <v>701</v>
      </c>
      <c r="AG290" s="1091" t="s">
        <v>701</v>
      </c>
      <c r="AH290" s="1091" t="s">
        <v>701</v>
      </c>
      <c r="AI290" s="1091" t="s">
        <v>701</v>
      </c>
      <c r="AJ290" s="1040" t="str">
        <f t="shared" si="1056"/>
        <v/>
      </c>
    </row>
    <row r="291" spans="4:36" ht="11.25" customHeight="1" x14ac:dyDescent="0.2">
      <c r="D291" s="1092"/>
      <c r="E291" s="1093"/>
      <c r="F291" s="1093"/>
      <c r="G291" s="1093"/>
      <c r="H291" s="1094"/>
      <c r="I291" s="1095"/>
      <c r="J291" s="1096"/>
      <c r="K291" s="1096"/>
      <c r="L291" s="1096"/>
      <c r="M291" s="1097"/>
      <c r="N291" s="528">
        <f t="shared" ref="N291:P291" si="1149">N633</f>
        <v>0</v>
      </c>
      <c r="O291" s="529">
        <f t="shared" si="1149"/>
        <v>0</v>
      </c>
      <c r="P291" s="529">
        <f t="shared" si="1149"/>
        <v>0</v>
      </c>
      <c r="Q291" s="1001" t="s">
        <v>701</v>
      </c>
      <c r="R291" s="528">
        <f t="shared" ref="R291:S291" si="1150">R633</f>
        <v>0</v>
      </c>
      <c r="S291" s="529">
        <f t="shared" si="1150"/>
        <v>0</v>
      </c>
      <c r="T291" s="1001" t="s">
        <v>701</v>
      </c>
      <c r="U291" s="530" t="str">
        <f t="shared" ref="U291:V291" si="1151">U633</f>
        <v>SVC</v>
      </c>
      <c r="V291" s="529">
        <f t="shared" si="1151"/>
        <v>1</v>
      </c>
      <c r="W291" s="1001" t="s">
        <v>701</v>
      </c>
      <c r="X291" s="1001" t="s">
        <v>701</v>
      </c>
      <c r="Y291" s="531">
        <f t="shared" ref="Y291" si="1152">Y633</f>
        <v>0</v>
      </c>
      <c r="Z291" s="1001" t="s">
        <v>701</v>
      </c>
      <c r="AA291" s="1098"/>
      <c r="AB291" s="1091"/>
      <c r="AC291" s="1099"/>
      <c r="AD291" s="1100">
        <f t="shared" si="1148"/>
        <v>0</v>
      </c>
      <c r="AE291" s="1091"/>
      <c r="AF291" s="1091"/>
      <c r="AG291" s="1091"/>
      <c r="AH291" s="1091"/>
      <c r="AI291" s="1091"/>
      <c r="AJ291" s="1041" t="str">
        <f t="shared" si="1056"/>
        <v/>
      </c>
    </row>
    <row r="292" spans="4:36" ht="11.25" customHeight="1" x14ac:dyDescent="0.2">
      <c r="D292" s="1092"/>
      <c r="E292" s="1093"/>
      <c r="F292" s="1093"/>
      <c r="G292" s="1093"/>
      <c r="H292" s="1094"/>
      <c r="I292" s="1095"/>
      <c r="J292" s="1096"/>
      <c r="K292" s="1096"/>
      <c r="L292" s="1096"/>
      <c r="M292" s="1097"/>
      <c r="N292" s="528">
        <f t="shared" ref="N292:P292" si="1153">N634</f>
        <v>0</v>
      </c>
      <c r="O292" s="529">
        <f t="shared" si="1153"/>
        <v>0</v>
      </c>
      <c r="P292" s="529">
        <f t="shared" si="1153"/>
        <v>0</v>
      </c>
      <c r="Q292" s="1001" t="s">
        <v>701</v>
      </c>
      <c r="R292" s="528">
        <f t="shared" ref="R292:S292" si="1154">R634</f>
        <v>0</v>
      </c>
      <c r="S292" s="529">
        <f t="shared" si="1154"/>
        <v>0</v>
      </c>
      <c r="T292" s="1001" t="s">
        <v>701</v>
      </c>
      <c r="U292" s="530">
        <f t="shared" ref="U292:V292" si="1155">U634</f>
        <v>0</v>
      </c>
      <c r="V292" s="529">
        <f t="shared" si="1155"/>
        <v>0</v>
      </c>
      <c r="W292" s="1001" t="s">
        <v>701</v>
      </c>
      <c r="X292" s="1001" t="s">
        <v>701</v>
      </c>
      <c r="Y292" s="529">
        <f t="shared" ref="Y292" si="1156">Y634</f>
        <v>0</v>
      </c>
      <c r="Z292" s="1001" t="s">
        <v>701</v>
      </c>
      <c r="AA292" s="1098"/>
      <c r="AB292" s="1091"/>
      <c r="AC292" s="1099"/>
      <c r="AD292" s="1100">
        <f t="shared" si="1148"/>
        <v>0</v>
      </c>
      <c r="AE292" s="1091"/>
      <c r="AF292" s="1091"/>
      <c r="AG292" s="1091"/>
      <c r="AH292" s="1091"/>
      <c r="AI292" s="1091"/>
      <c r="AJ292" s="1041" t="str">
        <f t="shared" si="1056"/>
        <v/>
      </c>
    </row>
    <row r="293" spans="4:36" ht="11.25" customHeight="1" x14ac:dyDescent="0.2">
      <c r="D293" s="1092"/>
      <c r="E293" s="1093"/>
      <c r="F293" s="1093"/>
      <c r="G293" s="1093"/>
      <c r="H293" s="1094"/>
      <c r="I293" s="1095"/>
      <c r="J293" s="1096"/>
      <c r="K293" s="1096"/>
      <c r="L293" s="1096"/>
      <c r="M293" s="1097"/>
      <c r="N293" s="528">
        <f t="shared" ref="N293:P293" si="1157">N635</f>
        <v>0</v>
      </c>
      <c r="O293" s="529">
        <f t="shared" si="1157"/>
        <v>0</v>
      </c>
      <c r="P293" s="529">
        <f t="shared" si="1157"/>
        <v>0</v>
      </c>
      <c r="Q293" s="1001" t="s">
        <v>701</v>
      </c>
      <c r="R293" s="528">
        <f t="shared" ref="R293:S293" si="1158">R635</f>
        <v>0</v>
      </c>
      <c r="S293" s="529">
        <f t="shared" si="1158"/>
        <v>0</v>
      </c>
      <c r="T293" s="1001" t="s">
        <v>701</v>
      </c>
      <c r="U293" s="530">
        <f t="shared" ref="U293:V293" si="1159">U635</f>
        <v>0</v>
      </c>
      <c r="V293" s="529">
        <f t="shared" si="1159"/>
        <v>0</v>
      </c>
      <c r="W293" s="1001" t="s">
        <v>701</v>
      </c>
      <c r="X293" s="1001" t="s">
        <v>701</v>
      </c>
      <c r="Y293" s="529">
        <f t="shared" ref="Y293" si="1160">Y635</f>
        <v>0</v>
      </c>
      <c r="Z293" s="1001" t="s">
        <v>701</v>
      </c>
      <c r="AA293" s="1098"/>
      <c r="AB293" s="1091"/>
      <c r="AC293" s="1099"/>
      <c r="AD293" s="1100">
        <f t="shared" si="1148"/>
        <v>0</v>
      </c>
      <c r="AE293" s="1091"/>
      <c r="AF293" s="1091"/>
      <c r="AG293" s="1091"/>
      <c r="AH293" s="1091"/>
      <c r="AI293" s="1091"/>
      <c r="AJ293" s="1041" t="str">
        <f t="shared" si="1056"/>
        <v/>
      </c>
    </row>
    <row r="294" spans="4:36" ht="11.25" customHeight="1" x14ac:dyDescent="0.2">
      <c r="D294" s="1092"/>
      <c r="E294" s="1093"/>
      <c r="F294" s="1093"/>
      <c r="G294" s="1093"/>
      <c r="H294" s="1094"/>
      <c r="I294" s="1095"/>
      <c r="J294" s="1096"/>
      <c r="K294" s="1096"/>
      <c r="L294" s="1096"/>
      <c r="M294" s="1097"/>
      <c r="N294" s="528">
        <f t="shared" ref="N294:P294" si="1161">N636</f>
        <v>0</v>
      </c>
      <c r="O294" s="529">
        <f t="shared" si="1161"/>
        <v>0</v>
      </c>
      <c r="P294" s="529">
        <f t="shared" si="1161"/>
        <v>0</v>
      </c>
      <c r="Q294" s="1001" t="s">
        <v>701</v>
      </c>
      <c r="R294" s="528">
        <f t="shared" ref="R294:S294" si="1162">R636</f>
        <v>0</v>
      </c>
      <c r="S294" s="529">
        <f t="shared" si="1162"/>
        <v>0</v>
      </c>
      <c r="T294" s="1001" t="s">
        <v>701</v>
      </c>
      <c r="U294" s="530">
        <f t="shared" ref="U294:V294" si="1163">U636</f>
        <v>0</v>
      </c>
      <c r="V294" s="529">
        <f t="shared" si="1163"/>
        <v>0</v>
      </c>
      <c r="W294" s="1001" t="s">
        <v>701</v>
      </c>
      <c r="X294" s="1001" t="s">
        <v>701</v>
      </c>
      <c r="Y294" s="529">
        <f t="shared" ref="Y294" si="1164">Y636</f>
        <v>0</v>
      </c>
      <c r="Z294" s="1001" t="s">
        <v>701</v>
      </c>
      <c r="AA294" s="1098"/>
      <c r="AB294" s="1091"/>
      <c r="AC294" s="1099"/>
      <c r="AD294" s="1100">
        <f t="shared" si="1148"/>
        <v>0</v>
      </c>
      <c r="AE294" s="1091"/>
      <c r="AF294" s="1091"/>
      <c r="AG294" s="1091"/>
      <c r="AH294" s="1091"/>
      <c r="AI294" s="1091"/>
      <c r="AJ294" s="1041" t="str">
        <f t="shared" si="1056"/>
        <v/>
      </c>
    </row>
    <row r="295" spans="4:36" ht="11.25" customHeight="1" x14ac:dyDescent="0.2">
      <c r="D295" s="1092"/>
      <c r="E295" s="1093"/>
      <c r="F295" s="1093"/>
      <c r="G295" s="1093"/>
      <c r="H295" s="1094"/>
      <c r="I295" s="1095"/>
      <c r="J295" s="1096"/>
      <c r="K295" s="1096"/>
      <c r="L295" s="1096"/>
      <c r="M295" s="1097"/>
      <c r="N295" s="528">
        <f t="shared" ref="N295:P295" si="1165">N637</f>
        <v>0</v>
      </c>
      <c r="O295" s="529">
        <f t="shared" si="1165"/>
        <v>0</v>
      </c>
      <c r="P295" s="529">
        <f t="shared" si="1165"/>
        <v>0</v>
      </c>
      <c r="Q295" s="1001" t="s">
        <v>701</v>
      </c>
      <c r="R295" s="528">
        <f t="shared" ref="R295:S295" si="1166">R637</f>
        <v>0</v>
      </c>
      <c r="S295" s="529">
        <f t="shared" si="1166"/>
        <v>0</v>
      </c>
      <c r="T295" s="1001" t="s">
        <v>701</v>
      </c>
      <c r="U295" s="530">
        <f t="shared" ref="U295:V295" si="1167">U637</f>
        <v>0</v>
      </c>
      <c r="V295" s="529">
        <f t="shared" si="1167"/>
        <v>0</v>
      </c>
      <c r="W295" s="1001" t="s">
        <v>701</v>
      </c>
      <c r="X295" s="1001" t="s">
        <v>701</v>
      </c>
      <c r="Y295" s="529">
        <f t="shared" ref="Y295" si="1168">Y637</f>
        <v>0</v>
      </c>
      <c r="Z295" s="1001" t="s">
        <v>701</v>
      </c>
      <c r="AA295" s="1098"/>
      <c r="AB295" s="1091"/>
      <c r="AC295" s="1099"/>
      <c r="AD295" s="1100">
        <f t="shared" si="1148"/>
        <v>0</v>
      </c>
      <c r="AE295" s="1091"/>
      <c r="AF295" s="1091"/>
      <c r="AG295" s="1091"/>
      <c r="AH295" s="1091"/>
      <c r="AI295" s="1091"/>
      <c r="AJ295" s="1041" t="str">
        <f t="shared" si="1056"/>
        <v/>
      </c>
    </row>
    <row r="296" spans="4:36" ht="11.25" customHeight="1" thickBot="1" x14ac:dyDescent="0.25">
      <c r="D296" s="532" t="s">
        <v>418</v>
      </c>
      <c r="E296" s="533"/>
      <c r="F296" s="534"/>
      <c r="G296" s="535"/>
      <c r="H296" s="535"/>
      <c r="I296" s="534"/>
      <c r="J296" s="535"/>
      <c r="K296" s="535"/>
      <c r="L296" s="535"/>
      <c r="M296" s="536"/>
      <c r="N296" s="913">
        <f>SUM(N290:N295)</f>
        <v>0</v>
      </c>
      <c r="O296" s="913">
        <f t="shared" ref="O296" si="1169">SUM(O290:O295)</f>
        <v>0</v>
      </c>
      <c r="P296" s="914"/>
      <c r="Q296" s="1002" t="s">
        <v>701</v>
      </c>
      <c r="R296" s="915"/>
      <c r="S296" s="916">
        <f t="shared" ref="S296" si="1170">SUM(S290:S295)</f>
        <v>0</v>
      </c>
      <c r="T296" s="1003" t="s">
        <v>701</v>
      </c>
      <c r="U296" s="915"/>
      <c r="V296" s="916">
        <f t="shared" ref="V296:Y296" si="1171">SUM(V290:V295)</f>
        <v>2</v>
      </c>
      <c r="W296" s="1003" t="s">
        <v>701</v>
      </c>
      <c r="X296" s="1003" t="s">
        <v>701</v>
      </c>
      <c r="Y296" s="916">
        <f t="shared" si="1171"/>
        <v>88458.32551005602</v>
      </c>
      <c r="Z296" s="1003" t="s">
        <v>701</v>
      </c>
      <c r="AA296" s="1003" t="s">
        <v>701</v>
      </c>
      <c r="AB296" s="1004" t="s">
        <v>701</v>
      </c>
      <c r="AC296" s="1005" t="s">
        <v>701</v>
      </c>
      <c r="AD296" s="917"/>
      <c r="AE296" s="1004" t="s">
        <v>701</v>
      </c>
      <c r="AF296" s="1004" t="s">
        <v>701</v>
      </c>
      <c r="AG296" s="1004" t="s">
        <v>701</v>
      </c>
      <c r="AH296" s="1004" t="s">
        <v>701</v>
      </c>
      <c r="AI296" s="1004" t="s">
        <v>701</v>
      </c>
      <c r="AJ296" s="1042" t="str">
        <f t="shared" si="1056"/>
        <v/>
      </c>
    </row>
    <row r="297" spans="4:36" ht="11.25" customHeight="1" x14ac:dyDescent="0.25">
      <c r="D297" s="1092" t="str">
        <f>D639</f>
        <v>Muswellbrook</v>
      </c>
      <c r="E297" s="1093" t="str">
        <f t="shared" ref="E297:P297" si="1172">E639</f>
        <v>Transmission Substation</v>
      </c>
      <c r="F297" s="1093">
        <f t="shared" si="1172"/>
        <v>1529</v>
      </c>
      <c r="G297" s="1093" t="str">
        <f t="shared" si="1172"/>
        <v>Voltage upgrade</v>
      </c>
      <c r="H297" s="1094" t="str">
        <f t="shared" si="1172"/>
        <v>Net market benefit</v>
      </c>
      <c r="I297" s="1095" t="str">
        <f t="shared" si="1172"/>
        <v>330/132</v>
      </c>
      <c r="J297" s="1096">
        <f t="shared" si="1172"/>
        <v>750</v>
      </c>
      <c r="K297" s="1096">
        <f t="shared" si="1172"/>
        <v>750</v>
      </c>
      <c r="L297" s="1096">
        <f t="shared" si="1172"/>
        <v>375</v>
      </c>
      <c r="M297" s="1097">
        <f t="shared" si="1172"/>
        <v>375</v>
      </c>
      <c r="N297" s="522">
        <f t="shared" si="1172"/>
        <v>0</v>
      </c>
      <c r="O297" s="523">
        <f t="shared" si="1172"/>
        <v>0</v>
      </c>
      <c r="P297" s="524">
        <f t="shared" si="1172"/>
        <v>0</v>
      </c>
      <c r="Q297" s="1000" t="s">
        <v>701</v>
      </c>
      <c r="R297" s="525">
        <f t="shared" ref="R297:S297" si="1173">R639</f>
        <v>0</v>
      </c>
      <c r="S297" s="524">
        <f t="shared" si="1173"/>
        <v>0</v>
      </c>
      <c r="T297" s="1000" t="s">
        <v>701</v>
      </c>
      <c r="U297" s="526">
        <f t="shared" ref="U297:V297" si="1174">U639</f>
        <v>0</v>
      </c>
      <c r="V297" s="524">
        <f t="shared" si="1174"/>
        <v>0</v>
      </c>
      <c r="W297" s="1000" t="s">
        <v>701</v>
      </c>
      <c r="X297" s="1000" t="s">
        <v>701</v>
      </c>
      <c r="Y297" s="527">
        <f t="shared" ref="Y297" si="1175">Y639</f>
        <v>1779.993423821641</v>
      </c>
      <c r="Z297" s="1000" t="s">
        <v>701</v>
      </c>
      <c r="AA297" s="1098" t="s">
        <v>701</v>
      </c>
      <c r="AB297" s="1091" t="s">
        <v>701</v>
      </c>
      <c r="AC297" s="1099"/>
      <c r="AD297" s="1100">
        <f t="shared" ref="AD297:AD302" si="1176">AD639</f>
        <v>0</v>
      </c>
      <c r="AE297" s="1091" t="s">
        <v>701</v>
      </c>
      <c r="AF297" s="1091" t="s">
        <v>701</v>
      </c>
      <c r="AG297" s="1091" t="s">
        <v>701</v>
      </c>
      <c r="AH297" s="1091" t="s">
        <v>701</v>
      </c>
      <c r="AI297" s="1091" t="s">
        <v>701</v>
      </c>
      <c r="AJ297" s="1040" t="str">
        <f t="shared" si="1056"/>
        <v/>
      </c>
    </row>
    <row r="298" spans="4:36" ht="11.25" customHeight="1" x14ac:dyDescent="0.2">
      <c r="D298" s="1092"/>
      <c r="E298" s="1093"/>
      <c r="F298" s="1093"/>
      <c r="G298" s="1093"/>
      <c r="H298" s="1094"/>
      <c r="I298" s="1095"/>
      <c r="J298" s="1096"/>
      <c r="K298" s="1096"/>
      <c r="L298" s="1096"/>
      <c r="M298" s="1097"/>
      <c r="N298" s="528">
        <f t="shared" ref="N298:P298" si="1177">N640</f>
        <v>0</v>
      </c>
      <c r="O298" s="529">
        <f t="shared" si="1177"/>
        <v>0</v>
      </c>
      <c r="P298" s="529">
        <f t="shared" si="1177"/>
        <v>0</v>
      </c>
      <c r="Q298" s="1001" t="s">
        <v>701</v>
      </c>
      <c r="R298" s="528">
        <f t="shared" ref="R298:S298" si="1178">R640</f>
        <v>0</v>
      </c>
      <c r="S298" s="529">
        <f t="shared" si="1178"/>
        <v>0</v>
      </c>
      <c r="T298" s="1001" t="s">
        <v>701</v>
      </c>
      <c r="U298" s="530">
        <f t="shared" ref="U298:V298" si="1179">U640</f>
        <v>0</v>
      </c>
      <c r="V298" s="529">
        <f t="shared" si="1179"/>
        <v>0</v>
      </c>
      <c r="W298" s="1001" t="s">
        <v>701</v>
      </c>
      <c r="X298" s="1001" t="s">
        <v>701</v>
      </c>
      <c r="Y298" s="531">
        <f t="shared" ref="Y298" si="1180">Y640</f>
        <v>0</v>
      </c>
      <c r="Z298" s="1001" t="s">
        <v>701</v>
      </c>
      <c r="AA298" s="1098"/>
      <c r="AB298" s="1091"/>
      <c r="AC298" s="1099"/>
      <c r="AD298" s="1100">
        <f t="shared" si="1176"/>
        <v>0</v>
      </c>
      <c r="AE298" s="1091"/>
      <c r="AF298" s="1091"/>
      <c r="AG298" s="1091"/>
      <c r="AH298" s="1091"/>
      <c r="AI298" s="1091"/>
      <c r="AJ298" s="1041" t="str">
        <f t="shared" si="1056"/>
        <v/>
      </c>
    </row>
    <row r="299" spans="4:36" ht="11.25" customHeight="1" x14ac:dyDescent="0.2">
      <c r="D299" s="1092"/>
      <c r="E299" s="1093"/>
      <c r="F299" s="1093"/>
      <c r="G299" s="1093"/>
      <c r="H299" s="1094"/>
      <c r="I299" s="1095"/>
      <c r="J299" s="1096"/>
      <c r="K299" s="1096"/>
      <c r="L299" s="1096"/>
      <c r="M299" s="1097"/>
      <c r="N299" s="528">
        <f t="shared" ref="N299:P299" si="1181">N641</f>
        <v>0</v>
      </c>
      <c r="O299" s="529">
        <f t="shared" si="1181"/>
        <v>0</v>
      </c>
      <c r="P299" s="529">
        <f t="shared" si="1181"/>
        <v>0</v>
      </c>
      <c r="Q299" s="1001" t="s">
        <v>701</v>
      </c>
      <c r="R299" s="528">
        <f t="shared" ref="R299:S299" si="1182">R641</f>
        <v>0</v>
      </c>
      <c r="S299" s="529">
        <f t="shared" si="1182"/>
        <v>0</v>
      </c>
      <c r="T299" s="1001" t="s">
        <v>701</v>
      </c>
      <c r="U299" s="530">
        <f t="shared" ref="U299:V299" si="1183">U641</f>
        <v>0</v>
      </c>
      <c r="V299" s="529">
        <f t="shared" si="1183"/>
        <v>0</v>
      </c>
      <c r="W299" s="1001" t="s">
        <v>701</v>
      </c>
      <c r="X299" s="1001" t="s">
        <v>701</v>
      </c>
      <c r="Y299" s="529">
        <f t="shared" ref="Y299" si="1184">Y641</f>
        <v>0</v>
      </c>
      <c r="Z299" s="1001" t="s">
        <v>701</v>
      </c>
      <c r="AA299" s="1098"/>
      <c r="AB299" s="1091"/>
      <c r="AC299" s="1099"/>
      <c r="AD299" s="1100">
        <f t="shared" si="1176"/>
        <v>0</v>
      </c>
      <c r="AE299" s="1091"/>
      <c r="AF299" s="1091"/>
      <c r="AG299" s="1091"/>
      <c r="AH299" s="1091"/>
      <c r="AI299" s="1091"/>
      <c r="AJ299" s="1041" t="str">
        <f t="shared" si="1056"/>
        <v/>
      </c>
    </row>
    <row r="300" spans="4:36" ht="11.25" customHeight="1" x14ac:dyDescent="0.2">
      <c r="D300" s="1092"/>
      <c r="E300" s="1093"/>
      <c r="F300" s="1093"/>
      <c r="G300" s="1093"/>
      <c r="H300" s="1094"/>
      <c r="I300" s="1095"/>
      <c r="J300" s="1096"/>
      <c r="K300" s="1096"/>
      <c r="L300" s="1096"/>
      <c r="M300" s="1097"/>
      <c r="N300" s="528">
        <f t="shared" ref="N300:P300" si="1185">N642</f>
        <v>0</v>
      </c>
      <c r="O300" s="529">
        <f t="shared" si="1185"/>
        <v>0</v>
      </c>
      <c r="P300" s="529">
        <f t="shared" si="1185"/>
        <v>0</v>
      </c>
      <c r="Q300" s="1001" t="s">
        <v>701</v>
      </c>
      <c r="R300" s="528">
        <f t="shared" ref="R300:S300" si="1186">R642</f>
        <v>0</v>
      </c>
      <c r="S300" s="529">
        <f t="shared" si="1186"/>
        <v>0</v>
      </c>
      <c r="T300" s="1001" t="s">
        <v>701</v>
      </c>
      <c r="U300" s="530">
        <f t="shared" ref="U300:V300" si="1187">U642</f>
        <v>0</v>
      </c>
      <c r="V300" s="529">
        <f t="shared" si="1187"/>
        <v>0</v>
      </c>
      <c r="W300" s="1001" t="s">
        <v>701</v>
      </c>
      <c r="X300" s="1001" t="s">
        <v>701</v>
      </c>
      <c r="Y300" s="529">
        <f t="shared" ref="Y300" si="1188">Y642</f>
        <v>0</v>
      </c>
      <c r="Z300" s="1001" t="s">
        <v>701</v>
      </c>
      <c r="AA300" s="1098"/>
      <c r="AB300" s="1091"/>
      <c r="AC300" s="1099"/>
      <c r="AD300" s="1100">
        <f t="shared" si="1176"/>
        <v>0</v>
      </c>
      <c r="AE300" s="1091"/>
      <c r="AF300" s="1091"/>
      <c r="AG300" s="1091"/>
      <c r="AH300" s="1091"/>
      <c r="AI300" s="1091"/>
      <c r="AJ300" s="1041" t="str">
        <f t="shared" si="1056"/>
        <v/>
      </c>
    </row>
    <row r="301" spans="4:36" ht="11.25" customHeight="1" x14ac:dyDescent="0.2">
      <c r="D301" s="1092"/>
      <c r="E301" s="1093"/>
      <c r="F301" s="1093"/>
      <c r="G301" s="1093"/>
      <c r="H301" s="1094"/>
      <c r="I301" s="1095"/>
      <c r="J301" s="1096"/>
      <c r="K301" s="1096"/>
      <c r="L301" s="1096"/>
      <c r="M301" s="1097"/>
      <c r="N301" s="528">
        <f t="shared" ref="N301:P301" si="1189">N643</f>
        <v>0</v>
      </c>
      <c r="O301" s="529">
        <f t="shared" si="1189"/>
        <v>0</v>
      </c>
      <c r="P301" s="529">
        <f t="shared" si="1189"/>
        <v>0</v>
      </c>
      <c r="Q301" s="1001" t="s">
        <v>701</v>
      </c>
      <c r="R301" s="528">
        <f t="shared" ref="R301:S301" si="1190">R643</f>
        <v>0</v>
      </c>
      <c r="S301" s="529">
        <f t="shared" si="1190"/>
        <v>0</v>
      </c>
      <c r="T301" s="1001" t="s">
        <v>701</v>
      </c>
      <c r="U301" s="530">
        <f t="shared" ref="U301:V301" si="1191">U643</f>
        <v>0</v>
      </c>
      <c r="V301" s="529">
        <f t="shared" si="1191"/>
        <v>0</v>
      </c>
      <c r="W301" s="1001" t="s">
        <v>701</v>
      </c>
      <c r="X301" s="1001" t="s">
        <v>701</v>
      </c>
      <c r="Y301" s="529">
        <f t="shared" ref="Y301" si="1192">Y643</f>
        <v>0</v>
      </c>
      <c r="Z301" s="1001" t="s">
        <v>701</v>
      </c>
      <c r="AA301" s="1098"/>
      <c r="AB301" s="1091"/>
      <c r="AC301" s="1099"/>
      <c r="AD301" s="1100">
        <f t="shared" si="1176"/>
        <v>0</v>
      </c>
      <c r="AE301" s="1091"/>
      <c r="AF301" s="1091"/>
      <c r="AG301" s="1091"/>
      <c r="AH301" s="1091"/>
      <c r="AI301" s="1091"/>
      <c r="AJ301" s="1041" t="str">
        <f t="shared" si="1056"/>
        <v/>
      </c>
    </row>
    <row r="302" spans="4:36" ht="11.25" customHeight="1" x14ac:dyDescent="0.2">
      <c r="D302" s="1092"/>
      <c r="E302" s="1093"/>
      <c r="F302" s="1093"/>
      <c r="G302" s="1093"/>
      <c r="H302" s="1094"/>
      <c r="I302" s="1095"/>
      <c r="J302" s="1096"/>
      <c r="K302" s="1096"/>
      <c r="L302" s="1096"/>
      <c r="M302" s="1097"/>
      <c r="N302" s="528">
        <f t="shared" ref="N302:P302" si="1193">N644</f>
        <v>0</v>
      </c>
      <c r="O302" s="529">
        <f t="shared" si="1193"/>
        <v>0</v>
      </c>
      <c r="P302" s="529">
        <f t="shared" si="1193"/>
        <v>0</v>
      </c>
      <c r="Q302" s="1001" t="s">
        <v>701</v>
      </c>
      <c r="R302" s="528">
        <f t="shared" ref="R302:S302" si="1194">R644</f>
        <v>0</v>
      </c>
      <c r="S302" s="529">
        <f t="shared" si="1194"/>
        <v>0</v>
      </c>
      <c r="T302" s="1001" t="s">
        <v>701</v>
      </c>
      <c r="U302" s="530">
        <f t="shared" ref="U302:V302" si="1195">U644</f>
        <v>0</v>
      </c>
      <c r="V302" s="529">
        <f t="shared" si="1195"/>
        <v>0</v>
      </c>
      <c r="W302" s="1001" t="s">
        <v>701</v>
      </c>
      <c r="X302" s="1001" t="s">
        <v>701</v>
      </c>
      <c r="Y302" s="529">
        <f t="shared" ref="Y302" si="1196">Y644</f>
        <v>0</v>
      </c>
      <c r="Z302" s="1001" t="s">
        <v>701</v>
      </c>
      <c r="AA302" s="1098"/>
      <c r="AB302" s="1091"/>
      <c r="AC302" s="1099"/>
      <c r="AD302" s="1100">
        <f t="shared" si="1176"/>
        <v>0</v>
      </c>
      <c r="AE302" s="1091"/>
      <c r="AF302" s="1091"/>
      <c r="AG302" s="1091"/>
      <c r="AH302" s="1091"/>
      <c r="AI302" s="1091"/>
      <c r="AJ302" s="1041" t="str">
        <f t="shared" si="1056"/>
        <v/>
      </c>
    </row>
    <row r="303" spans="4:36" ht="11.25" customHeight="1" thickBot="1" x14ac:dyDescent="0.25">
      <c r="D303" s="532" t="s">
        <v>418</v>
      </c>
      <c r="E303" s="533"/>
      <c r="F303" s="534"/>
      <c r="G303" s="535"/>
      <c r="H303" s="535"/>
      <c r="I303" s="534"/>
      <c r="J303" s="535"/>
      <c r="K303" s="535"/>
      <c r="L303" s="535"/>
      <c r="M303" s="536"/>
      <c r="N303" s="913">
        <f>SUM(N297:N302)</f>
        <v>0</v>
      </c>
      <c r="O303" s="913">
        <f t="shared" ref="O303" si="1197">SUM(O297:O302)</f>
        <v>0</v>
      </c>
      <c r="P303" s="914"/>
      <c r="Q303" s="1002" t="s">
        <v>701</v>
      </c>
      <c r="R303" s="915"/>
      <c r="S303" s="916">
        <f t="shared" ref="S303" si="1198">SUM(S297:S302)</f>
        <v>0</v>
      </c>
      <c r="T303" s="1003" t="s">
        <v>701</v>
      </c>
      <c r="U303" s="915"/>
      <c r="V303" s="916">
        <f t="shared" ref="V303:Y303" si="1199">SUM(V297:V302)</f>
        <v>0</v>
      </c>
      <c r="W303" s="1003" t="s">
        <v>701</v>
      </c>
      <c r="X303" s="1003" t="s">
        <v>701</v>
      </c>
      <c r="Y303" s="916">
        <f t="shared" si="1199"/>
        <v>1779.993423821641</v>
      </c>
      <c r="Z303" s="1003" t="s">
        <v>701</v>
      </c>
      <c r="AA303" s="1003" t="s">
        <v>701</v>
      </c>
      <c r="AB303" s="1004" t="s">
        <v>701</v>
      </c>
      <c r="AC303" s="1005" t="s">
        <v>701</v>
      </c>
      <c r="AD303" s="917"/>
      <c r="AE303" s="1004" t="s">
        <v>701</v>
      </c>
      <c r="AF303" s="1004" t="s">
        <v>701</v>
      </c>
      <c r="AG303" s="1004" t="s">
        <v>701</v>
      </c>
      <c r="AH303" s="1004" t="s">
        <v>701</v>
      </c>
      <c r="AI303" s="1004" t="s">
        <v>701</v>
      </c>
      <c r="AJ303" s="1042" t="str">
        <f t="shared" si="1056"/>
        <v/>
      </c>
    </row>
    <row r="304" spans="4:36" ht="11.25" customHeight="1" x14ac:dyDescent="0.25">
      <c r="D304" s="1092" t="str">
        <f>D646</f>
        <v>Liddell</v>
      </c>
      <c r="E304" s="1093" t="str">
        <f t="shared" ref="E304:P304" si="1200">E646</f>
        <v>Switching station</v>
      </c>
      <c r="F304" s="1093">
        <f t="shared" si="1200"/>
        <v>1529</v>
      </c>
      <c r="G304" s="1093" t="str">
        <f t="shared" si="1200"/>
        <v>Voltage upgrade</v>
      </c>
      <c r="H304" s="1094" t="str">
        <f t="shared" si="1200"/>
        <v>Net market benefit</v>
      </c>
      <c r="I304" s="1095">
        <f t="shared" si="1200"/>
        <v>330</v>
      </c>
      <c r="J304" s="1096" t="str">
        <f t="shared" si="1200"/>
        <v>N/A</v>
      </c>
      <c r="K304" s="1096" t="str">
        <f t="shared" si="1200"/>
        <v>N/A</v>
      </c>
      <c r="L304" s="1096" t="str">
        <f t="shared" si="1200"/>
        <v>N/A</v>
      </c>
      <c r="M304" s="1097" t="str">
        <f t="shared" si="1200"/>
        <v>N/A</v>
      </c>
      <c r="N304" s="522">
        <f t="shared" si="1200"/>
        <v>0</v>
      </c>
      <c r="O304" s="523">
        <f t="shared" si="1200"/>
        <v>0</v>
      </c>
      <c r="P304" s="524">
        <f t="shared" si="1200"/>
        <v>0</v>
      </c>
      <c r="Q304" s="1000" t="s">
        <v>701</v>
      </c>
      <c r="R304" s="525">
        <f t="shared" ref="R304:S304" si="1201">R646</f>
        <v>0</v>
      </c>
      <c r="S304" s="524">
        <f t="shared" si="1201"/>
        <v>0</v>
      </c>
      <c r="T304" s="1000" t="s">
        <v>701</v>
      </c>
      <c r="U304" s="526">
        <f t="shared" ref="U304:V304" si="1202">U646</f>
        <v>0</v>
      </c>
      <c r="V304" s="524">
        <f t="shared" si="1202"/>
        <v>0</v>
      </c>
      <c r="W304" s="1000" t="s">
        <v>701</v>
      </c>
      <c r="X304" s="1000" t="s">
        <v>701</v>
      </c>
      <c r="Y304" s="527">
        <f t="shared" ref="Y304" si="1203">Y646</f>
        <v>1779.993423821641</v>
      </c>
      <c r="Z304" s="1000" t="s">
        <v>701</v>
      </c>
      <c r="AA304" s="1098" t="s">
        <v>701</v>
      </c>
      <c r="AB304" s="1091" t="s">
        <v>701</v>
      </c>
      <c r="AC304" s="1099"/>
      <c r="AD304" s="1100">
        <f t="shared" ref="AD304:AD309" si="1204">AD646</f>
        <v>0</v>
      </c>
      <c r="AE304" s="1091" t="s">
        <v>701</v>
      </c>
      <c r="AF304" s="1091" t="s">
        <v>701</v>
      </c>
      <c r="AG304" s="1091" t="s">
        <v>701</v>
      </c>
      <c r="AH304" s="1091" t="s">
        <v>701</v>
      </c>
      <c r="AI304" s="1091" t="s">
        <v>701</v>
      </c>
      <c r="AJ304" s="1040" t="str">
        <f t="shared" si="1056"/>
        <v/>
      </c>
    </row>
    <row r="305" spans="4:36" ht="11.25" customHeight="1" x14ac:dyDescent="0.2">
      <c r="D305" s="1092"/>
      <c r="E305" s="1093"/>
      <c r="F305" s="1093"/>
      <c r="G305" s="1093"/>
      <c r="H305" s="1094"/>
      <c r="I305" s="1095"/>
      <c r="J305" s="1096"/>
      <c r="K305" s="1096"/>
      <c r="L305" s="1096"/>
      <c r="M305" s="1097"/>
      <c r="N305" s="528">
        <f t="shared" ref="N305:P305" si="1205">N647</f>
        <v>0</v>
      </c>
      <c r="O305" s="529">
        <f t="shared" si="1205"/>
        <v>0</v>
      </c>
      <c r="P305" s="529">
        <f t="shared" si="1205"/>
        <v>0</v>
      </c>
      <c r="Q305" s="1001" t="s">
        <v>701</v>
      </c>
      <c r="R305" s="528">
        <f t="shared" ref="R305:S305" si="1206">R647</f>
        <v>0</v>
      </c>
      <c r="S305" s="529">
        <f t="shared" si="1206"/>
        <v>0</v>
      </c>
      <c r="T305" s="1001" t="s">
        <v>701</v>
      </c>
      <c r="U305" s="530">
        <f t="shared" ref="U305:V305" si="1207">U647</f>
        <v>0</v>
      </c>
      <c r="V305" s="529">
        <f t="shared" si="1207"/>
        <v>0</v>
      </c>
      <c r="W305" s="1001" t="s">
        <v>701</v>
      </c>
      <c r="X305" s="1001" t="s">
        <v>701</v>
      </c>
      <c r="Y305" s="531">
        <f t="shared" ref="Y305" si="1208">Y647</f>
        <v>0</v>
      </c>
      <c r="Z305" s="1001" t="s">
        <v>701</v>
      </c>
      <c r="AA305" s="1098"/>
      <c r="AB305" s="1091"/>
      <c r="AC305" s="1099"/>
      <c r="AD305" s="1100">
        <f t="shared" si="1204"/>
        <v>0</v>
      </c>
      <c r="AE305" s="1091"/>
      <c r="AF305" s="1091"/>
      <c r="AG305" s="1091"/>
      <c r="AH305" s="1091"/>
      <c r="AI305" s="1091"/>
      <c r="AJ305" s="1041" t="str">
        <f t="shared" si="1056"/>
        <v/>
      </c>
    </row>
    <row r="306" spans="4:36" ht="11.25" customHeight="1" x14ac:dyDescent="0.2">
      <c r="D306" s="1092"/>
      <c r="E306" s="1093"/>
      <c r="F306" s="1093"/>
      <c r="G306" s="1093"/>
      <c r="H306" s="1094"/>
      <c r="I306" s="1095"/>
      <c r="J306" s="1096"/>
      <c r="K306" s="1096"/>
      <c r="L306" s="1096"/>
      <c r="M306" s="1097"/>
      <c r="N306" s="528">
        <f t="shared" ref="N306:P306" si="1209">N648</f>
        <v>0</v>
      </c>
      <c r="O306" s="529">
        <f t="shared" si="1209"/>
        <v>0</v>
      </c>
      <c r="P306" s="529">
        <f t="shared" si="1209"/>
        <v>0</v>
      </c>
      <c r="Q306" s="1001" t="s">
        <v>701</v>
      </c>
      <c r="R306" s="528">
        <f t="shared" ref="R306:S306" si="1210">R648</f>
        <v>0</v>
      </c>
      <c r="S306" s="529">
        <f t="shared" si="1210"/>
        <v>0</v>
      </c>
      <c r="T306" s="1001" t="s">
        <v>701</v>
      </c>
      <c r="U306" s="530">
        <f t="shared" ref="U306:V306" si="1211">U648</f>
        <v>0</v>
      </c>
      <c r="V306" s="529">
        <f t="shared" si="1211"/>
        <v>0</v>
      </c>
      <c r="W306" s="1001" t="s">
        <v>701</v>
      </c>
      <c r="X306" s="1001" t="s">
        <v>701</v>
      </c>
      <c r="Y306" s="529">
        <f t="shared" ref="Y306" si="1212">Y648</f>
        <v>0</v>
      </c>
      <c r="Z306" s="1001" t="s">
        <v>701</v>
      </c>
      <c r="AA306" s="1098"/>
      <c r="AB306" s="1091"/>
      <c r="AC306" s="1099"/>
      <c r="AD306" s="1100">
        <f t="shared" si="1204"/>
        <v>0</v>
      </c>
      <c r="AE306" s="1091"/>
      <c r="AF306" s="1091"/>
      <c r="AG306" s="1091"/>
      <c r="AH306" s="1091"/>
      <c r="AI306" s="1091"/>
      <c r="AJ306" s="1041" t="str">
        <f t="shared" si="1056"/>
        <v/>
      </c>
    </row>
    <row r="307" spans="4:36" ht="11.25" customHeight="1" x14ac:dyDescent="0.2">
      <c r="D307" s="1092"/>
      <c r="E307" s="1093"/>
      <c r="F307" s="1093"/>
      <c r="G307" s="1093"/>
      <c r="H307" s="1094"/>
      <c r="I307" s="1095"/>
      <c r="J307" s="1096"/>
      <c r="K307" s="1096"/>
      <c r="L307" s="1096"/>
      <c r="M307" s="1097"/>
      <c r="N307" s="528">
        <f t="shared" ref="N307:P307" si="1213">N649</f>
        <v>0</v>
      </c>
      <c r="O307" s="529">
        <f t="shared" si="1213"/>
        <v>0</v>
      </c>
      <c r="P307" s="529">
        <f t="shared" si="1213"/>
        <v>0</v>
      </c>
      <c r="Q307" s="1001" t="s">
        <v>701</v>
      </c>
      <c r="R307" s="528">
        <f t="shared" ref="R307:S307" si="1214">R649</f>
        <v>0</v>
      </c>
      <c r="S307" s="529">
        <f t="shared" si="1214"/>
        <v>0</v>
      </c>
      <c r="T307" s="1001" t="s">
        <v>701</v>
      </c>
      <c r="U307" s="530">
        <f t="shared" ref="U307:V307" si="1215">U649</f>
        <v>0</v>
      </c>
      <c r="V307" s="529">
        <f t="shared" si="1215"/>
        <v>0</v>
      </c>
      <c r="W307" s="1001" t="s">
        <v>701</v>
      </c>
      <c r="X307" s="1001" t="s">
        <v>701</v>
      </c>
      <c r="Y307" s="529">
        <f t="shared" ref="Y307" si="1216">Y649</f>
        <v>0</v>
      </c>
      <c r="Z307" s="1001" t="s">
        <v>701</v>
      </c>
      <c r="AA307" s="1098"/>
      <c r="AB307" s="1091"/>
      <c r="AC307" s="1099"/>
      <c r="AD307" s="1100">
        <f t="shared" si="1204"/>
        <v>0</v>
      </c>
      <c r="AE307" s="1091"/>
      <c r="AF307" s="1091"/>
      <c r="AG307" s="1091"/>
      <c r="AH307" s="1091"/>
      <c r="AI307" s="1091"/>
      <c r="AJ307" s="1041" t="str">
        <f t="shared" si="1056"/>
        <v/>
      </c>
    </row>
    <row r="308" spans="4:36" ht="11.25" customHeight="1" x14ac:dyDescent="0.2">
      <c r="D308" s="1092"/>
      <c r="E308" s="1093"/>
      <c r="F308" s="1093"/>
      <c r="G308" s="1093"/>
      <c r="H308" s="1094"/>
      <c r="I308" s="1095"/>
      <c r="J308" s="1096"/>
      <c r="K308" s="1096"/>
      <c r="L308" s="1096"/>
      <c r="M308" s="1097"/>
      <c r="N308" s="528">
        <f t="shared" ref="N308:P308" si="1217">N650</f>
        <v>0</v>
      </c>
      <c r="O308" s="529">
        <f t="shared" si="1217"/>
        <v>0</v>
      </c>
      <c r="P308" s="529">
        <f t="shared" si="1217"/>
        <v>0</v>
      </c>
      <c r="Q308" s="1001" t="s">
        <v>701</v>
      </c>
      <c r="R308" s="528">
        <f t="shared" ref="R308:S308" si="1218">R650</f>
        <v>0</v>
      </c>
      <c r="S308" s="529">
        <f t="shared" si="1218"/>
        <v>0</v>
      </c>
      <c r="T308" s="1001" t="s">
        <v>701</v>
      </c>
      <c r="U308" s="530">
        <f t="shared" ref="U308:V308" si="1219">U650</f>
        <v>0</v>
      </c>
      <c r="V308" s="529">
        <f t="shared" si="1219"/>
        <v>0</v>
      </c>
      <c r="W308" s="1001" t="s">
        <v>701</v>
      </c>
      <c r="X308" s="1001" t="s">
        <v>701</v>
      </c>
      <c r="Y308" s="529">
        <f t="shared" ref="Y308" si="1220">Y650</f>
        <v>0</v>
      </c>
      <c r="Z308" s="1001" t="s">
        <v>701</v>
      </c>
      <c r="AA308" s="1098"/>
      <c r="AB308" s="1091"/>
      <c r="AC308" s="1099"/>
      <c r="AD308" s="1100">
        <f t="shared" si="1204"/>
        <v>0</v>
      </c>
      <c r="AE308" s="1091"/>
      <c r="AF308" s="1091"/>
      <c r="AG308" s="1091"/>
      <c r="AH308" s="1091"/>
      <c r="AI308" s="1091"/>
      <c r="AJ308" s="1041" t="str">
        <f t="shared" si="1056"/>
        <v/>
      </c>
    </row>
    <row r="309" spans="4:36" ht="11.25" customHeight="1" x14ac:dyDescent="0.2">
      <c r="D309" s="1092"/>
      <c r="E309" s="1093"/>
      <c r="F309" s="1093"/>
      <c r="G309" s="1093"/>
      <c r="H309" s="1094"/>
      <c r="I309" s="1095"/>
      <c r="J309" s="1096"/>
      <c r="K309" s="1096"/>
      <c r="L309" s="1096"/>
      <c r="M309" s="1097"/>
      <c r="N309" s="528">
        <f t="shared" ref="N309:P309" si="1221">N651</f>
        <v>0</v>
      </c>
      <c r="O309" s="529">
        <f t="shared" si="1221"/>
        <v>0</v>
      </c>
      <c r="P309" s="529">
        <f t="shared" si="1221"/>
        <v>0</v>
      </c>
      <c r="Q309" s="1001" t="s">
        <v>701</v>
      </c>
      <c r="R309" s="528">
        <f t="shared" ref="R309:S309" si="1222">R651</f>
        <v>0</v>
      </c>
      <c r="S309" s="529">
        <f t="shared" si="1222"/>
        <v>0</v>
      </c>
      <c r="T309" s="1001" t="s">
        <v>701</v>
      </c>
      <c r="U309" s="530">
        <f t="shared" ref="U309:V309" si="1223">U651</f>
        <v>0</v>
      </c>
      <c r="V309" s="529">
        <f t="shared" si="1223"/>
        <v>0</v>
      </c>
      <c r="W309" s="1001" t="s">
        <v>701</v>
      </c>
      <c r="X309" s="1001" t="s">
        <v>701</v>
      </c>
      <c r="Y309" s="529">
        <f t="shared" ref="Y309" si="1224">Y651</f>
        <v>0</v>
      </c>
      <c r="Z309" s="1001" t="s">
        <v>701</v>
      </c>
      <c r="AA309" s="1098"/>
      <c r="AB309" s="1091"/>
      <c r="AC309" s="1099"/>
      <c r="AD309" s="1100">
        <f t="shared" si="1204"/>
        <v>0</v>
      </c>
      <c r="AE309" s="1091"/>
      <c r="AF309" s="1091"/>
      <c r="AG309" s="1091"/>
      <c r="AH309" s="1091"/>
      <c r="AI309" s="1091"/>
      <c r="AJ309" s="1041" t="str">
        <f t="shared" si="1056"/>
        <v/>
      </c>
    </row>
    <row r="310" spans="4:36" ht="11.25" customHeight="1" thickBot="1" x14ac:dyDescent="0.25">
      <c r="D310" s="532" t="s">
        <v>418</v>
      </c>
      <c r="E310" s="533"/>
      <c r="F310" s="534"/>
      <c r="G310" s="535"/>
      <c r="H310" s="535"/>
      <c r="I310" s="534"/>
      <c r="J310" s="535"/>
      <c r="K310" s="535"/>
      <c r="L310" s="535"/>
      <c r="M310" s="536"/>
      <c r="N310" s="913">
        <f>SUM(N304:N309)</f>
        <v>0</v>
      </c>
      <c r="O310" s="913">
        <f t="shared" ref="O310" si="1225">SUM(O304:O309)</f>
        <v>0</v>
      </c>
      <c r="P310" s="914"/>
      <c r="Q310" s="1002" t="s">
        <v>701</v>
      </c>
      <c r="R310" s="915"/>
      <c r="S310" s="916">
        <f t="shared" ref="S310" si="1226">SUM(S304:S309)</f>
        <v>0</v>
      </c>
      <c r="T310" s="1003" t="s">
        <v>701</v>
      </c>
      <c r="U310" s="915"/>
      <c r="V310" s="916">
        <f t="shared" ref="V310:Y310" si="1227">SUM(V304:V309)</f>
        <v>0</v>
      </c>
      <c r="W310" s="1003" t="s">
        <v>701</v>
      </c>
      <c r="X310" s="1003" t="s">
        <v>701</v>
      </c>
      <c r="Y310" s="916">
        <f t="shared" si="1227"/>
        <v>1779.993423821641</v>
      </c>
      <c r="Z310" s="1003" t="s">
        <v>701</v>
      </c>
      <c r="AA310" s="1003" t="s">
        <v>701</v>
      </c>
      <c r="AB310" s="1004" t="s">
        <v>701</v>
      </c>
      <c r="AC310" s="1005" t="s">
        <v>701</v>
      </c>
      <c r="AD310" s="917"/>
      <c r="AE310" s="1004" t="s">
        <v>701</v>
      </c>
      <c r="AF310" s="1004" t="s">
        <v>701</v>
      </c>
      <c r="AG310" s="1004" t="s">
        <v>701</v>
      </c>
      <c r="AH310" s="1004" t="s">
        <v>701</v>
      </c>
      <c r="AI310" s="1004" t="s">
        <v>701</v>
      </c>
      <c r="AJ310" s="1042" t="str">
        <f t="shared" si="1056"/>
        <v/>
      </c>
    </row>
    <row r="311" spans="4:36" ht="11.25" customHeight="1" x14ac:dyDescent="0.25">
      <c r="D311" s="1092">
        <f>D653</f>
        <v>0</v>
      </c>
      <c r="E311" s="1093">
        <f t="shared" ref="E311:P311" si="1228">E653</f>
        <v>0</v>
      </c>
      <c r="F311" s="1093">
        <f t="shared" si="1228"/>
        <v>0</v>
      </c>
      <c r="G311" s="1093">
        <f t="shared" si="1228"/>
        <v>0</v>
      </c>
      <c r="H311" s="1094">
        <f t="shared" si="1228"/>
        <v>0</v>
      </c>
      <c r="I311" s="1095">
        <f t="shared" si="1228"/>
        <v>0</v>
      </c>
      <c r="J311" s="1096">
        <f t="shared" si="1228"/>
        <v>0</v>
      </c>
      <c r="K311" s="1096">
        <f t="shared" si="1228"/>
        <v>0</v>
      </c>
      <c r="L311" s="1096">
        <f t="shared" si="1228"/>
        <v>0</v>
      </c>
      <c r="M311" s="1097">
        <f t="shared" si="1228"/>
        <v>0</v>
      </c>
      <c r="N311" s="522">
        <f t="shared" si="1228"/>
        <v>0</v>
      </c>
      <c r="O311" s="523">
        <f t="shared" si="1228"/>
        <v>0</v>
      </c>
      <c r="P311" s="524">
        <f t="shared" si="1228"/>
        <v>0</v>
      </c>
      <c r="Q311" s="1000" t="s">
        <v>701</v>
      </c>
      <c r="R311" s="525">
        <f t="shared" ref="R311:S311" si="1229">R653</f>
        <v>0</v>
      </c>
      <c r="S311" s="524">
        <f t="shared" si="1229"/>
        <v>0</v>
      </c>
      <c r="T311" s="1000" t="s">
        <v>701</v>
      </c>
      <c r="U311" s="526">
        <f t="shared" ref="U311:V311" si="1230">U653</f>
        <v>0</v>
      </c>
      <c r="V311" s="524">
        <f t="shared" si="1230"/>
        <v>0</v>
      </c>
      <c r="W311" s="1000" t="s">
        <v>701</v>
      </c>
      <c r="X311" s="1000" t="s">
        <v>701</v>
      </c>
      <c r="Y311" s="527">
        <f t="shared" ref="Y311" si="1231">Y653</f>
        <v>0</v>
      </c>
      <c r="Z311" s="1000" t="s">
        <v>701</v>
      </c>
      <c r="AA311" s="1098" t="s">
        <v>701</v>
      </c>
      <c r="AB311" s="1091" t="s">
        <v>701</v>
      </c>
      <c r="AC311" s="1099"/>
      <c r="AD311" s="1100">
        <f t="shared" ref="AD311:AD316" si="1232">AD653</f>
        <v>0</v>
      </c>
      <c r="AE311" s="1091" t="s">
        <v>701</v>
      </c>
      <c r="AF311" s="1091" t="s">
        <v>701</v>
      </c>
      <c r="AG311" s="1091" t="s">
        <v>701</v>
      </c>
      <c r="AH311" s="1091" t="s">
        <v>701</v>
      </c>
      <c r="AI311" s="1091" t="s">
        <v>701</v>
      </c>
      <c r="AJ311" s="1040" t="str">
        <f t="shared" si="1056"/>
        <v/>
      </c>
    </row>
    <row r="312" spans="4:36" ht="11.25" customHeight="1" x14ac:dyDescent="0.2">
      <c r="D312" s="1092"/>
      <c r="E312" s="1093"/>
      <c r="F312" s="1093"/>
      <c r="G312" s="1093"/>
      <c r="H312" s="1094"/>
      <c r="I312" s="1095"/>
      <c r="J312" s="1096"/>
      <c r="K312" s="1096"/>
      <c r="L312" s="1096"/>
      <c r="M312" s="1097"/>
      <c r="N312" s="528">
        <f t="shared" ref="N312:P312" si="1233">N654</f>
        <v>0</v>
      </c>
      <c r="O312" s="529">
        <f t="shared" si="1233"/>
        <v>0</v>
      </c>
      <c r="P312" s="529">
        <f t="shared" si="1233"/>
        <v>0</v>
      </c>
      <c r="Q312" s="1001" t="s">
        <v>701</v>
      </c>
      <c r="R312" s="528">
        <f t="shared" ref="R312:S312" si="1234">R654</f>
        <v>0</v>
      </c>
      <c r="S312" s="529">
        <f t="shared" si="1234"/>
        <v>0</v>
      </c>
      <c r="T312" s="1001" t="s">
        <v>701</v>
      </c>
      <c r="U312" s="530">
        <f t="shared" ref="U312:V312" si="1235">U654</f>
        <v>0</v>
      </c>
      <c r="V312" s="529">
        <f t="shared" si="1235"/>
        <v>0</v>
      </c>
      <c r="W312" s="1001" t="s">
        <v>701</v>
      </c>
      <c r="X312" s="1001" t="s">
        <v>701</v>
      </c>
      <c r="Y312" s="531">
        <f t="shared" ref="Y312" si="1236">Y654</f>
        <v>0</v>
      </c>
      <c r="Z312" s="1001" t="s">
        <v>701</v>
      </c>
      <c r="AA312" s="1098"/>
      <c r="AB312" s="1091"/>
      <c r="AC312" s="1099"/>
      <c r="AD312" s="1100">
        <f t="shared" si="1232"/>
        <v>0</v>
      </c>
      <c r="AE312" s="1091"/>
      <c r="AF312" s="1091"/>
      <c r="AG312" s="1091"/>
      <c r="AH312" s="1091"/>
      <c r="AI312" s="1091"/>
      <c r="AJ312" s="1041" t="str">
        <f t="shared" si="1056"/>
        <v/>
      </c>
    </row>
    <row r="313" spans="4:36" ht="11.25" customHeight="1" x14ac:dyDescent="0.2">
      <c r="D313" s="1092"/>
      <c r="E313" s="1093"/>
      <c r="F313" s="1093"/>
      <c r="G313" s="1093"/>
      <c r="H313" s="1094"/>
      <c r="I313" s="1095"/>
      <c r="J313" s="1096"/>
      <c r="K313" s="1096"/>
      <c r="L313" s="1096"/>
      <c r="M313" s="1097"/>
      <c r="N313" s="528">
        <f t="shared" ref="N313:P313" si="1237">N655</f>
        <v>0</v>
      </c>
      <c r="O313" s="529">
        <f t="shared" si="1237"/>
        <v>0</v>
      </c>
      <c r="P313" s="529">
        <f t="shared" si="1237"/>
        <v>0</v>
      </c>
      <c r="Q313" s="1001" t="s">
        <v>701</v>
      </c>
      <c r="R313" s="528">
        <f t="shared" ref="R313:S313" si="1238">R655</f>
        <v>0</v>
      </c>
      <c r="S313" s="529">
        <f t="shared" si="1238"/>
        <v>0</v>
      </c>
      <c r="T313" s="1001" t="s">
        <v>701</v>
      </c>
      <c r="U313" s="530">
        <f t="shared" ref="U313:V313" si="1239">U655</f>
        <v>0</v>
      </c>
      <c r="V313" s="529">
        <f t="shared" si="1239"/>
        <v>0</v>
      </c>
      <c r="W313" s="1001" t="s">
        <v>701</v>
      </c>
      <c r="X313" s="1001" t="s">
        <v>701</v>
      </c>
      <c r="Y313" s="529">
        <f t="shared" ref="Y313" si="1240">Y655</f>
        <v>0</v>
      </c>
      <c r="Z313" s="1001" t="s">
        <v>701</v>
      </c>
      <c r="AA313" s="1098"/>
      <c r="AB313" s="1091"/>
      <c r="AC313" s="1099"/>
      <c r="AD313" s="1100">
        <f t="shared" si="1232"/>
        <v>0</v>
      </c>
      <c r="AE313" s="1091"/>
      <c r="AF313" s="1091"/>
      <c r="AG313" s="1091"/>
      <c r="AH313" s="1091"/>
      <c r="AI313" s="1091"/>
      <c r="AJ313" s="1041" t="str">
        <f t="shared" si="1056"/>
        <v/>
      </c>
    </row>
    <row r="314" spans="4:36" ht="11.25" customHeight="1" x14ac:dyDescent="0.2">
      <c r="D314" s="1092"/>
      <c r="E314" s="1093"/>
      <c r="F314" s="1093"/>
      <c r="G314" s="1093"/>
      <c r="H314" s="1094"/>
      <c r="I314" s="1095"/>
      <c r="J314" s="1096"/>
      <c r="K314" s="1096"/>
      <c r="L314" s="1096"/>
      <c r="M314" s="1097"/>
      <c r="N314" s="528">
        <f t="shared" ref="N314:P314" si="1241">N656</f>
        <v>0</v>
      </c>
      <c r="O314" s="529">
        <f t="shared" si="1241"/>
        <v>0</v>
      </c>
      <c r="P314" s="529">
        <f t="shared" si="1241"/>
        <v>0</v>
      </c>
      <c r="Q314" s="1001" t="s">
        <v>701</v>
      </c>
      <c r="R314" s="528">
        <f t="shared" ref="R314:S314" si="1242">R656</f>
        <v>0</v>
      </c>
      <c r="S314" s="529">
        <f t="shared" si="1242"/>
        <v>0</v>
      </c>
      <c r="T314" s="1001" t="s">
        <v>701</v>
      </c>
      <c r="U314" s="530">
        <f t="shared" ref="U314:V314" si="1243">U656</f>
        <v>0</v>
      </c>
      <c r="V314" s="529">
        <f t="shared" si="1243"/>
        <v>0</v>
      </c>
      <c r="W314" s="1001" t="s">
        <v>701</v>
      </c>
      <c r="X314" s="1001" t="s">
        <v>701</v>
      </c>
      <c r="Y314" s="529">
        <f t="shared" ref="Y314" si="1244">Y656</f>
        <v>0</v>
      </c>
      <c r="Z314" s="1001" t="s">
        <v>701</v>
      </c>
      <c r="AA314" s="1098"/>
      <c r="AB314" s="1091"/>
      <c r="AC314" s="1099"/>
      <c r="AD314" s="1100">
        <f t="shared" si="1232"/>
        <v>0</v>
      </c>
      <c r="AE314" s="1091"/>
      <c r="AF314" s="1091"/>
      <c r="AG314" s="1091"/>
      <c r="AH314" s="1091"/>
      <c r="AI314" s="1091"/>
      <c r="AJ314" s="1041" t="str">
        <f t="shared" si="1056"/>
        <v/>
      </c>
    </row>
    <row r="315" spans="4:36" ht="11.25" customHeight="1" x14ac:dyDescent="0.2">
      <c r="D315" s="1092"/>
      <c r="E315" s="1093"/>
      <c r="F315" s="1093"/>
      <c r="G315" s="1093"/>
      <c r="H315" s="1094"/>
      <c r="I315" s="1095"/>
      <c r="J315" s="1096"/>
      <c r="K315" s="1096"/>
      <c r="L315" s="1096"/>
      <c r="M315" s="1097"/>
      <c r="N315" s="528">
        <f t="shared" ref="N315:P315" si="1245">N657</f>
        <v>0</v>
      </c>
      <c r="O315" s="529">
        <f t="shared" si="1245"/>
        <v>0</v>
      </c>
      <c r="P315" s="529">
        <f t="shared" si="1245"/>
        <v>0</v>
      </c>
      <c r="Q315" s="1001" t="s">
        <v>701</v>
      </c>
      <c r="R315" s="528">
        <f t="shared" ref="R315:S315" si="1246">R657</f>
        <v>0</v>
      </c>
      <c r="S315" s="529">
        <f t="shared" si="1246"/>
        <v>0</v>
      </c>
      <c r="T315" s="1001" t="s">
        <v>701</v>
      </c>
      <c r="U315" s="530">
        <f t="shared" ref="U315:V315" si="1247">U657</f>
        <v>0</v>
      </c>
      <c r="V315" s="529">
        <f t="shared" si="1247"/>
        <v>0</v>
      </c>
      <c r="W315" s="1001" t="s">
        <v>701</v>
      </c>
      <c r="X315" s="1001" t="s">
        <v>701</v>
      </c>
      <c r="Y315" s="529">
        <f t="shared" ref="Y315" si="1248">Y657</f>
        <v>0</v>
      </c>
      <c r="Z315" s="1001" t="s">
        <v>701</v>
      </c>
      <c r="AA315" s="1098"/>
      <c r="AB315" s="1091"/>
      <c r="AC315" s="1099"/>
      <c r="AD315" s="1100">
        <f t="shared" si="1232"/>
        <v>0</v>
      </c>
      <c r="AE315" s="1091"/>
      <c r="AF315" s="1091"/>
      <c r="AG315" s="1091"/>
      <c r="AH315" s="1091"/>
      <c r="AI315" s="1091"/>
      <c r="AJ315" s="1041" t="str">
        <f t="shared" si="1056"/>
        <v/>
      </c>
    </row>
    <row r="316" spans="4:36" ht="11.25" customHeight="1" x14ac:dyDescent="0.2">
      <c r="D316" s="1092"/>
      <c r="E316" s="1093"/>
      <c r="F316" s="1093"/>
      <c r="G316" s="1093"/>
      <c r="H316" s="1094"/>
      <c r="I316" s="1095"/>
      <c r="J316" s="1096"/>
      <c r="K316" s="1096"/>
      <c r="L316" s="1096"/>
      <c r="M316" s="1097"/>
      <c r="N316" s="528">
        <f t="shared" ref="N316:P316" si="1249">N658</f>
        <v>0</v>
      </c>
      <c r="O316" s="529">
        <f t="shared" si="1249"/>
        <v>0</v>
      </c>
      <c r="P316" s="529">
        <f t="shared" si="1249"/>
        <v>0</v>
      </c>
      <c r="Q316" s="1001" t="s">
        <v>701</v>
      </c>
      <c r="R316" s="528">
        <f t="shared" ref="R316:S316" si="1250">R658</f>
        <v>0</v>
      </c>
      <c r="S316" s="529">
        <f t="shared" si="1250"/>
        <v>0</v>
      </c>
      <c r="T316" s="1001" t="s">
        <v>701</v>
      </c>
      <c r="U316" s="530">
        <f t="shared" ref="U316:V316" si="1251">U658</f>
        <v>0</v>
      </c>
      <c r="V316" s="529">
        <f t="shared" si="1251"/>
        <v>0</v>
      </c>
      <c r="W316" s="1001" t="s">
        <v>701</v>
      </c>
      <c r="X316" s="1001" t="s">
        <v>701</v>
      </c>
      <c r="Y316" s="529">
        <f t="shared" ref="Y316" si="1252">Y658</f>
        <v>0</v>
      </c>
      <c r="Z316" s="1001" t="s">
        <v>701</v>
      </c>
      <c r="AA316" s="1098"/>
      <c r="AB316" s="1091"/>
      <c r="AC316" s="1099"/>
      <c r="AD316" s="1100">
        <f t="shared" si="1232"/>
        <v>0</v>
      </c>
      <c r="AE316" s="1091"/>
      <c r="AF316" s="1091"/>
      <c r="AG316" s="1091"/>
      <c r="AH316" s="1091"/>
      <c r="AI316" s="1091"/>
      <c r="AJ316" s="1041" t="str">
        <f t="shared" si="1056"/>
        <v/>
      </c>
    </row>
    <row r="317" spans="4:36" ht="11.25" customHeight="1" thickBot="1" x14ac:dyDescent="0.25">
      <c r="D317" s="532" t="s">
        <v>418</v>
      </c>
      <c r="E317" s="533"/>
      <c r="F317" s="534"/>
      <c r="G317" s="535"/>
      <c r="H317" s="535"/>
      <c r="I317" s="534"/>
      <c r="J317" s="535"/>
      <c r="K317" s="535"/>
      <c r="L317" s="535"/>
      <c r="M317" s="536"/>
      <c r="N317" s="913">
        <f>SUM(N311:N316)</f>
        <v>0</v>
      </c>
      <c r="O317" s="913">
        <f t="shared" ref="O317" si="1253">SUM(O311:O316)</f>
        <v>0</v>
      </c>
      <c r="P317" s="914"/>
      <c r="Q317" s="1002" t="s">
        <v>701</v>
      </c>
      <c r="R317" s="915"/>
      <c r="S317" s="916">
        <f t="shared" ref="S317" si="1254">SUM(S311:S316)</f>
        <v>0</v>
      </c>
      <c r="T317" s="1003" t="s">
        <v>701</v>
      </c>
      <c r="U317" s="915"/>
      <c r="V317" s="916">
        <f t="shared" ref="V317:Y317" si="1255">SUM(V311:V316)</f>
        <v>0</v>
      </c>
      <c r="W317" s="1003" t="s">
        <v>701</v>
      </c>
      <c r="X317" s="1003" t="s">
        <v>701</v>
      </c>
      <c r="Y317" s="916">
        <f t="shared" si="1255"/>
        <v>0</v>
      </c>
      <c r="Z317" s="1003" t="s">
        <v>701</v>
      </c>
      <c r="AA317" s="1003" t="s">
        <v>701</v>
      </c>
      <c r="AB317" s="1004" t="s">
        <v>701</v>
      </c>
      <c r="AC317" s="1005" t="s">
        <v>701</v>
      </c>
      <c r="AD317" s="917"/>
      <c r="AE317" s="1004" t="s">
        <v>701</v>
      </c>
      <c r="AF317" s="1004" t="s">
        <v>701</v>
      </c>
      <c r="AG317" s="1004" t="s">
        <v>701</v>
      </c>
      <c r="AH317" s="1004" t="s">
        <v>701</v>
      </c>
      <c r="AI317" s="1004" t="s">
        <v>701</v>
      </c>
      <c r="AJ317" s="1042" t="str">
        <f t="shared" si="1056"/>
        <v/>
      </c>
    </row>
    <row r="318" spans="4:36" ht="11.25" customHeight="1" x14ac:dyDescent="0.25">
      <c r="D318" s="1092">
        <f>D660</f>
        <v>0</v>
      </c>
      <c r="E318" s="1093">
        <f t="shared" ref="E318:P318" si="1256">E660</f>
        <v>0</v>
      </c>
      <c r="F318" s="1093">
        <f t="shared" si="1256"/>
        <v>0</v>
      </c>
      <c r="G318" s="1093">
        <f t="shared" si="1256"/>
        <v>0</v>
      </c>
      <c r="H318" s="1094">
        <f t="shared" si="1256"/>
        <v>0</v>
      </c>
      <c r="I318" s="1095">
        <f t="shared" si="1256"/>
        <v>0</v>
      </c>
      <c r="J318" s="1096">
        <f t="shared" si="1256"/>
        <v>0</v>
      </c>
      <c r="K318" s="1096">
        <f t="shared" si="1256"/>
        <v>0</v>
      </c>
      <c r="L318" s="1096">
        <f t="shared" si="1256"/>
        <v>0</v>
      </c>
      <c r="M318" s="1097">
        <f t="shared" si="1256"/>
        <v>0</v>
      </c>
      <c r="N318" s="522">
        <f t="shared" si="1256"/>
        <v>0</v>
      </c>
      <c r="O318" s="523">
        <f t="shared" si="1256"/>
        <v>0</v>
      </c>
      <c r="P318" s="524">
        <f t="shared" si="1256"/>
        <v>0</v>
      </c>
      <c r="Q318" s="1000" t="s">
        <v>701</v>
      </c>
      <c r="R318" s="525">
        <f t="shared" ref="R318:S318" si="1257">R660</f>
        <v>0</v>
      </c>
      <c r="S318" s="524">
        <f t="shared" si="1257"/>
        <v>0</v>
      </c>
      <c r="T318" s="1000" t="s">
        <v>701</v>
      </c>
      <c r="U318" s="526">
        <f t="shared" ref="U318:V318" si="1258">U660</f>
        <v>0</v>
      </c>
      <c r="V318" s="524">
        <f t="shared" si="1258"/>
        <v>0</v>
      </c>
      <c r="W318" s="1000" t="s">
        <v>701</v>
      </c>
      <c r="X318" s="1000" t="s">
        <v>701</v>
      </c>
      <c r="Y318" s="527">
        <f t="shared" ref="Y318" si="1259">Y660</f>
        <v>0</v>
      </c>
      <c r="Z318" s="1000" t="s">
        <v>701</v>
      </c>
      <c r="AA318" s="1098" t="s">
        <v>701</v>
      </c>
      <c r="AB318" s="1091" t="s">
        <v>701</v>
      </c>
      <c r="AC318" s="1099"/>
      <c r="AD318" s="1100">
        <f t="shared" ref="AD318:AD323" si="1260">AD660</f>
        <v>0</v>
      </c>
      <c r="AE318" s="1091" t="s">
        <v>701</v>
      </c>
      <c r="AF318" s="1091" t="s">
        <v>701</v>
      </c>
      <c r="AG318" s="1091" t="s">
        <v>701</v>
      </c>
      <c r="AH318" s="1091" t="s">
        <v>701</v>
      </c>
      <c r="AI318" s="1091" t="s">
        <v>701</v>
      </c>
      <c r="AJ318" s="1040" t="str">
        <f t="shared" si="1056"/>
        <v/>
      </c>
    </row>
    <row r="319" spans="4:36" ht="11.25" customHeight="1" x14ac:dyDescent="0.2">
      <c r="D319" s="1092"/>
      <c r="E319" s="1093"/>
      <c r="F319" s="1093"/>
      <c r="G319" s="1093"/>
      <c r="H319" s="1094"/>
      <c r="I319" s="1095"/>
      <c r="J319" s="1096"/>
      <c r="K319" s="1096"/>
      <c r="L319" s="1096"/>
      <c r="M319" s="1097"/>
      <c r="N319" s="528">
        <f t="shared" ref="N319:P319" si="1261">N661</f>
        <v>0</v>
      </c>
      <c r="O319" s="529">
        <f t="shared" si="1261"/>
        <v>0</v>
      </c>
      <c r="P319" s="529">
        <f t="shared" si="1261"/>
        <v>0</v>
      </c>
      <c r="Q319" s="1001" t="s">
        <v>701</v>
      </c>
      <c r="R319" s="528">
        <f t="shared" ref="R319:S319" si="1262">R661</f>
        <v>0</v>
      </c>
      <c r="S319" s="529">
        <f t="shared" si="1262"/>
        <v>0</v>
      </c>
      <c r="T319" s="1001" t="s">
        <v>701</v>
      </c>
      <c r="U319" s="530">
        <f t="shared" ref="U319:V319" si="1263">U661</f>
        <v>0</v>
      </c>
      <c r="V319" s="529">
        <f t="shared" si="1263"/>
        <v>0</v>
      </c>
      <c r="W319" s="1001" t="s">
        <v>701</v>
      </c>
      <c r="X319" s="1001" t="s">
        <v>701</v>
      </c>
      <c r="Y319" s="531">
        <f t="shared" ref="Y319" si="1264">Y661</f>
        <v>0</v>
      </c>
      <c r="Z319" s="1001" t="s">
        <v>701</v>
      </c>
      <c r="AA319" s="1098"/>
      <c r="AB319" s="1091"/>
      <c r="AC319" s="1099"/>
      <c r="AD319" s="1100">
        <f t="shared" si="1260"/>
        <v>0</v>
      </c>
      <c r="AE319" s="1091"/>
      <c r="AF319" s="1091"/>
      <c r="AG319" s="1091"/>
      <c r="AH319" s="1091"/>
      <c r="AI319" s="1091"/>
      <c r="AJ319" s="1041" t="str">
        <f t="shared" si="1056"/>
        <v/>
      </c>
    </row>
    <row r="320" spans="4:36" ht="11.25" customHeight="1" x14ac:dyDescent="0.2">
      <c r="D320" s="1092"/>
      <c r="E320" s="1093"/>
      <c r="F320" s="1093"/>
      <c r="G320" s="1093"/>
      <c r="H320" s="1094"/>
      <c r="I320" s="1095"/>
      <c r="J320" s="1096"/>
      <c r="K320" s="1096"/>
      <c r="L320" s="1096"/>
      <c r="M320" s="1097"/>
      <c r="N320" s="528">
        <f t="shared" ref="N320:P320" si="1265">N662</f>
        <v>0</v>
      </c>
      <c r="O320" s="529">
        <f t="shared" si="1265"/>
        <v>0</v>
      </c>
      <c r="P320" s="529">
        <f t="shared" si="1265"/>
        <v>0</v>
      </c>
      <c r="Q320" s="1001" t="s">
        <v>701</v>
      </c>
      <c r="R320" s="528">
        <f t="shared" ref="R320:S320" si="1266">R662</f>
        <v>0</v>
      </c>
      <c r="S320" s="529">
        <f t="shared" si="1266"/>
        <v>0</v>
      </c>
      <c r="T320" s="1001" t="s">
        <v>701</v>
      </c>
      <c r="U320" s="530">
        <f t="shared" ref="U320:V320" si="1267">U662</f>
        <v>0</v>
      </c>
      <c r="V320" s="529">
        <f t="shared" si="1267"/>
        <v>0</v>
      </c>
      <c r="W320" s="1001" t="s">
        <v>701</v>
      </c>
      <c r="X320" s="1001" t="s">
        <v>701</v>
      </c>
      <c r="Y320" s="529">
        <f t="shared" ref="Y320" si="1268">Y662</f>
        <v>0</v>
      </c>
      <c r="Z320" s="1001" t="s">
        <v>701</v>
      </c>
      <c r="AA320" s="1098"/>
      <c r="AB320" s="1091"/>
      <c r="AC320" s="1099"/>
      <c r="AD320" s="1100">
        <f t="shared" si="1260"/>
        <v>0</v>
      </c>
      <c r="AE320" s="1091"/>
      <c r="AF320" s="1091"/>
      <c r="AG320" s="1091"/>
      <c r="AH320" s="1091"/>
      <c r="AI320" s="1091"/>
      <c r="AJ320" s="1041" t="str">
        <f t="shared" si="1056"/>
        <v/>
      </c>
    </row>
    <row r="321" spans="1:36" ht="11.25" customHeight="1" x14ac:dyDescent="0.2">
      <c r="D321" s="1092"/>
      <c r="E321" s="1093"/>
      <c r="F321" s="1093"/>
      <c r="G321" s="1093"/>
      <c r="H321" s="1094"/>
      <c r="I321" s="1095"/>
      <c r="J321" s="1096"/>
      <c r="K321" s="1096"/>
      <c r="L321" s="1096"/>
      <c r="M321" s="1097"/>
      <c r="N321" s="528">
        <f t="shared" ref="N321:P321" si="1269">N663</f>
        <v>0</v>
      </c>
      <c r="O321" s="529">
        <f t="shared" si="1269"/>
        <v>0</v>
      </c>
      <c r="P321" s="529">
        <f t="shared" si="1269"/>
        <v>0</v>
      </c>
      <c r="Q321" s="1001" t="s">
        <v>701</v>
      </c>
      <c r="R321" s="528">
        <f t="shared" ref="R321:S321" si="1270">R663</f>
        <v>0</v>
      </c>
      <c r="S321" s="529">
        <f t="shared" si="1270"/>
        <v>0</v>
      </c>
      <c r="T321" s="1001" t="s">
        <v>701</v>
      </c>
      <c r="U321" s="530">
        <f t="shared" ref="U321:V321" si="1271">U663</f>
        <v>0</v>
      </c>
      <c r="V321" s="529">
        <f t="shared" si="1271"/>
        <v>0</v>
      </c>
      <c r="W321" s="1001" t="s">
        <v>701</v>
      </c>
      <c r="X321" s="1001" t="s">
        <v>701</v>
      </c>
      <c r="Y321" s="529">
        <f t="shared" ref="Y321" si="1272">Y663</f>
        <v>0</v>
      </c>
      <c r="Z321" s="1001" t="s">
        <v>701</v>
      </c>
      <c r="AA321" s="1098"/>
      <c r="AB321" s="1091"/>
      <c r="AC321" s="1099"/>
      <c r="AD321" s="1100">
        <f t="shared" si="1260"/>
        <v>0</v>
      </c>
      <c r="AE321" s="1091"/>
      <c r="AF321" s="1091"/>
      <c r="AG321" s="1091"/>
      <c r="AH321" s="1091"/>
      <c r="AI321" s="1091"/>
      <c r="AJ321" s="1041" t="str">
        <f t="shared" si="1056"/>
        <v/>
      </c>
    </row>
    <row r="322" spans="1:36" ht="11.25" customHeight="1" x14ac:dyDescent="0.2">
      <c r="D322" s="1092"/>
      <c r="E322" s="1093"/>
      <c r="F322" s="1093"/>
      <c r="G322" s="1093"/>
      <c r="H322" s="1094"/>
      <c r="I322" s="1095"/>
      <c r="J322" s="1096"/>
      <c r="K322" s="1096"/>
      <c r="L322" s="1096"/>
      <c r="M322" s="1097"/>
      <c r="N322" s="528">
        <f t="shared" ref="N322:P322" si="1273">N664</f>
        <v>0</v>
      </c>
      <c r="O322" s="529">
        <f t="shared" si="1273"/>
        <v>0</v>
      </c>
      <c r="P322" s="529">
        <f t="shared" si="1273"/>
        <v>0</v>
      </c>
      <c r="Q322" s="1001" t="s">
        <v>701</v>
      </c>
      <c r="R322" s="528">
        <f t="shared" ref="R322:S322" si="1274">R664</f>
        <v>0</v>
      </c>
      <c r="S322" s="529">
        <f t="shared" si="1274"/>
        <v>0</v>
      </c>
      <c r="T322" s="1001" t="s">
        <v>701</v>
      </c>
      <c r="U322" s="530">
        <f t="shared" ref="U322:V322" si="1275">U664</f>
        <v>0</v>
      </c>
      <c r="V322" s="529">
        <f t="shared" si="1275"/>
        <v>0</v>
      </c>
      <c r="W322" s="1001" t="s">
        <v>701</v>
      </c>
      <c r="X322" s="1001" t="s">
        <v>701</v>
      </c>
      <c r="Y322" s="529">
        <f t="shared" ref="Y322" si="1276">Y664</f>
        <v>0</v>
      </c>
      <c r="Z322" s="1001" t="s">
        <v>701</v>
      </c>
      <c r="AA322" s="1098"/>
      <c r="AB322" s="1091"/>
      <c r="AC322" s="1099"/>
      <c r="AD322" s="1100">
        <f t="shared" si="1260"/>
        <v>0</v>
      </c>
      <c r="AE322" s="1091"/>
      <c r="AF322" s="1091"/>
      <c r="AG322" s="1091"/>
      <c r="AH322" s="1091"/>
      <c r="AI322" s="1091"/>
      <c r="AJ322" s="1041" t="str">
        <f t="shared" si="1056"/>
        <v/>
      </c>
    </row>
    <row r="323" spans="1:36" ht="11.25" customHeight="1" x14ac:dyDescent="0.2">
      <c r="D323" s="1092"/>
      <c r="E323" s="1093"/>
      <c r="F323" s="1093"/>
      <c r="G323" s="1093"/>
      <c r="H323" s="1094"/>
      <c r="I323" s="1095"/>
      <c r="J323" s="1096"/>
      <c r="K323" s="1096"/>
      <c r="L323" s="1096"/>
      <c r="M323" s="1097"/>
      <c r="N323" s="528">
        <f t="shared" ref="N323:P323" si="1277">N665</f>
        <v>0</v>
      </c>
      <c r="O323" s="529">
        <f t="shared" si="1277"/>
        <v>0</v>
      </c>
      <c r="P323" s="529">
        <f t="shared" si="1277"/>
        <v>0</v>
      </c>
      <c r="Q323" s="1001" t="s">
        <v>701</v>
      </c>
      <c r="R323" s="528">
        <f t="shared" ref="R323:S323" si="1278">R665</f>
        <v>0</v>
      </c>
      <c r="S323" s="529">
        <f t="shared" si="1278"/>
        <v>0</v>
      </c>
      <c r="T323" s="1001" t="s">
        <v>701</v>
      </c>
      <c r="U323" s="530">
        <f t="shared" ref="U323:V323" si="1279">U665</f>
        <v>0</v>
      </c>
      <c r="V323" s="529">
        <f t="shared" si="1279"/>
        <v>0</v>
      </c>
      <c r="W323" s="1001" t="s">
        <v>701</v>
      </c>
      <c r="X323" s="1001" t="s">
        <v>701</v>
      </c>
      <c r="Y323" s="529">
        <f t="shared" ref="Y323" si="1280">Y665</f>
        <v>0</v>
      </c>
      <c r="Z323" s="1001" t="s">
        <v>701</v>
      </c>
      <c r="AA323" s="1098"/>
      <c r="AB323" s="1091"/>
      <c r="AC323" s="1099"/>
      <c r="AD323" s="1100">
        <f t="shared" si="1260"/>
        <v>0</v>
      </c>
      <c r="AE323" s="1091"/>
      <c r="AF323" s="1091"/>
      <c r="AG323" s="1091"/>
      <c r="AH323" s="1091"/>
      <c r="AI323" s="1091"/>
      <c r="AJ323" s="1041" t="str">
        <f t="shared" si="1056"/>
        <v/>
      </c>
    </row>
    <row r="324" spans="1:36" ht="11.25" customHeight="1" thickBot="1" x14ac:dyDescent="0.25">
      <c r="D324" s="532" t="s">
        <v>418</v>
      </c>
      <c r="E324" s="533"/>
      <c r="F324" s="534"/>
      <c r="G324" s="535"/>
      <c r="H324" s="535"/>
      <c r="I324" s="534"/>
      <c r="J324" s="535"/>
      <c r="K324" s="535"/>
      <c r="L324" s="535"/>
      <c r="M324" s="536"/>
      <c r="N324" s="913">
        <f>SUM(N318:N323)</f>
        <v>0</v>
      </c>
      <c r="O324" s="913">
        <f t="shared" ref="O324" si="1281">SUM(O318:O323)</f>
        <v>0</v>
      </c>
      <c r="P324" s="914"/>
      <c r="Q324" s="1002" t="s">
        <v>701</v>
      </c>
      <c r="R324" s="915"/>
      <c r="S324" s="916">
        <f t="shared" ref="S324" si="1282">SUM(S318:S323)</f>
        <v>0</v>
      </c>
      <c r="T324" s="1003" t="s">
        <v>701</v>
      </c>
      <c r="U324" s="915"/>
      <c r="V324" s="916">
        <f t="shared" ref="V324:Y324" si="1283">SUM(V318:V323)</f>
        <v>0</v>
      </c>
      <c r="W324" s="1003" t="s">
        <v>701</v>
      </c>
      <c r="X324" s="1003" t="s">
        <v>701</v>
      </c>
      <c r="Y324" s="916">
        <f t="shared" si="1283"/>
        <v>0</v>
      </c>
      <c r="Z324" s="1003" t="s">
        <v>701</v>
      </c>
      <c r="AA324" s="1003" t="s">
        <v>701</v>
      </c>
      <c r="AB324" s="1004" t="s">
        <v>701</v>
      </c>
      <c r="AC324" s="1005" t="s">
        <v>701</v>
      </c>
      <c r="AD324" s="917"/>
      <c r="AE324" s="1004" t="s">
        <v>701</v>
      </c>
      <c r="AF324" s="1004" t="s">
        <v>701</v>
      </c>
      <c r="AG324" s="1004" t="s">
        <v>701</v>
      </c>
      <c r="AH324" s="1004" t="s">
        <v>701</v>
      </c>
      <c r="AI324" s="1004" t="s">
        <v>701</v>
      </c>
      <c r="AJ324" s="1042" t="str">
        <f t="shared" si="1056"/>
        <v/>
      </c>
    </row>
    <row r="325" spans="1:36" ht="11.25" customHeight="1" thickBot="1" x14ac:dyDescent="0.3">
      <c r="D325" s="543"/>
      <c r="E325" s="544"/>
      <c r="F325" s="1109" t="str">
        <f t="shared" ref="F325:M325" si="1284">F667</f>
        <v>Non material projects</v>
      </c>
      <c r="G325" s="1110">
        <f t="shared" si="1284"/>
        <v>0</v>
      </c>
      <c r="H325" s="1110">
        <f t="shared" si="1284"/>
        <v>0</v>
      </c>
      <c r="I325" s="1110">
        <f t="shared" si="1284"/>
        <v>0</v>
      </c>
      <c r="J325" s="1110">
        <f t="shared" si="1284"/>
        <v>0</v>
      </c>
      <c r="K325" s="1110">
        <f t="shared" si="1284"/>
        <v>0</v>
      </c>
      <c r="L325" s="1110">
        <f t="shared" si="1284"/>
        <v>0</v>
      </c>
      <c r="M325" s="1111">
        <f t="shared" si="1284"/>
        <v>0</v>
      </c>
      <c r="N325" s="545"/>
      <c r="O325" s="546"/>
      <c r="P325" s="546"/>
      <c r="Q325" s="940"/>
      <c r="R325" s="546"/>
      <c r="S325" s="546"/>
      <c r="T325" s="944"/>
      <c r="U325" s="546"/>
      <c r="V325" s="546"/>
      <c r="W325" s="940"/>
      <c r="X325" s="940"/>
      <c r="Y325" s="546"/>
      <c r="Z325" s="945"/>
      <c r="AA325" s="945"/>
      <c r="AB325" s="946"/>
      <c r="AC325" s="1000" t="s">
        <v>701</v>
      </c>
      <c r="AD325" s="1047" t="str">
        <f t="shared" ref="AD325" si="1285">AD667</f>
        <v>2020 to 2028</v>
      </c>
      <c r="AE325" s="948"/>
      <c r="AF325" s="945"/>
      <c r="AG325" s="945"/>
      <c r="AH325" s="1006" t="s">
        <v>701</v>
      </c>
      <c r="AI325" s="1006" t="s">
        <v>701</v>
      </c>
      <c r="AJ325" s="1043" t="str">
        <f t="shared" si="1056"/>
        <v/>
      </c>
    </row>
    <row r="326" spans="1:36" ht="11.25" customHeight="1" x14ac:dyDescent="0.2">
      <c r="Q326" s="941"/>
      <c r="T326" s="941"/>
      <c r="W326" s="941"/>
      <c r="X326" s="941"/>
      <c r="Z326" s="941"/>
      <c r="AA326" s="941"/>
      <c r="AB326" s="941"/>
      <c r="AC326" s="941"/>
      <c r="AE326" s="941"/>
      <c r="AF326" s="941"/>
      <c r="AG326" s="941"/>
      <c r="AH326" s="941"/>
      <c r="AI326" s="941"/>
    </row>
    <row r="327" spans="1:36" ht="11.25" customHeight="1" x14ac:dyDescent="0.2">
      <c r="D327" s="6" t="s">
        <v>570</v>
      </c>
      <c r="Q327" s="942" t="s">
        <v>701</v>
      </c>
      <c r="T327" s="942" t="s">
        <v>701</v>
      </c>
      <c r="W327" s="942" t="s">
        <v>701</v>
      </c>
      <c r="X327" s="942" t="s">
        <v>701</v>
      </c>
      <c r="Z327" s="942" t="s">
        <v>701</v>
      </c>
      <c r="AA327" s="942" t="s">
        <v>701</v>
      </c>
      <c r="AB327" s="942" t="s">
        <v>701</v>
      </c>
      <c r="AC327" s="942" t="s">
        <v>701</v>
      </c>
      <c r="AE327" s="942" t="s">
        <v>701</v>
      </c>
      <c r="AF327" s="942" t="s">
        <v>701</v>
      </c>
      <c r="AG327" s="942" t="s">
        <v>701</v>
      </c>
      <c r="AH327" s="942" t="s">
        <v>701</v>
      </c>
      <c r="AI327" s="942" t="s">
        <v>701</v>
      </c>
      <c r="AJ327" s="144">
        <v>1278269390.4855807</v>
      </c>
    </row>
    <row r="328" spans="1:36" ht="11.25" customHeight="1" x14ac:dyDescent="0.2">
      <c r="D328" s="6" t="s">
        <v>501</v>
      </c>
      <c r="Q328" s="943" t="s">
        <v>701</v>
      </c>
      <c r="T328" s="943" t="s">
        <v>701</v>
      </c>
      <c r="W328" s="943" t="s">
        <v>701</v>
      </c>
      <c r="X328" s="943" t="s">
        <v>701</v>
      </c>
      <c r="Z328" s="943" t="s">
        <v>701</v>
      </c>
      <c r="AA328" s="943" t="s">
        <v>701</v>
      </c>
      <c r="AB328" s="943" t="s">
        <v>701</v>
      </c>
      <c r="AC328" s="943" t="s">
        <v>701</v>
      </c>
      <c r="AE328" s="943" t="s">
        <v>701</v>
      </c>
      <c r="AF328" s="943" t="s">
        <v>701</v>
      </c>
      <c r="AG328" s="943" t="s">
        <v>701</v>
      </c>
      <c r="AH328" s="943" t="s">
        <v>701</v>
      </c>
      <c r="AI328" s="943" t="s">
        <v>701</v>
      </c>
      <c r="AJ328" s="144">
        <v>1278269390.4855807</v>
      </c>
    </row>
    <row r="329" spans="1:36" ht="11.25" customHeight="1" x14ac:dyDescent="0.2">
      <c r="A329" s="385">
        <f>IF(SUM(Q329:AJ329)=0,0,1)</f>
        <v>0</v>
      </c>
      <c r="D329" s="6" t="s">
        <v>502</v>
      </c>
      <c r="Q329" s="70">
        <v>0</v>
      </c>
      <c r="T329" s="70">
        <v>0</v>
      </c>
      <c r="W329" s="70">
        <v>0</v>
      </c>
      <c r="X329" s="70">
        <v>0</v>
      </c>
      <c r="Z329" s="70">
        <v>0</v>
      </c>
      <c r="AA329" s="70">
        <v>0</v>
      </c>
      <c r="AB329" s="70">
        <v>0</v>
      </c>
      <c r="AC329" s="70">
        <v>0</v>
      </c>
      <c r="AE329" s="70">
        <v>0</v>
      </c>
      <c r="AF329" s="70">
        <v>0</v>
      </c>
      <c r="AG329" s="70">
        <v>0</v>
      </c>
      <c r="AH329" s="70">
        <v>0</v>
      </c>
      <c r="AI329" s="70">
        <v>0</v>
      </c>
      <c r="AJ329" s="70">
        <v>0</v>
      </c>
    </row>
    <row r="330" spans="1:36" ht="11.25" customHeight="1" x14ac:dyDescent="0.2"/>
    <row r="331" spans="1:36" s="7" customFormat="1" ht="15" x14ac:dyDescent="0.2">
      <c r="C331" s="7" t="s">
        <v>485</v>
      </c>
    </row>
    <row r="332" spans="1:36" ht="11.25" customHeight="1" x14ac:dyDescent="0.2"/>
    <row r="333" spans="1:36" ht="11.25" customHeight="1" x14ac:dyDescent="0.2">
      <c r="D333" s="129" t="s">
        <v>215</v>
      </c>
      <c r="E333" s="130" t="s">
        <v>342</v>
      </c>
      <c r="H333" s="779">
        <f>Lookup!S$18</f>
        <v>2022</v>
      </c>
      <c r="I333" s="780">
        <f>Lookup!T$18</f>
        <v>2023</v>
      </c>
      <c r="J333" s="781">
        <f>Lookup!U$18</f>
        <v>2024</v>
      </c>
      <c r="K333" s="779">
        <f>Lookup!V$18</f>
        <v>2025</v>
      </c>
      <c r="L333" s="780">
        <f>Lookup!W$18</f>
        <v>2026</v>
      </c>
      <c r="M333" s="779">
        <f>Lookup!X$18</f>
        <v>2027</v>
      </c>
      <c r="N333" s="780">
        <f>Lookup!Y$18</f>
        <v>2028</v>
      </c>
      <c r="O333" s="780" t="s">
        <v>179</v>
      </c>
    </row>
    <row r="334" spans="1:36" ht="11.25" customHeight="1" x14ac:dyDescent="0.2">
      <c r="H334" s="49">
        <f>Q334+1</f>
        <v>1</v>
      </c>
      <c r="I334" s="49">
        <f>H334+1</f>
        <v>2</v>
      </c>
    </row>
    <row r="335" spans="1:36" ht="12.75" x14ac:dyDescent="0.2">
      <c r="D335" s="6" t="str">
        <f>Input_CPI!D23</f>
        <v>Real 2021 (End Period) to Real 2023 (End Period)</v>
      </c>
      <c r="E335" s="743" t="s">
        <v>343</v>
      </c>
      <c r="H335" s="389">
        <f>Input_CPI!R23</f>
        <v>1.0506187499999999</v>
      </c>
      <c r="I335" s="389">
        <f>Input_CPI!S23</f>
        <v>1.0506187499999999</v>
      </c>
      <c r="J335" s="389">
        <f>Input_CPI!T23</f>
        <v>1.0506187499999999</v>
      </c>
      <c r="K335" s="389">
        <f>Input_CPI!U23</f>
        <v>1.0506187499999999</v>
      </c>
      <c r="L335" s="389">
        <f>Input_CPI!V23</f>
        <v>1.0506187499999999</v>
      </c>
      <c r="M335" s="389">
        <f>Input_CPI!W23</f>
        <v>1.0506187499999999</v>
      </c>
      <c r="N335" s="389">
        <f>Input_CPI!X23</f>
        <v>1.0506187499999999</v>
      </c>
    </row>
    <row r="336" spans="1:36" x14ac:dyDescent="0.2">
      <c r="E336" s="744"/>
    </row>
    <row r="337" spans="3:39" x14ac:dyDescent="0.2">
      <c r="E337" s="744"/>
    </row>
    <row r="338" spans="3:39" x14ac:dyDescent="0.2">
      <c r="E338" s="744"/>
    </row>
    <row r="339" spans="3:39" x14ac:dyDescent="0.2">
      <c r="E339" s="744"/>
    </row>
    <row r="340" spans="3:39" ht="12.75" x14ac:dyDescent="0.2">
      <c r="E340" s="744"/>
      <c r="O340" s="745"/>
    </row>
    <row r="341" spans="3:39" ht="12.75" x14ac:dyDescent="0.2">
      <c r="D341" s="6" t="s">
        <v>567</v>
      </c>
      <c r="E341" s="743" t="s">
        <v>497</v>
      </c>
      <c r="H341" s="743" t="s">
        <v>175</v>
      </c>
      <c r="I341" s="393"/>
      <c r="J341" s="863">
        <v>17.285514881209501</v>
      </c>
      <c r="K341" s="863">
        <v>39.063901548792423</v>
      </c>
      <c r="L341" s="863">
        <v>85.486749117280311</v>
      </c>
      <c r="M341" s="863">
        <v>16.235005900388675</v>
      </c>
      <c r="N341" s="863">
        <v>85.00703107025673</v>
      </c>
      <c r="O341" s="745">
        <f>SUM(J341:N341)</f>
        <v>243.07820251792765</v>
      </c>
    </row>
    <row r="342" spans="3:39" ht="12.75" x14ac:dyDescent="0.2">
      <c r="D342" s="6" t="s">
        <v>568</v>
      </c>
      <c r="E342" s="743" t="s">
        <v>497</v>
      </c>
      <c r="H342" s="393"/>
      <c r="I342" s="393"/>
      <c r="J342" s="863">
        <v>-2.8025602743930733E-3</v>
      </c>
      <c r="K342" s="863">
        <v>1.4564013841237511E-2</v>
      </c>
      <c r="L342" s="863">
        <v>0.11453091919810277</v>
      </c>
      <c r="M342" s="863">
        <v>3.0812659715824253E-2</v>
      </c>
      <c r="N342" s="863">
        <v>0.30494972054751202</v>
      </c>
      <c r="O342" s="745">
        <f>SUM(J342:N342)</f>
        <v>0.46205475302828347</v>
      </c>
    </row>
    <row r="343" spans="3:39" ht="12.75" x14ac:dyDescent="0.2">
      <c r="D343" s="6" t="s">
        <v>486</v>
      </c>
      <c r="E343" s="743" t="s">
        <v>344</v>
      </c>
      <c r="H343" s="393"/>
      <c r="I343" s="393"/>
      <c r="J343" s="389">
        <f>IF(J341=0,0,SUM(J341:J342)/J341)</f>
        <v>0.99983786654353934</v>
      </c>
      <c r="K343" s="389">
        <f t="shared" ref="K343:O343" si="1286">IF(K341=0,0,SUM(K341:K342)/K341)</f>
        <v>1.0003728253774919</v>
      </c>
      <c r="L343" s="389">
        <f t="shared" si="1286"/>
        <v>1.001339750550591</v>
      </c>
      <c r="M343" s="389">
        <f t="shared" si="1286"/>
        <v>1.0018979149071381</v>
      </c>
      <c r="N343" s="389">
        <f t="shared" si="1286"/>
        <v>1.0035873470312764</v>
      </c>
      <c r="O343" s="389">
        <f t="shared" si="1286"/>
        <v>1.0019008481560341</v>
      </c>
    </row>
    <row r="344" spans="3:39" ht="11.25" customHeight="1" x14ac:dyDescent="0.2"/>
    <row r="345" spans="3:39" ht="11.25" customHeight="1" x14ac:dyDescent="0.2">
      <c r="D345" s="6" t="s">
        <v>496</v>
      </c>
      <c r="E345" s="6" t="s">
        <v>218</v>
      </c>
      <c r="O345" s="389">
        <f>N335*O343</f>
        <v>1.0526158167136324</v>
      </c>
    </row>
    <row r="346" spans="3:39" ht="11.25" customHeight="1" x14ac:dyDescent="0.2"/>
    <row r="347" spans="3:39" s="7" customFormat="1" ht="15" x14ac:dyDescent="0.2">
      <c r="C347" s="7" t="s">
        <v>616</v>
      </c>
    </row>
    <row r="348" spans="3:39" ht="11.25" customHeight="1" thickBot="1" x14ac:dyDescent="0.25"/>
    <row r="349" spans="3:39" ht="14.65" customHeight="1" thickBot="1" x14ac:dyDescent="0.25">
      <c r="D349" s="1112" t="s">
        <v>380</v>
      </c>
      <c r="E349" s="1113"/>
      <c r="F349" s="1113"/>
      <c r="G349" s="1113"/>
      <c r="H349" s="1113"/>
      <c r="I349" s="1113"/>
      <c r="J349" s="1113"/>
      <c r="K349" s="1113"/>
      <c r="L349" s="1113"/>
      <c r="M349" s="1114"/>
      <c r="N349" s="1115" t="s">
        <v>381</v>
      </c>
      <c r="O349" s="1116"/>
      <c r="P349" s="1116"/>
      <c r="Q349" s="1116"/>
      <c r="R349" s="1116"/>
      <c r="S349" s="1116"/>
      <c r="T349" s="1116"/>
      <c r="U349" s="1116"/>
      <c r="V349" s="1116"/>
      <c r="W349" s="1116"/>
      <c r="X349" s="1116"/>
      <c r="Y349" s="1116"/>
      <c r="Z349" s="1117"/>
      <c r="AA349" s="1118" t="s">
        <v>382</v>
      </c>
      <c r="AB349" s="1119"/>
      <c r="AC349" s="1120" t="s">
        <v>383</v>
      </c>
      <c r="AD349" s="1123" t="s">
        <v>384</v>
      </c>
      <c r="AE349" s="1118" t="s">
        <v>385</v>
      </c>
      <c r="AF349" s="1126"/>
      <c r="AG349" s="1137" t="s">
        <v>386</v>
      </c>
      <c r="AH349" s="1139" t="s">
        <v>387</v>
      </c>
      <c r="AI349" s="1140"/>
      <c r="AJ349" s="509"/>
    </row>
    <row r="350" spans="3:39" ht="45.75" thickBot="1" x14ac:dyDescent="0.25">
      <c r="D350" s="1141" t="s">
        <v>388</v>
      </c>
      <c r="E350" s="1143" t="s">
        <v>389</v>
      </c>
      <c r="F350" s="1143" t="s">
        <v>390</v>
      </c>
      <c r="G350" s="1143" t="s">
        <v>391</v>
      </c>
      <c r="H350" s="1143" t="s">
        <v>392</v>
      </c>
      <c r="I350" s="1145" t="s">
        <v>393</v>
      </c>
      <c r="J350" s="1131" t="s">
        <v>394</v>
      </c>
      <c r="K350" s="1132"/>
      <c r="L350" s="1133" t="s">
        <v>395</v>
      </c>
      <c r="M350" s="1134"/>
      <c r="N350" s="1127" t="s">
        <v>396</v>
      </c>
      <c r="O350" s="1128"/>
      <c r="P350" s="1128"/>
      <c r="Q350" s="1129"/>
      <c r="R350" s="1127" t="s">
        <v>397</v>
      </c>
      <c r="S350" s="1128"/>
      <c r="T350" s="1129"/>
      <c r="U350" s="1127" t="s">
        <v>398</v>
      </c>
      <c r="V350" s="1128"/>
      <c r="W350" s="1129"/>
      <c r="X350" s="510" t="s">
        <v>399</v>
      </c>
      <c r="Y350" s="1128" t="s">
        <v>400</v>
      </c>
      <c r="Z350" s="1128"/>
      <c r="AA350" s="511" t="s">
        <v>401</v>
      </c>
      <c r="AB350" s="511" t="s">
        <v>402</v>
      </c>
      <c r="AC350" s="1121"/>
      <c r="AD350" s="1124"/>
      <c r="AE350" s="511" t="s">
        <v>403</v>
      </c>
      <c r="AF350" s="511" t="s">
        <v>404</v>
      </c>
      <c r="AG350" s="1138"/>
      <c r="AH350" s="512" t="s">
        <v>405</v>
      </c>
      <c r="AI350" s="513" t="s">
        <v>406</v>
      </c>
      <c r="AJ350" s="514" t="s">
        <v>407</v>
      </c>
      <c r="AK350" s="514" t="s">
        <v>610</v>
      </c>
      <c r="AL350" s="514" t="s">
        <v>612</v>
      </c>
      <c r="AM350" s="514" t="s">
        <v>614</v>
      </c>
    </row>
    <row r="351" spans="3:39" ht="60.75" thickBot="1" x14ac:dyDescent="0.25">
      <c r="D351" s="1142"/>
      <c r="E351" s="1144"/>
      <c r="F351" s="1144"/>
      <c r="G351" s="1144"/>
      <c r="H351" s="1144"/>
      <c r="I351" s="1146"/>
      <c r="J351" s="515" t="s">
        <v>408</v>
      </c>
      <c r="K351" s="515" t="s">
        <v>409</v>
      </c>
      <c r="L351" s="515" t="s">
        <v>408</v>
      </c>
      <c r="M351" s="516" t="s">
        <v>409</v>
      </c>
      <c r="N351" s="517" t="s">
        <v>410</v>
      </c>
      <c r="O351" s="518" t="s">
        <v>411</v>
      </c>
      <c r="P351" s="518" t="s">
        <v>412</v>
      </c>
      <c r="Q351" s="519" t="s">
        <v>413</v>
      </c>
      <c r="R351" s="517" t="s">
        <v>414</v>
      </c>
      <c r="S351" s="518" t="s">
        <v>410</v>
      </c>
      <c r="T351" s="519" t="s">
        <v>413</v>
      </c>
      <c r="U351" s="517" t="s">
        <v>415</v>
      </c>
      <c r="V351" s="518" t="s">
        <v>410</v>
      </c>
      <c r="W351" s="519" t="s">
        <v>413</v>
      </c>
      <c r="X351" s="520" t="s">
        <v>416</v>
      </c>
      <c r="Y351" s="517" t="s">
        <v>417</v>
      </c>
      <c r="Z351" s="519" t="s">
        <v>413</v>
      </c>
      <c r="AA351" s="1130" t="s">
        <v>413</v>
      </c>
      <c r="AB351" s="1130"/>
      <c r="AC351" s="1122"/>
      <c r="AD351" s="1125"/>
      <c r="AE351" s="1130" t="s">
        <v>413</v>
      </c>
      <c r="AF351" s="1130"/>
      <c r="AG351" s="1130"/>
      <c r="AH351" s="1135" t="s">
        <v>413</v>
      </c>
      <c r="AI351" s="1136"/>
      <c r="AJ351" s="521"/>
      <c r="AK351" s="903" t="s">
        <v>611</v>
      </c>
      <c r="AL351" s="904" t="s">
        <v>613</v>
      </c>
      <c r="AM351" s="904"/>
    </row>
    <row r="352" spans="3:39" ht="11.25" customHeight="1" x14ac:dyDescent="0.25">
      <c r="D352" s="1092" t="s">
        <v>717</v>
      </c>
      <c r="E352" s="1093" t="s">
        <v>718</v>
      </c>
      <c r="F352" s="1093">
        <v>1687</v>
      </c>
      <c r="G352" s="1093" t="s">
        <v>719</v>
      </c>
      <c r="H352" s="1094" t="s">
        <v>720</v>
      </c>
      <c r="I352" s="1095" t="s">
        <v>721</v>
      </c>
      <c r="J352" s="1096" t="s">
        <v>34</v>
      </c>
      <c r="K352" s="1096">
        <v>750</v>
      </c>
      <c r="L352" s="1096" t="s">
        <v>34</v>
      </c>
      <c r="M352" s="1097">
        <v>375</v>
      </c>
      <c r="N352" s="522">
        <v>2</v>
      </c>
      <c r="O352" s="523">
        <v>750</v>
      </c>
      <c r="P352" s="524" t="s">
        <v>9</v>
      </c>
      <c r="Q352" s="1018" t="s">
        <v>701</v>
      </c>
      <c r="R352" s="525" t="s">
        <v>789</v>
      </c>
      <c r="S352" s="524">
        <v>17</v>
      </c>
      <c r="T352" s="1017" t="s">
        <v>701</v>
      </c>
      <c r="U352" s="526">
        <v>0</v>
      </c>
      <c r="V352" s="524">
        <v>0</v>
      </c>
      <c r="W352" s="1010" t="s">
        <v>701</v>
      </c>
      <c r="X352" s="1015" t="s">
        <v>701</v>
      </c>
      <c r="Y352" s="527">
        <v>21302.839565217389</v>
      </c>
      <c r="Z352" s="1010" t="s">
        <v>701</v>
      </c>
      <c r="AA352" s="1102" t="s">
        <v>701</v>
      </c>
      <c r="AB352" s="1103" t="s">
        <v>701</v>
      </c>
      <c r="AC352" s="1099"/>
      <c r="AD352" s="1100">
        <v>0</v>
      </c>
      <c r="AE352" s="1107" t="s">
        <v>701</v>
      </c>
      <c r="AF352" s="1107" t="s">
        <v>701</v>
      </c>
      <c r="AG352" s="1107" t="s">
        <v>701</v>
      </c>
      <c r="AH352" s="1108" t="s">
        <v>701</v>
      </c>
      <c r="AI352" s="1106" t="s">
        <v>701</v>
      </c>
      <c r="AJ352" s="1040" t="s">
        <v>596</v>
      </c>
      <c r="AK352" s="905">
        <v>0</v>
      </c>
      <c r="AL352" s="49">
        <f>IF(AK352,0,1)</f>
        <v>1</v>
      </c>
      <c r="AM352" s="907">
        <f>AK352*$N$335+AL352*$O$345</f>
        <v>1.0526158167136324</v>
      </c>
    </row>
    <row r="353" spans="4:39" ht="11.25" customHeight="1" x14ac:dyDescent="0.2">
      <c r="D353" s="1092"/>
      <c r="E353" s="1093"/>
      <c r="F353" s="1093"/>
      <c r="G353" s="1093"/>
      <c r="H353" s="1094"/>
      <c r="I353" s="1095"/>
      <c r="J353" s="1096"/>
      <c r="K353" s="1096"/>
      <c r="L353" s="1096"/>
      <c r="M353" s="1097"/>
      <c r="N353" s="528">
        <v>0</v>
      </c>
      <c r="O353" s="529">
        <v>0</v>
      </c>
      <c r="P353" s="529">
        <v>0</v>
      </c>
      <c r="Q353" s="1019" t="s">
        <v>701</v>
      </c>
      <c r="R353" s="528" t="s">
        <v>790</v>
      </c>
      <c r="S353" s="529">
        <v>93</v>
      </c>
      <c r="T353" s="1011" t="s">
        <v>701</v>
      </c>
      <c r="U353" s="530">
        <v>0</v>
      </c>
      <c r="V353" s="529">
        <v>0</v>
      </c>
      <c r="W353" s="1011" t="s">
        <v>701</v>
      </c>
      <c r="X353" s="1016" t="s">
        <v>701</v>
      </c>
      <c r="Y353" s="531">
        <v>0</v>
      </c>
      <c r="Z353" s="1011" t="s">
        <v>701</v>
      </c>
      <c r="AA353" s="1102"/>
      <c r="AB353" s="1103"/>
      <c r="AC353" s="1099"/>
      <c r="AD353" s="1100"/>
      <c r="AE353" s="1107"/>
      <c r="AF353" s="1107"/>
      <c r="AG353" s="1107"/>
      <c r="AH353" s="1108"/>
      <c r="AI353" s="1106"/>
      <c r="AJ353" s="1041" t="s">
        <v>596</v>
      </c>
      <c r="AK353" s="906">
        <v>0</v>
      </c>
      <c r="AL353" s="49">
        <f t="shared" ref="AL353:AL416" si="1287">IF(AK353,0,1)</f>
        <v>1</v>
      </c>
      <c r="AM353" s="907">
        <f t="shared" ref="AM353:AM416" si="1288">AK353*$N$335+AL353*$O$345</f>
        <v>1.0526158167136324</v>
      </c>
    </row>
    <row r="354" spans="4:39" ht="11.25" customHeight="1" x14ac:dyDescent="0.2">
      <c r="D354" s="1092"/>
      <c r="E354" s="1093"/>
      <c r="F354" s="1093"/>
      <c r="G354" s="1093"/>
      <c r="H354" s="1094"/>
      <c r="I354" s="1095"/>
      <c r="J354" s="1096"/>
      <c r="K354" s="1096"/>
      <c r="L354" s="1096"/>
      <c r="M354" s="1097"/>
      <c r="N354" s="528">
        <v>0</v>
      </c>
      <c r="O354" s="529">
        <v>0</v>
      </c>
      <c r="P354" s="529">
        <v>0</v>
      </c>
      <c r="Q354" s="1019" t="s">
        <v>701</v>
      </c>
      <c r="R354" s="528">
        <v>0</v>
      </c>
      <c r="S354" s="529">
        <v>0</v>
      </c>
      <c r="T354" s="1011" t="s">
        <v>701</v>
      </c>
      <c r="U354" s="530">
        <v>0</v>
      </c>
      <c r="V354" s="529">
        <v>0</v>
      </c>
      <c r="W354" s="1011" t="s">
        <v>701</v>
      </c>
      <c r="X354" s="1016" t="s">
        <v>701</v>
      </c>
      <c r="Y354" s="529">
        <v>0</v>
      </c>
      <c r="Z354" s="1011" t="s">
        <v>701</v>
      </c>
      <c r="AA354" s="1102"/>
      <c r="AB354" s="1103"/>
      <c r="AC354" s="1099"/>
      <c r="AD354" s="1100"/>
      <c r="AE354" s="1107"/>
      <c r="AF354" s="1107"/>
      <c r="AG354" s="1107"/>
      <c r="AH354" s="1108"/>
      <c r="AI354" s="1106"/>
      <c r="AJ354" s="1041" t="s">
        <v>596</v>
      </c>
      <c r="AK354" s="906">
        <v>0</v>
      </c>
      <c r="AL354" s="49">
        <f t="shared" si="1287"/>
        <v>1</v>
      </c>
      <c r="AM354" s="907">
        <f t="shared" si="1288"/>
        <v>1.0526158167136324</v>
      </c>
    </row>
    <row r="355" spans="4:39" ht="11.25" customHeight="1" x14ac:dyDescent="0.2">
      <c r="D355" s="1092"/>
      <c r="E355" s="1093"/>
      <c r="F355" s="1093"/>
      <c r="G355" s="1093"/>
      <c r="H355" s="1094"/>
      <c r="I355" s="1095"/>
      <c r="J355" s="1096"/>
      <c r="K355" s="1096"/>
      <c r="L355" s="1096"/>
      <c r="M355" s="1097"/>
      <c r="N355" s="528">
        <v>0</v>
      </c>
      <c r="O355" s="529">
        <v>0</v>
      </c>
      <c r="P355" s="529">
        <v>0</v>
      </c>
      <c r="Q355" s="1019" t="s">
        <v>701</v>
      </c>
      <c r="R355" s="528">
        <v>0</v>
      </c>
      <c r="S355" s="529">
        <v>0</v>
      </c>
      <c r="T355" s="1011" t="s">
        <v>701</v>
      </c>
      <c r="U355" s="530">
        <v>0</v>
      </c>
      <c r="V355" s="529">
        <v>0</v>
      </c>
      <c r="W355" s="1011" t="s">
        <v>701</v>
      </c>
      <c r="X355" s="1016" t="s">
        <v>701</v>
      </c>
      <c r="Y355" s="529">
        <v>0</v>
      </c>
      <c r="Z355" s="1011" t="s">
        <v>701</v>
      </c>
      <c r="AA355" s="1102"/>
      <c r="AB355" s="1103"/>
      <c r="AC355" s="1099"/>
      <c r="AD355" s="1100"/>
      <c r="AE355" s="1107"/>
      <c r="AF355" s="1107"/>
      <c r="AG355" s="1107"/>
      <c r="AH355" s="1108"/>
      <c r="AI355" s="1106"/>
      <c r="AJ355" s="1041" t="s">
        <v>596</v>
      </c>
      <c r="AK355" s="906">
        <v>0</v>
      </c>
      <c r="AL355" s="49">
        <f t="shared" si="1287"/>
        <v>1</v>
      </c>
      <c r="AM355" s="907">
        <f t="shared" si="1288"/>
        <v>1.0526158167136324</v>
      </c>
    </row>
    <row r="356" spans="4:39" ht="11.25" customHeight="1" x14ac:dyDescent="0.2">
      <c r="D356" s="1092"/>
      <c r="E356" s="1093"/>
      <c r="F356" s="1093"/>
      <c r="G356" s="1093"/>
      <c r="H356" s="1094"/>
      <c r="I356" s="1095"/>
      <c r="J356" s="1096"/>
      <c r="K356" s="1096"/>
      <c r="L356" s="1096"/>
      <c r="M356" s="1097"/>
      <c r="N356" s="528">
        <v>0</v>
      </c>
      <c r="O356" s="529">
        <v>0</v>
      </c>
      <c r="P356" s="529">
        <v>0</v>
      </c>
      <c r="Q356" s="1019" t="s">
        <v>701</v>
      </c>
      <c r="R356" s="528">
        <v>0</v>
      </c>
      <c r="S356" s="529">
        <v>0</v>
      </c>
      <c r="T356" s="1011" t="s">
        <v>701</v>
      </c>
      <c r="U356" s="530">
        <v>0</v>
      </c>
      <c r="V356" s="529">
        <v>0</v>
      </c>
      <c r="W356" s="1011" t="s">
        <v>701</v>
      </c>
      <c r="X356" s="1016" t="s">
        <v>701</v>
      </c>
      <c r="Y356" s="529">
        <v>0</v>
      </c>
      <c r="Z356" s="1011" t="s">
        <v>701</v>
      </c>
      <c r="AA356" s="1102"/>
      <c r="AB356" s="1103"/>
      <c r="AC356" s="1099"/>
      <c r="AD356" s="1100"/>
      <c r="AE356" s="1107"/>
      <c r="AF356" s="1107"/>
      <c r="AG356" s="1107"/>
      <c r="AH356" s="1108"/>
      <c r="AI356" s="1106"/>
      <c r="AJ356" s="1041" t="s">
        <v>596</v>
      </c>
      <c r="AK356" s="906">
        <v>0</v>
      </c>
      <c r="AL356" s="49">
        <f t="shared" si="1287"/>
        <v>1</v>
      </c>
      <c r="AM356" s="907">
        <f t="shared" si="1288"/>
        <v>1.0526158167136324</v>
      </c>
    </row>
    <row r="357" spans="4:39" ht="11.25" customHeight="1" x14ac:dyDescent="0.2">
      <c r="D357" s="1092"/>
      <c r="E357" s="1093"/>
      <c r="F357" s="1093"/>
      <c r="G357" s="1093"/>
      <c r="H357" s="1094"/>
      <c r="I357" s="1095"/>
      <c r="J357" s="1096"/>
      <c r="K357" s="1096"/>
      <c r="L357" s="1096"/>
      <c r="M357" s="1097"/>
      <c r="N357" s="528">
        <v>0</v>
      </c>
      <c r="O357" s="529">
        <v>0</v>
      </c>
      <c r="P357" s="529">
        <v>0</v>
      </c>
      <c r="Q357" s="1019" t="s">
        <v>701</v>
      </c>
      <c r="R357" s="528">
        <v>0</v>
      </c>
      <c r="S357" s="529">
        <v>0</v>
      </c>
      <c r="T357" s="1011" t="s">
        <v>701</v>
      </c>
      <c r="U357" s="530">
        <v>0</v>
      </c>
      <c r="V357" s="529">
        <v>0</v>
      </c>
      <c r="W357" s="1011" t="s">
        <v>701</v>
      </c>
      <c r="X357" s="1016" t="s">
        <v>701</v>
      </c>
      <c r="Y357" s="529">
        <v>0</v>
      </c>
      <c r="Z357" s="1011" t="s">
        <v>701</v>
      </c>
      <c r="AA357" s="1102"/>
      <c r="AB357" s="1103"/>
      <c r="AC357" s="1099"/>
      <c r="AD357" s="1100"/>
      <c r="AE357" s="1107"/>
      <c r="AF357" s="1107"/>
      <c r="AG357" s="1107"/>
      <c r="AH357" s="1108"/>
      <c r="AI357" s="1106"/>
      <c r="AJ357" s="1041" t="s">
        <v>596</v>
      </c>
      <c r="AK357" s="906">
        <v>0</v>
      </c>
      <c r="AL357" s="49">
        <f t="shared" si="1287"/>
        <v>1</v>
      </c>
      <c r="AM357" s="907">
        <f t="shared" si="1288"/>
        <v>1.0526158167136324</v>
      </c>
    </row>
    <row r="358" spans="4:39" ht="11.25" customHeight="1" thickBot="1" x14ac:dyDescent="0.25">
      <c r="D358" s="532" t="s">
        <v>418</v>
      </c>
      <c r="E358" s="533"/>
      <c r="F358" s="534"/>
      <c r="G358" s="535"/>
      <c r="H358" s="535"/>
      <c r="I358" s="534"/>
      <c r="J358" s="535"/>
      <c r="K358" s="535"/>
      <c r="L358" s="535"/>
      <c r="M358" s="536"/>
      <c r="N358" s="537">
        <f>SUM(N352:N357)</f>
        <v>2</v>
      </c>
      <c r="O358" s="537">
        <f t="shared" ref="O358" si="1289">SUM(O352:O357)</f>
        <v>750</v>
      </c>
      <c r="P358" s="536"/>
      <c r="Q358" s="1020" t="s">
        <v>701</v>
      </c>
      <c r="R358" s="538"/>
      <c r="S358" s="539">
        <f t="shared" ref="S358" si="1290">SUM(S352:S357)</f>
        <v>110</v>
      </c>
      <c r="T358" s="1012" t="s">
        <v>701</v>
      </c>
      <c r="U358" s="538"/>
      <c r="V358" s="539">
        <f t="shared" ref="V358:Y358" si="1291">SUM(V352:V357)</f>
        <v>0</v>
      </c>
      <c r="W358" s="1012" t="s">
        <v>701</v>
      </c>
      <c r="X358" s="1012" t="s">
        <v>701</v>
      </c>
      <c r="Y358" s="539">
        <f t="shared" si="1291"/>
        <v>21302.839565217389</v>
      </c>
      <c r="Z358" s="1012" t="s">
        <v>701</v>
      </c>
      <c r="AA358" s="1012" t="s">
        <v>701</v>
      </c>
      <c r="AB358" s="1007" t="s">
        <v>701</v>
      </c>
      <c r="AC358" s="1013" t="s">
        <v>701</v>
      </c>
      <c r="AD358" s="540"/>
      <c r="AE358" s="1008" t="s">
        <v>701</v>
      </c>
      <c r="AF358" s="1008" t="s">
        <v>701</v>
      </c>
      <c r="AG358" s="1008" t="s">
        <v>701</v>
      </c>
      <c r="AH358" s="1008" t="s">
        <v>701</v>
      </c>
      <c r="AI358" s="1008" t="s">
        <v>701</v>
      </c>
      <c r="AJ358" s="1042" t="s">
        <v>596</v>
      </c>
      <c r="AK358" s="906">
        <v>0</v>
      </c>
      <c r="AL358" s="49">
        <f t="shared" si="1287"/>
        <v>1</v>
      </c>
      <c r="AM358" s="907">
        <f t="shared" si="1288"/>
        <v>1.0526158167136324</v>
      </c>
    </row>
    <row r="359" spans="4:39" ht="11.25" customHeight="1" x14ac:dyDescent="0.25">
      <c r="D359" s="1092" t="s">
        <v>722</v>
      </c>
      <c r="E359" s="1093" t="s">
        <v>718</v>
      </c>
      <c r="F359" s="1093">
        <v>1687</v>
      </c>
      <c r="G359" s="1093" t="s">
        <v>723</v>
      </c>
      <c r="H359" s="1094" t="s">
        <v>720</v>
      </c>
      <c r="I359" s="1095" t="s">
        <v>721</v>
      </c>
      <c r="J359" s="1096">
        <v>625</v>
      </c>
      <c r="K359" s="1096">
        <v>1000</v>
      </c>
      <c r="L359" s="1096">
        <v>250</v>
      </c>
      <c r="M359" s="1097">
        <v>625</v>
      </c>
      <c r="N359" s="522">
        <v>1</v>
      </c>
      <c r="O359" s="523">
        <v>375</v>
      </c>
      <c r="P359" s="524" t="s">
        <v>9</v>
      </c>
      <c r="Q359" s="1018" t="s">
        <v>701</v>
      </c>
      <c r="R359" s="525" t="s">
        <v>791</v>
      </c>
      <c r="S359" s="524">
        <v>5</v>
      </c>
      <c r="T359" s="1017" t="s">
        <v>701</v>
      </c>
      <c r="U359" s="526">
        <v>0</v>
      </c>
      <c r="V359" s="524">
        <v>0</v>
      </c>
      <c r="W359" s="1010" t="s">
        <v>701</v>
      </c>
      <c r="X359" s="1015" t="s">
        <v>701</v>
      </c>
      <c r="Y359" s="527">
        <v>2714.905652173913</v>
      </c>
      <c r="Z359" s="1010" t="s">
        <v>701</v>
      </c>
      <c r="AA359" s="1102" t="s">
        <v>701</v>
      </c>
      <c r="AB359" s="1103" t="s">
        <v>701</v>
      </c>
      <c r="AC359" s="1099"/>
      <c r="AD359" s="1100">
        <v>0</v>
      </c>
      <c r="AE359" s="1107" t="s">
        <v>701</v>
      </c>
      <c r="AF359" s="1107" t="s">
        <v>701</v>
      </c>
      <c r="AG359" s="1107" t="s">
        <v>701</v>
      </c>
      <c r="AH359" s="1108" t="s">
        <v>701</v>
      </c>
      <c r="AI359" s="1106" t="s">
        <v>701</v>
      </c>
      <c r="AJ359" s="1040" t="s">
        <v>596</v>
      </c>
      <c r="AK359" s="906">
        <v>0</v>
      </c>
      <c r="AL359" s="49">
        <f t="shared" si="1287"/>
        <v>1</v>
      </c>
      <c r="AM359" s="907">
        <f t="shared" si="1288"/>
        <v>1.0526158167136324</v>
      </c>
    </row>
    <row r="360" spans="4:39" ht="11.25" customHeight="1" x14ac:dyDescent="0.2">
      <c r="D360" s="1092"/>
      <c r="E360" s="1093"/>
      <c r="F360" s="1093"/>
      <c r="G360" s="1093"/>
      <c r="H360" s="1094"/>
      <c r="I360" s="1095"/>
      <c r="J360" s="1096"/>
      <c r="K360" s="1096"/>
      <c r="L360" s="1096"/>
      <c r="M360" s="1097"/>
      <c r="N360" s="528">
        <v>0</v>
      </c>
      <c r="O360" s="529">
        <v>0</v>
      </c>
      <c r="P360" s="529">
        <v>0</v>
      </c>
      <c r="Q360" s="1019" t="s">
        <v>701</v>
      </c>
      <c r="R360" s="528" t="s">
        <v>790</v>
      </c>
      <c r="S360" s="529">
        <v>3</v>
      </c>
      <c r="T360" s="1011" t="s">
        <v>701</v>
      </c>
      <c r="U360" s="530">
        <v>0</v>
      </c>
      <c r="V360" s="529">
        <v>0</v>
      </c>
      <c r="W360" s="1011" t="s">
        <v>701</v>
      </c>
      <c r="X360" s="1016" t="s">
        <v>701</v>
      </c>
      <c r="Y360" s="531">
        <v>0</v>
      </c>
      <c r="Z360" s="1011" t="s">
        <v>701</v>
      </c>
      <c r="AA360" s="1102"/>
      <c r="AB360" s="1103"/>
      <c r="AC360" s="1099"/>
      <c r="AD360" s="1100"/>
      <c r="AE360" s="1107"/>
      <c r="AF360" s="1107"/>
      <c r="AG360" s="1107"/>
      <c r="AH360" s="1108"/>
      <c r="AI360" s="1106"/>
      <c r="AJ360" s="1041" t="s">
        <v>596</v>
      </c>
      <c r="AK360" s="906">
        <v>0</v>
      </c>
      <c r="AL360" s="49">
        <f t="shared" si="1287"/>
        <v>1</v>
      </c>
      <c r="AM360" s="907">
        <f t="shared" si="1288"/>
        <v>1.0526158167136324</v>
      </c>
    </row>
    <row r="361" spans="4:39" ht="11.25" customHeight="1" x14ac:dyDescent="0.2">
      <c r="D361" s="1092"/>
      <c r="E361" s="1093"/>
      <c r="F361" s="1093"/>
      <c r="G361" s="1093"/>
      <c r="H361" s="1094"/>
      <c r="I361" s="1095"/>
      <c r="J361" s="1096"/>
      <c r="K361" s="1096"/>
      <c r="L361" s="1096"/>
      <c r="M361" s="1097"/>
      <c r="N361" s="528">
        <v>0</v>
      </c>
      <c r="O361" s="529">
        <v>0</v>
      </c>
      <c r="P361" s="529">
        <v>0</v>
      </c>
      <c r="Q361" s="1019" t="s">
        <v>701</v>
      </c>
      <c r="R361" s="528">
        <v>0</v>
      </c>
      <c r="S361" s="529">
        <v>0</v>
      </c>
      <c r="T361" s="1011" t="s">
        <v>701</v>
      </c>
      <c r="U361" s="530">
        <v>0</v>
      </c>
      <c r="V361" s="529">
        <v>0</v>
      </c>
      <c r="W361" s="1011" t="s">
        <v>701</v>
      </c>
      <c r="X361" s="1016" t="s">
        <v>701</v>
      </c>
      <c r="Y361" s="529">
        <v>0</v>
      </c>
      <c r="Z361" s="1011" t="s">
        <v>701</v>
      </c>
      <c r="AA361" s="1102"/>
      <c r="AB361" s="1103"/>
      <c r="AC361" s="1099"/>
      <c r="AD361" s="1100"/>
      <c r="AE361" s="1107"/>
      <c r="AF361" s="1107"/>
      <c r="AG361" s="1107"/>
      <c r="AH361" s="1108"/>
      <c r="AI361" s="1106"/>
      <c r="AJ361" s="1041" t="s">
        <v>596</v>
      </c>
      <c r="AK361" s="906">
        <v>0</v>
      </c>
      <c r="AL361" s="49">
        <f t="shared" si="1287"/>
        <v>1</v>
      </c>
      <c r="AM361" s="907">
        <f t="shared" si="1288"/>
        <v>1.0526158167136324</v>
      </c>
    </row>
    <row r="362" spans="4:39" ht="11.25" customHeight="1" x14ac:dyDescent="0.2">
      <c r="D362" s="1092"/>
      <c r="E362" s="1093"/>
      <c r="F362" s="1093"/>
      <c r="G362" s="1093"/>
      <c r="H362" s="1094"/>
      <c r="I362" s="1095"/>
      <c r="J362" s="1096"/>
      <c r="K362" s="1096"/>
      <c r="L362" s="1096"/>
      <c r="M362" s="1097"/>
      <c r="N362" s="528">
        <v>0</v>
      </c>
      <c r="O362" s="529">
        <v>0</v>
      </c>
      <c r="P362" s="529">
        <v>0</v>
      </c>
      <c r="Q362" s="1019" t="s">
        <v>701</v>
      </c>
      <c r="R362" s="528">
        <v>0</v>
      </c>
      <c r="S362" s="529">
        <v>0</v>
      </c>
      <c r="T362" s="1011" t="s">
        <v>701</v>
      </c>
      <c r="U362" s="530">
        <v>0</v>
      </c>
      <c r="V362" s="529">
        <v>0</v>
      </c>
      <c r="W362" s="1011" t="s">
        <v>701</v>
      </c>
      <c r="X362" s="1016" t="s">
        <v>701</v>
      </c>
      <c r="Y362" s="529">
        <v>0</v>
      </c>
      <c r="Z362" s="1011" t="s">
        <v>701</v>
      </c>
      <c r="AA362" s="1102"/>
      <c r="AB362" s="1103"/>
      <c r="AC362" s="1099"/>
      <c r="AD362" s="1100"/>
      <c r="AE362" s="1107"/>
      <c r="AF362" s="1107"/>
      <c r="AG362" s="1107"/>
      <c r="AH362" s="1108"/>
      <c r="AI362" s="1106"/>
      <c r="AJ362" s="1041" t="s">
        <v>596</v>
      </c>
      <c r="AK362" s="906">
        <v>0</v>
      </c>
      <c r="AL362" s="49">
        <f t="shared" si="1287"/>
        <v>1</v>
      </c>
      <c r="AM362" s="907">
        <f t="shared" si="1288"/>
        <v>1.0526158167136324</v>
      </c>
    </row>
    <row r="363" spans="4:39" ht="11.25" customHeight="1" x14ac:dyDescent="0.2">
      <c r="D363" s="1092"/>
      <c r="E363" s="1093"/>
      <c r="F363" s="1093"/>
      <c r="G363" s="1093"/>
      <c r="H363" s="1094"/>
      <c r="I363" s="1095"/>
      <c r="J363" s="1096"/>
      <c r="K363" s="1096"/>
      <c r="L363" s="1096"/>
      <c r="M363" s="1097"/>
      <c r="N363" s="528">
        <v>0</v>
      </c>
      <c r="O363" s="529">
        <v>0</v>
      </c>
      <c r="P363" s="529">
        <v>0</v>
      </c>
      <c r="Q363" s="1019" t="s">
        <v>701</v>
      </c>
      <c r="R363" s="528">
        <v>0</v>
      </c>
      <c r="S363" s="529">
        <v>0</v>
      </c>
      <c r="T363" s="1011" t="s">
        <v>701</v>
      </c>
      <c r="U363" s="530">
        <v>0</v>
      </c>
      <c r="V363" s="529">
        <v>0</v>
      </c>
      <c r="W363" s="1011" t="s">
        <v>701</v>
      </c>
      <c r="X363" s="1016" t="s">
        <v>701</v>
      </c>
      <c r="Y363" s="529">
        <v>0</v>
      </c>
      <c r="Z363" s="1011" t="s">
        <v>701</v>
      </c>
      <c r="AA363" s="1102"/>
      <c r="AB363" s="1103"/>
      <c r="AC363" s="1099"/>
      <c r="AD363" s="1100"/>
      <c r="AE363" s="1107"/>
      <c r="AF363" s="1107"/>
      <c r="AG363" s="1107"/>
      <c r="AH363" s="1108"/>
      <c r="AI363" s="1106"/>
      <c r="AJ363" s="1041" t="s">
        <v>596</v>
      </c>
      <c r="AK363" s="906">
        <v>0</v>
      </c>
      <c r="AL363" s="49">
        <f t="shared" si="1287"/>
        <v>1</v>
      </c>
      <c r="AM363" s="907">
        <f t="shared" si="1288"/>
        <v>1.0526158167136324</v>
      </c>
    </row>
    <row r="364" spans="4:39" ht="11.25" customHeight="1" x14ac:dyDescent="0.2">
      <c r="D364" s="1092"/>
      <c r="E364" s="1093"/>
      <c r="F364" s="1093"/>
      <c r="G364" s="1093"/>
      <c r="H364" s="1094"/>
      <c r="I364" s="1095"/>
      <c r="J364" s="1096"/>
      <c r="K364" s="1096"/>
      <c r="L364" s="1096"/>
      <c r="M364" s="1097"/>
      <c r="N364" s="528">
        <v>0</v>
      </c>
      <c r="O364" s="529">
        <v>0</v>
      </c>
      <c r="P364" s="529">
        <v>0</v>
      </c>
      <c r="Q364" s="1019" t="s">
        <v>701</v>
      </c>
      <c r="R364" s="528">
        <v>0</v>
      </c>
      <c r="S364" s="529">
        <v>0</v>
      </c>
      <c r="T364" s="1011" t="s">
        <v>701</v>
      </c>
      <c r="U364" s="530">
        <v>0</v>
      </c>
      <c r="V364" s="529">
        <v>0</v>
      </c>
      <c r="W364" s="1011" t="s">
        <v>701</v>
      </c>
      <c r="X364" s="1016" t="s">
        <v>701</v>
      </c>
      <c r="Y364" s="529">
        <v>0</v>
      </c>
      <c r="Z364" s="1011" t="s">
        <v>701</v>
      </c>
      <c r="AA364" s="1102"/>
      <c r="AB364" s="1103"/>
      <c r="AC364" s="1099"/>
      <c r="AD364" s="1100"/>
      <c r="AE364" s="1107"/>
      <c r="AF364" s="1107"/>
      <c r="AG364" s="1107"/>
      <c r="AH364" s="1108"/>
      <c r="AI364" s="1106"/>
      <c r="AJ364" s="1041" t="s">
        <v>596</v>
      </c>
      <c r="AK364" s="906">
        <v>0</v>
      </c>
      <c r="AL364" s="49">
        <f t="shared" si="1287"/>
        <v>1</v>
      </c>
      <c r="AM364" s="907">
        <f t="shared" si="1288"/>
        <v>1.0526158167136324</v>
      </c>
    </row>
    <row r="365" spans="4:39" ht="11.25" customHeight="1" thickBot="1" x14ac:dyDescent="0.25">
      <c r="D365" s="532" t="s">
        <v>418</v>
      </c>
      <c r="E365" s="533"/>
      <c r="F365" s="534"/>
      <c r="G365" s="535"/>
      <c r="H365" s="535"/>
      <c r="I365" s="534"/>
      <c r="J365" s="535"/>
      <c r="K365" s="535"/>
      <c r="L365" s="535"/>
      <c r="M365" s="536"/>
      <c r="N365" s="537">
        <f>SUM(N359:N364)</f>
        <v>1</v>
      </c>
      <c r="O365" s="537">
        <f t="shared" ref="O365" si="1292">SUM(O359:O364)</f>
        <v>375</v>
      </c>
      <c r="P365" s="536"/>
      <c r="Q365" s="1020" t="s">
        <v>701</v>
      </c>
      <c r="R365" s="538"/>
      <c r="S365" s="539">
        <f t="shared" ref="S365" si="1293">SUM(S359:S364)</f>
        <v>8</v>
      </c>
      <c r="T365" s="1012" t="s">
        <v>701</v>
      </c>
      <c r="U365" s="538"/>
      <c r="V365" s="539">
        <f t="shared" ref="V365:Y365" si="1294">SUM(V359:V364)</f>
        <v>0</v>
      </c>
      <c r="W365" s="1012" t="s">
        <v>701</v>
      </c>
      <c r="X365" s="1012" t="s">
        <v>701</v>
      </c>
      <c r="Y365" s="539">
        <f t="shared" si="1294"/>
        <v>2714.905652173913</v>
      </c>
      <c r="Z365" s="1012" t="s">
        <v>701</v>
      </c>
      <c r="AA365" s="1012" t="s">
        <v>701</v>
      </c>
      <c r="AB365" s="1007" t="s">
        <v>701</v>
      </c>
      <c r="AC365" s="1013" t="s">
        <v>701</v>
      </c>
      <c r="AD365" s="540"/>
      <c r="AE365" s="1008" t="s">
        <v>701</v>
      </c>
      <c r="AF365" s="1008" t="s">
        <v>701</v>
      </c>
      <c r="AG365" s="1008" t="s">
        <v>701</v>
      </c>
      <c r="AH365" s="1008" t="s">
        <v>701</v>
      </c>
      <c r="AI365" s="1008" t="s">
        <v>701</v>
      </c>
      <c r="AJ365" s="1042" t="s">
        <v>596</v>
      </c>
      <c r="AK365" s="906">
        <v>0</v>
      </c>
      <c r="AL365" s="49">
        <f t="shared" si="1287"/>
        <v>1</v>
      </c>
      <c r="AM365" s="907">
        <f t="shared" si="1288"/>
        <v>1.0526158167136324</v>
      </c>
    </row>
    <row r="366" spans="4:39" ht="11.25" customHeight="1" x14ac:dyDescent="0.25">
      <c r="D366" s="1092" t="s">
        <v>724</v>
      </c>
      <c r="E366" s="1093" t="s">
        <v>718</v>
      </c>
      <c r="F366" s="1093" t="s">
        <v>725</v>
      </c>
      <c r="G366" s="1093" t="s">
        <v>723</v>
      </c>
      <c r="H366" s="1094" t="s">
        <v>726</v>
      </c>
      <c r="I366" s="1095" t="s">
        <v>727</v>
      </c>
      <c r="J366" s="1096">
        <v>240</v>
      </c>
      <c r="K366" s="1096">
        <v>240</v>
      </c>
      <c r="L366" s="1096">
        <v>120</v>
      </c>
      <c r="M366" s="1097">
        <v>120</v>
      </c>
      <c r="N366" s="522">
        <v>0</v>
      </c>
      <c r="O366" s="523">
        <v>0</v>
      </c>
      <c r="P366" s="524">
        <v>0</v>
      </c>
      <c r="Q366" s="1018" t="s">
        <v>701</v>
      </c>
      <c r="R366" s="525" t="s">
        <v>790</v>
      </c>
      <c r="S366" s="524">
        <v>1</v>
      </c>
      <c r="T366" s="1017" t="s">
        <v>701</v>
      </c>
      <c r="U366" s="526">
        <v>0</v>
      </c>
      <c r="V366" s="524">
        <v>0</v>
      </c>
      <c r="W366" s="1010" t="s">
        <v>701</v>
      </c>
      <c r="X366" s="1015" t="s">
        <v>701</v>
      </c>
      <c r="Y366" s="527">
        <v>5360.9222981366456</v>
      </c>
      <c r="Z366" s="1010" t="s">
        <v>701</v>
      </c>
      <c r="AA366" s="1102" t="s">
        <v>701</v>
      </c>
      <c r="AB366" s="1103" t="s">
        <v>701</v>
      </c>
      <c r="AC366" s="1099"/>
      <c r="AD366" s="1100">
        <v>0</v>
      </c>
      <c r="AE366" s="1107" t="s">
        <v>701</v>
      </c>
      <c r="AF366" s="1107" t="s">
        <v>701</v>
      </c>
      <c r="AG366" s="1107" t="s">
        <v>701</v>
      </c>
      <c r="AH366" s="1108" t="s">
        <v>701</v>
      </c>
      <c r="AI366" s="1106" t="s">
        <v>701</v>
      </c>
      <c r="AJ366" s="1040" t="s">
        <v>596</v>
      </c>
      <c r="AK366" s="906">
        <v>0</v>
      </c>
      <c r="AL366" s="49">
        <f t="shared" si="1287"/>
        <v>1</v>
      </c>
      <c r="AM366" s="907">
        <f t="shared" si="1288"/>
        <v>1.0526158167136324</v>
      </c>
    </row>
    <row r="367" spans="4:39" ht="11.25" customHeight="1" x14ac:dyDescent="0.2">
      <c r="D367" s="1092"/>
      <c r="E367" s="1093"/>
      <c r="F367" s="1093"/>
      <c r="G367" s="1093"/>
      <c r="H367" s="1094"/>
      <c r="I367" s="1095"/>
      <c r="J367" s="1096"/>
      <c r="K367" s="1096"/>
      <c r="L367" s="1096"/>
      <c r="M367" s="1097"/>
      <c r="N367" s="528">
        <v>0</v>
      </c>
      <c r="O367" s="529">
        <v>0</v>
      </c>
      <c r="P367" s="529">
        <v>0</v>
      </c>
      <c r="Q367" s="1019" t="s">
        <v>701</v>
      </c>
      <c r="R367" s="528">
        <v>0</v>
      </c>
      <c r="S367" s="529">
        <v>0</v>
      </c>
      <c r="T367" s="1011" t="s">
        <v>701</v>
      </c>
      <c r="U367" s="530">
        <v>0</v>
      </c>
      <c r="V367" s="529">
        <v>0</v>
      </c>
      <c r="W367" s="1011" t="s">
        <v>701</v>
      </c>
      <c r="X367" s="1016" t="s">
        <v>701</v>
      </c>
      <c r="Y367" s="531">
        <v>0</v>
      </c>
      <c r="Z367" s="1011" t="s">
        <v>701</v>
      </c>
      <c r="AA367" s="1102"/>
      <c r="AB367" s="1103"/>
      <c r="AC367" s="1099"/>
      <c r="AD367" s="1100"/>
      <c r="AE367" s="1107"/>
      <c r="AF367" s="1107"/>
      <c r="AG367" s="1107"/>
      <c r="AH367" s="1108"/>
      <c r="AI367" s="1106"/>
      <c r="AJ367" s="1041" t="s">
        <v>596</v>
      </c>
      <c r="AK367" s="906">
        <v>0</v>
      </c>
      <c r="AL367" s="49">
        <f t="shared" si="1287"/>
        <v>1</v>
      </c>
      <c r="AM367" s="907">
        <f t="shared" si="1288"/>
        <v>1.0526158167136324</v>
      </c>
    </row>
    <row r="368" spans="4:39" ht="11.25" customHeight="1" x14ac:dyDescent="0.2">
      <c r="D368" s="1092"/>
      <c r="E368" s="1093"/>
      <c r="F368" s="1093"/>
      <c r="G368" s="1093"/>
      <c r="H368" s="1094"/>
      <c r="I368" s="1095"/>
      <c r="J368" s="1096"/>
      <c r="K368" s="1096"/>
      <c r="L368" s="1096"/>
      <c r="M368" s="1097"/>
      <c r="N368" s="528">
        <v>0</v>
      </c>
      <c r="O368" s="529">
        <v>0</v>
      </c>
      <c r="P368" s="529">
        <v>0</v>
      </c>
      <c r="Q368" s="1019" t="s">
        <v>701</v>
      </c>
      <c r="R368" s="528">
        <v>0</v>
      </c>
      <c r="S368" s="529">
        <v>0</v>
      </c>
      <c r="T368" s="1011" t="s">
        <v>701</v>
      </c>
      <c r="U368" s="530">
        <v>0</v>
      </c>
      <c r="V368" s="529">
        <v>0</v>
      </c>
      <c r="W368" s="1011" t="s">
        <v>701</v>
      </c>
      <c r="X368" s="1016" t="s">
        <v>701</v>
      </c>
      <c r="Y368" s="529">
        <v>0</v>
      </c>
      <c r="Z368" s="1011" t="s">
        <v>701</v>
      </c>
      <c r="AA368" s="1102"/>
      <c r="AB368" s="1103"/>
      <c r="AC368" s="1099"/>
      <c r="AD368" s="1100"/>
      <c r="AE368" s="1107"/>
      <c r="AF368" s="1107"/>
      <c r="AG368" s="1107"/>
      <c r="AH368" s="1108"/>
      <c r="AI368" s="1106"/>
      <c r="AJ368" s="1041" t="s">
        <v>596</v>
      </c>
      <c r="AK368" s="906">
        <v>0</v>
      </c>
      <c r="AL368" s="49">
        <f t="shared" si="1287"/>
        <v>1</v>
      </c>
      <c r="AM368" s="907">
        <f t="shared" si="1288"/>
        <v>1.0526158167136324</v>
      </c>
    </row>
    <row r="369" spans="4:39" ht="11.25" customHeight="1" x14ac:dyDescent="0.2">
      <c r="D369" s="1092"/>
      <c r="E369" s="1093"/>
      <c r="F369" s="1093"/>
      <c r="G369" s="1093"/>
      <c r="H369" s="1094"/>
      <c r="I369" s="1095"/>
      <c r="J369" s="1096"/>
      <c r="K369" s="1096"/>
      <c r="L369" s="1096"/>
      <c r="M369" s="1097"/>
      <c r="N369" s="528">
        <v>0</v>
      </c>
      <c r="O369" s="529">
        <v>0</v>
      </c>
      <c r="P369" s="529">
        <v>0</v>
      </c>
      <c r="Q369" s="1019" t="s">
        <v>701</v>
      </c>
      <c r="R369" s="528">
        <v>0</v>
      </c>
      <c r="S369" s="529">
        <v>0</v>
      </c>
      <c r="T369" s="1011" t="s">
        <v>701</v>
      </c>
      <c r="U369" s="530">
        <v>0</v>
      </c>
      <c r="V369" s="529">
        <v>0</v>
      </c>
      <c r="W369" s="1011" t="s">
        <v>701</v>
      </c>
      <c r="X369" s="1016" t="s">
        <v>701</v>
      </c>
      <c r="Y369" s="529">
        <v>0</v>
      </c>
      <c r="Z369" s="1011" t="s">
        <v>701</v>
      </c>
      <c r="AA369" s="1102"/>
      <c r="AB369" s="1103"/>
      <c r="AC369" s="1099"/>
      <c r="AD369" s="1100"/>
      <c r="AE369" s="1107"/>
      <c r="AF369" s="1107"/>
      <c r="AG369" s="1107"/>
      <c r="AH369" s="1108"/>
      <c r="AI369" s="1106"/>
      <c r="AJ369" s="1041" t="s">
        <v>596</v>
      </c>
      <c r="AK369" s="906">
        <v>0</v>
      </c>
      <c r="AL369" s="49">
        <f t="shared" si="1287"/>
        <v>1</v>
      </c>
      <c r="AM369" s="907">
        <f t="shared" si="1288"/>
        <v>1.0526158167136324</v>
      </c>
    </row>
    <row r="370" spans="4:39" ht="11.25" customHeight="1" x14ac:dyDescent="0.2">
      <c r="D370" s="1092"/>
      <c r="E370" s="1093"/>
      <c r="F370" s="1093"/>
      <c r="G370" s="1093"/>
      <c r="H370" s="1094"/>
      <c r="I370" s="1095"/>
      <c r="J370" s="1096"/>
      <c r="K370" s="1096"/>
      <c r="L370" s="1096"/>
      <c r="M370" s="1097"/>
      <c r="N370" s="528">
        <v>0</v>
      </c>
      <c r="O370" s="529">
        <v>0</v>
      </c>
      <c r="P370" s="529">
        <v>0</v>
      </c>
      <c r="Q370" s="1019" t="s">
        <v>701</v>
      </c>
      <c r="R370" s="528">
        <v>0</v>
      </c>
      <c r="S370" s="529">
        <v>0</v>
      </c>
      <c r="T370" s="1011" t="s">
        <v>701</v>
      </c>
      <c r="U370" s="530">
        <v>0</v>
      </c>
      <c r="V370" s="529">
        <v>0</v>
      </c>
      <c r="W370" s="1011" t="s">
        <v>701</v>
      </c>
      <c r="X370" s="1016" t="s">
        <v>701</v>
      </c>
      <c r="Y370" s="529">
        <v>0</v>
      </c>
      <c r="Z370" s="1011" t="s">
        <v>701</v>
      </c>
      <c r="AA370" s="1102"/>
      <c r="AB370" s="1103"/>
      <c r="AC370" s="1099"/>
      <c r="AD370" s="1100"/>
      <c r="AE370" s="1107"/>
      <c r="AF370" s="1107"/>
      <c r="AG370" s="1107"/>
      <c r="AH370" s="1108"/>
      <c r="AI370" s="1106"/>
      <c r="AJ370" s="1041" t="s">
        <v>596</v>
      </c>
      <c r="AK370" s="906">
        <v>0</v>
      </c>
      <c r="AL370" s="49">
        <f t="shared" si="1287"/>
        <v>1</v>
      </c>
      <c r="AM370" s="907">
        <f t="shared" si="1288"/>
        <v>1.0526158167136324</v>
      </c>
    </row>
    <row r="371" spans="4:39" ht="11.25" customHeight="1" x14ac:dyDescent="0.2">
      <c r="D371" s="1092"/>
      <c r="E371" s="1093"/>
      <c r="F371" s="1093"/>
      <c r="G371" s="1093"/>
      <c r="H371" s="1094"/>
      <c r="I371" s="1095"/>
      <c r="J371" s="1096"/>
      <c r="K371" s="1096"/>
      <c r="L371" s="1096"/>
      <c r="M371" s="1097"/>
      <c r="N371" s="528">
        <v>0</v>
      </c>
      <c r="O371" s="529">
        <v>0</v>
      </c>
      <c r="P371" s="529">
        <v>0</v>
      </c>
      <c r="Q371" s="1019" t="s">
        <v>701</v>
      </c>
      <c r="R371" s="528">
        <v>0</v>
      </c>
      <c r="S371" s="529">
        <v>0</v>
      </c>
      <c r="T371" s="1011" t="s">
        <v>701</v>
      </c>
      <c r="U371" s="530">
        <v>0</v>
      </c>
      <c r="V371" s="529">
        <v>0</v>
      </c>
      <c r="W371" s="1011" t="s">
        <v>701</v>
      </c>
      <c r="X371" s="1016" t="s">
        <v>701</v>
      </c>
      <c r="Y371" s="529">
        <v>0</v>
      </c>
      <c r="Z371" s="1011" t="s">
        <v>701</v>
      </c>
      <c r="AA371" s="1102"/>
      <c r="AB371" s="1103"/>
      <c r="AC371" s="1099"/>
      <c r="AD371" s="1100"/>
      <c r="AE371" s="1107"/>
      <c r="AF371" s="1107"/>
      <c r="AG371" s="1107"/>
      <c r="AH371" s="1108"/>
      <c r="AI371" s="1106"/>
      <c r="AJ371" s="1041" t="s">
        <v>596</v>
      </c>
      <c r="AK371" s="906">
        <v>0</v>
      </c>
      <c r="AL371" s="49">
        <f t="shared" si="1287"/>
        <v>1</v>
      </c>
      <c r="AM371" s="907">
        <f t="shared" si="1288"/>
        <v>1.0526158167136324</v>
      </c>
    </row>
    <row r="372" spans="4:39" ht="11.25" customHeight="1" thickBot="1" x14ac:dyDescent="0.25">
      <c r="D372" s="532" t="s">
        <v>418</v>
      </c>
      <c r="E372" s="533"/>
      <c r="F372" s="534"/>
      <c r="G372" s="535"/>
      <c r="H372" s="535"/>
      <c r="I372" s="534"/>
      <c r="J372" s="535"/>
      <c r="K372" s="535"/>
      <c r="L372" s="535"/>
      <c r="M372" s="536"/>
      <c r="N372" s="537">
        <f>SUM(N366:N371)</f>
        <v>0</v>
      </c>
      <c r="O372" s="537">
        <f t="shared" ref="O372" si="1295">SUM(O366:O371)</f>
        <v>0</v>
      </c>
      <c r="P372" s="536"/>
      <c r="Q372" s="1020" t="s">
        <v>701</v>
      </c>
      <c r="R372" s="538"/>
      <c r="S372" s="539">
        <f t="shared" ref="S372" si="1296">SUM(S366:S371)</f>
        <v>1</v>
      </c>
      <c r="T372" s="1012" t="s">
        <v>701</v>
      </c>
      <c r="U372" s="538"/>
      <c r="V372" s="539">
        <f t="shared" ref="V372:Y372" si="1297">SUM(V366:V371)</f>
        <v>0</v>
      </c>
      <c r="W372" s="1012" t="s">
        <v>701</v>
      </c>
      <c r="X372" s="1012" t="s">
        <v>701</v>
      </c>
      <c r="Y372" s="539">
        <f t="shared" si="1297"/>
        <v>5360.9222981366456</v>
      </c>
      <c r="Z372" s="1012" t="s">
        <v>701</v>
      </c>
      <c r="AA372" s="1012" t="s">
        <v>701</v>
      </c>
      <c r="AB372" s="1007" t="s">
        <v>701</v>
      </c>
      <c r="AC372" s="1013" t="s">
        <v>701</v>
      </c>
      <c r="AD372" s="540"/>
      <c r="AE372" s="1008" t="s">
        <v>701</v>
      </c>
      <c r="AF372" s="1008" t="s">
        <v>701</v>
      </c>
      <c r="AG372" s="1008" t="s">
        <v>701</v>
      </c>
      <c r="AH372" s="1008" t="s">
        <v>701</v>
      </c>
      <c r="AI372" s="1008" t="s">
        <v>701</v>
      </c>
      <c r="AJ372" s="1042" t="s">
        <v>596</v>
      </c>
      <c r="AK372" s="906">
        <v>0</v>
      </c>
      <c r="AL372" s="49">
        <f t="shared" si="1287"/>
        <v>1</v>
      </c>
      <c r="AM372" s="907">
        <f t="shared" si="1288"/>
        <v>1.0526158167136324</v>
      </c>
    </row>
    <row r="373" spans="4:39" ht="11.25" customHeight="1" x14ac:dyDescent="0.25">
      <c r="D373" s="1092" t="s">
        <v>728</v>
      </c>
      <c r="E373" s="1093" t="s">
        <v>718</v>
      </c>
      <c r="F373" s="1093" t="s">
        <v>729</v>
      </c>
      <c r="G373" s="1093" t="s">
        <v>723</v>
      </c>
      <c r="H373" s="1094" t="s">
        <v>720</v>
      </c>
      <c r="I373" s="1095" t="s">
        <v>721</v>
      </c>
      <c r="J373" s="1096">
        <v>1875</v>
      </c>
      <c r="K373" s="1096">
        <v>2250</v>
      </c>
      <c r="L373" s="1096">
        <v>1500</v>
      </c>
      <c r="M373" s="1097">
        <v>1875</v>
      </c>
      <c r="N373" s="522">
        <v>1</v>
      </c>
      <c r="O373" s="523">
        <v>375</v>
      </c>
      <c r="P373" s="524" t="s">
        <v>9</v>
      </c>
      <c r="Q373" s="1018" t="s">
        <v>701</v>
      </c>
      <c r="R373" s="525" t="s">
        <v>789</v>
      </c>
      <c r="S373" s="524">
        <v>6</v>
      </c>
      <c r="T373" s="1017" t="s">
        <v>701</v>
      </c>
      <c r="U373" s="526">
        <v>0</v>
      </c>
      <c r="V373" s="524">
        <v>0</v>
      </c>
      <c r="W373" s="1010" t="s">
        <v>701</v>
      </c>
      <c r="X373" s="1015" t="s">
        <v>701</v>
      </c>
      <c r="Y373" s="527">
        <v>6258.1603726708072</v>
      </c>
      <c r="Z373" s="1010" t="s">
        <v>701</v>
      </c>
      <c r="AA373" s="1102" t="s">
        <v>701</v>
      </c>
      <c r="AB373" s="1103" t="s">
        <v>701</v>
      </c>
      <c r="AC373" s="1099"/>
      <c r="AD373" s="1100">
        <v>0</v>
      </c>
      <c r="AE373" s="1107" t="s">
        <v>701</v>
      </c>
      <c r="AF373" s="1107" t="s">
        <v>701</v>
      </c>
      <c r="AG373" s="1107" t="s">
        <v>701</v>
      </c>
      <c r="AH373" s="1108" t="s">
        <v>701</v>
      </c>
      <c r="AI373" s="1106" t="s">
        <v>701</v>
      </c>
      <c r="AJ373" s="1040" t="s">
        <v>596</v>
      </c>
      <c r="AK373" s="906">
        <v>0</v>
      </c>
      <c r="AL373" s="49">
        <f t="shared" si="1287"/>
        <v>1</v>
      </c>
      <c r="AM373" s="907">
        <f t="shared" si="1288"/>
        <v>1.0526158167136324</v>
      </c>
    </row>
    <row r="374" spans="4:39" ht="11.25" customHeight="1" x14ac:dyDescent="0.2">
      <c r="D374" s="1092"/>
      <c r="E374" s="1093"/>
      <c r="F374" s="1093"/>
      <c r="G374" s="1093"/>
      <c r="H374" s="1094"/>
      <c r="I374" s="1095"/>
      <c r="J374" s="1096"/>
      <c r="K374" s="1096"/>
      <c r="L374" s="1096"/>
      <c r="M374" s="1097"/>
      <c r="N374" s="528">
        <v>0</v>
      </c>
      <c r="O374" s="529">
        <v>0</v>
      </c>
      <c r="P374" s="529">
        <v>0</v>
      </c>
      <c r="Q374" s="1019" t="s">
        <v>701</v>
      </c>
      <c r="R374" s="528" t="s">
        <v>790</v>
      </c>
      <c r="S374" s="529">
        <v>15</v>
      </c>
      <c r="T374" s="1011" t="s">
        <v>701</v>
      </c>
      <c r="U374" s="530">
        <v>0</v>
      </c>
      <c r="V374" s="529">
        <v>0</v>
      </c>
      <c r="W374" s="1011" t="s">
        <v>701</v>
      </c>
      <c r="X374" s="1016" t="s">
        <v>701</v>
      </c>
      <c r="Y374" s="531">
        <v>0</v>
      </c>
      <c r="Z374" s="1011" t="s">
        <v>701</v>
      </c>
      <c r="AA374" s="1102"/>
      <c r="AB374" s="1103"/>
      <c r="AC374" s="1099"/>
      <c r="AD374" s="1100"/>
      <c r="AE374" s="1107"/>
      <c r="AF374" s="1107"/>
      <c r="AG374" s="1107"/>
      <c r="AH374" s="1108"/>
      <c r="AI374" s="1106"/>
      <c r="AJ374" s="1041" t="s">
        <v>596</v>
      </c>
      <c r="AK374" s="906">
        <v>0</v>
      </c>
      <c r="AL374" s="49">
        <f t="shared" si="1287"/>
        <v>1</v>
      </c>
      <c r="AM374" s="907">
        <f t="shared" si="1288"/>
        <v>1.0526158167136324</v>
      </c>
    </row>
    <row r="375" spans="4:39" ht="11.25" customHeight="1" x14ac:dyDescent="0.2">
      <c r="D375" s="1092"/>
      <c r="E375" s="1093"/>
      <c r="F375" s="1093"/>
      <c r="G375" s="1093"/>
      <c r="H375" s="1094"/>
      <c r="I375" s="1095"/>
      <c r="J375" s="1096"/>
      <c r="K375" s="1096"/>
      <c r="L375" s="1096"/>
      <c r="M375" s="1097"/>
      <c r="N375" s="528">
        <v>0</v>
      </c>
      <c r="O375" s="529">
        <v>0</v>
      </c>
      <c r="P375" s="529">
        <v>0</v>
      </c>
      <c r="Q375" s="1019" t="s">
        <v>701</v>
      </c>
      <c r="R375" s="528">
        <v>0</v>
      </c>
      <c r="S375" s="529">
        <v>0</v>
      </c>
      <c r="T375" s="1011" t="s">
        <v>701</v>
      </c>
      <c r="U375" s="530">
        <v>0</v>
      </c>
      <c r="V375" s="529">
        <v>0</v>
      </c>
      <c r="W375" s="1011" t="s">
        <v>701</v>
      </c>
      <c r="X375" s="1016" t="s">
        <v>701</v>
      </c>
      <c r="Y375" s="529">
        <v>0</v>
      </c>
      <c r="Z375" s="1011" t="s">
        <v>701</v>
      </c>
      <c r="AA375" s="1102"/>
      <c r="AB375" s="1103"/>
      <c r="AC375" s="1099"/>
      <c r="AD375" s="1100"/>
      <c r="AE375" s="1107"/>
      <c r="AF375" s="1107"/>
      <c r="AG375" s="1107"/>
      <c r="AH375" s="1108"/>
      <c r="AI375" s="1106"/>
      <c r="AJ375" s="1041" t="s">
        <v>596</v>
      </c>
      <c r="AK375" s="906">
        <v>0</v>
      </c>
      <c r="AL375" s="49">
        <f t="shared" si="1287"/>
        <v>1</v>
      </c>
      <c r="AM375" s="907">
        <f t="shared" si="1288"/>
        <v>1.0526158167136324</v>
      </c>
    </row>
    <row r="376" spans="4:39" ht="11.25" customHeight="1" x14ac:dyDescent="0.2">
      <c r="D376" s="1092"/>
      <c r="E376" s="1093"/>
      <c r="F376" s="1093"/>
      <c r="G376" s="1093"/>
      <c r="H376" s="1094"/>
      <c r="I376" s="1095"/>
      <c r="J376" s="1096"/>
      <c r="K376" s="1096"/>
      <c r="L376" s="1096"/>
      <c r="M376" s="1097"/>
      <c r="N376" s="528">
        <v>0</v>
      </c>
      <c r="O376" s="529">
        <v>0</v>
      </c>
      <c r="P376" s="529">
        <v>0</v>
      </c>
      <c r="Q376" s="1019" t="s">
        <v>701</v>
      </c>
      <c r="R376" s="528">
        <v>0</v>
      </c>
      <c r="S376" s="529">
        <v>0</v>
      </c>
      <c r="T376" s="1011" t="s">
        <v>701</v>
      </c>
      <c r="U376" s="530">
        <v>0</v>
      </c>
      <c r="V376" s="529">
        <v>0</v>
      </c>
      <c r="W376" s="1011" t="s">
        <v>701</v>
      </c>
      <c r="X376" s="1016" t="s">
        <v>701</v>
      </c>
      <c r="Y376" s="529">
        <v>0</v>
      </c>
      <c r="Z376" s="1011" t="s">
        <v>701</v>
      </c>
      <c r="AA376" s="1102"/>
      <c r="AB376" s="1103"/>
      <c r="AC376" s="1099"/>
      <c r="AD376" s="1100"/>
      <c r="AE376" s="1107"/>
      <c r="AF376" s="1107"/>
      <c r="AG376" s="1107"/>
      <c r="AH376" s="1108"/>
      <c r="AI376" s="1106"/>
      <c r="AJ376" s="1041" t="s">
        <v>596</v>
      </c>
      <c r="AK376" s="906">
        <v>0</v>
      </c>
      <c r="AL376" s="49">
        <f t="shared" si="1287"/>
        <v>1</v>
      </c>
      <c r="AM376" s="907">
        <f t="shared" si="1288"/>
        <v>1.0526158167136324</v>
      </c>
    </row>
    <row r="377" spans="4:39" ht="11.25" customHeight="1" x14ac:dyDescent="0.2">
      <c r="D377" s="1092"/>
      <c r="E377" s="1093"/>
      <c r="F377" s="1093"/>
      <c r="G377" s="1093"/>
      <c r="H377" s="1094"/>
      <c r="I377" s="1095"/>
      <c r="J377" s="1096"/>
      <c r="K377" s="1096"/>
      <c r="L377" s="1096"/>
      <c r="M377" s="1097"/>
      <c r="N377" s="528">
        <v>0</v>
      </c>
      <c r="O377" s="529">
        <v>0</v>
      </c>
      <c r="P377" s="529">
        <v>0</v>
      </c>
      <c r="Q377" s="1019" t="s">
        <v>701</v>
      </c>
      <c r="R377" s="528">
        <v>0</v>
      </c>
      <c r="S377" s="529">
        <v>0</v>
      </c>
      <c r="T377" s="1011" t="s">
        <v>701</v>
      </c>
      <c r="U377" s="530">
        <v>0</v>
      </c>
      <c r="V377" s="529">
        <v>0</v>
      </c>
      <c r="W377" s="1011" t="s">
        <v>701</v>
      </c>
      <c r="X377" s="1016" t="s">
        <v>701</v>
      </c>
      <c r="Y377" s="529">
        <v>0</v>
      </c>
      <c r="Z377" s="1011" t="s">
        <v>701</v>
      </c>
      <c r="AA377" s="1102"/>
      <c r="AB377" s="1103"/>
      <c r="AC377" s="1099"/>
      <c r="AD377" s="1100"/>
      <c r="AE377" s="1107"/>
      <c r="AF377" s="1107"/>
      <c r="AG377" s="1107"/>
      <c r="AH377" s="1108"/>
      <c r="AI377" s="1106"/>
      <c r="AJ377" s="1041" t="s">
        <v>596</v>
      </c>
      <c r="AK377" s="906">
        <v>0</v>
      </c>
      <c r="AL377" s="49">
        <f t="shared" si="1287"/>
        <v>1</v>
      </c>
      <c r="AM377" s="907">
        <f t="shared" si="1288"/>
        <v>1.0526158167136324</v>
      </c>
    </row>
    <row r="378" spans="4:39" ht="11.25" customHeight="1" x14ac:dyDescent="0.2">
      <c r="D378" s="1092"/>
      <c r="E378" s="1093"/>
      <c r="F378" s="1093"/>
      <c r="G378" s="1093"/>
      <c r="H378" s="1094"/>
      <c r="I378" s="1095"/>
      <c r="J378" s="1096"/>
      <c r="K378" s="1096"/>
      <c r="L378" s="1096"/>
      <c r="M378" s="1097"/>
      <c r="N378" s="528">
        <v>0</v>
      </c>
      <c r="O378" s="529">
        <v>0</v>
      </c>
      <c r="P378" s="529">
        <v>0</v>
      </c>
      <c r="Q378" s="1019" t="s">
        <v>701</v>
      </c>
      <c r="R378" s="528">
        <v>0</v>
      </c>
      <c r="S378" s="529">
        <v>0</v>
      </c>
      <c r="T378" s="1011" t="s">
        <v>701</v>
      </c>
      <c r="U378" s="530">
        <v>0</v>
      </c>
      <c r="V378" s="529">
        <v>0</v>
      </c>
      <c r="W378" s="1011" t="s">
        <v>701</v>
      </c>
      <c r="X378" s="1016" t="s">
        <v>701</v>
      </c>
      <c r="Y378" s="529">
        <v>0</v>
      </c>
      <c r="Z378" s="1011" t="s">
        <v>701</v>
      </c>
      <c r="AA378" s="1102"/>
      <c r="AB378" s="1103"/>
      <c r="AC378" s="1099"/>
      <c r="AD378" s="1100"/>
      <c r="AE378" s="1107"/>
      <c r="AF378" s="1107"/>
      <c r="AG378" s="1107"/>
      <c r="AH378" s="1108"/>
      <c r="AI378" s="1106"/>
      <c r="AJ378" s="1041" t="s">
        <v>596</v>
      </c>
      <c r="AK378" s="906">
        <v>0</v>
      </c>
      <c r="AL378" s="49">
        <f t="shared" si="1287"/>
        <v>1</v>
      </c>
      <c r="AM378" s="907">
        <f t="shared" si="1288"/>
        <v>1.0526158167136324</v>
      </c>
    </row>
    <row r="379" spans="4:39" ht="11.25" customHeight="1" thickBot="1" x14ac:dyDescent="0.25">
      <c r="D379" s="532" t="s">
        <v>418</v>
      </c>
      <c r="E379" s="533"/>
      <c r="F379" s="534"/>
      <c r="G379" s="535"/>
      <c r="H379" s="535"/>
      <c r="I379" s="534"/>
      <c r="J379" s="535"/>
      <c r="K379" s="535"/>
      <c r="L379" s="535"/>
      <c r="M379" s="536"/>
      <c r="N379" s="537">
        <f>SUM(N373:N378)</f>
        <v>1</v>
      </c>
      <c r="O379" s="537">
        <f t="shared" ref="O379" si="1298">SUM(O373:O378)</f>
        <v>375</v>
      </c>
      <c r="P379" s="536"/>
      <c r="Q379" s="1020" t="s">
        <v>701</v>
      </c>
      <c r="R379" s="538"/>
      <c r="S379" s="539">
        <f t="shared" ref="S379" si="1299">SUM(S373:S378)</f>
        <v>21</v>
      </c>
      <c r="T379" s="1012" t="s">
        <v>701</v>
      </c>
      <c r="U379" s="538"/>
      <c r="V379" s="539">
        <f t="shared" ref="V379:Y379" si="1300">SUM(V373:V378)</f>
        <v>0</v>
      </c>
      <c r="W379" s="1012" t="s">
        <v>701</v>
      </c>
      <c r="X379" s="1012" t="s">
        <v>701</v>
      </c>
      <c r="Y379" s="539">
        <f t="shared" si="1300"/>
        <v>6258.1603726708072</v>
      </c>
      <c r="Z379" s="1012" t="s">
        <v>701</v>
      </c>
      <c r="AA379" s="1012" t="s">
        <v>701</v>
      </c>
      <c r="AB379" s="1007" t="s">
        <v>701</v>
      </c>
      <c r="AC379" s="1013" t="s">
        <v>701</v>
      </c>
      <c r="AD379" s="540"/>
      <c r="AE379" s="1008" t="s">
        <v>701</v>
      </c>
      <c r="AF379" s="1008" t="s">
        <v>701</v>
      </c>
      <c r="AG379" s="1008" t="s">
        <v>701</v>
      </c>
      <c r="AH379" s="1008" t="s">
        <v>701</v>
      </c>
      <c r="AI379" s="1008" t="s">
        <v>701</v>
      </c>
      <c r="AJ379" s="1042" t="s">
        <v>596</v>
      </c>
      <c r="AK379" s="906">
        <v>0</v>
      </c>
      <c r="AL379" s="49">
        <f t="shared" si="1287"/>
        <v>1</v>
      </c>
      <c r="AM379" s="907">
        <f t="shared" si="1288"/>
        <v>1.0526158167136324</v>
      </c>
    </row>
    <row r="380" spans="4:39" ht="11.25" customHeight="1" x14ac:dyDescent="0.25">
      <c r="D380" s="1092"/>
      <c r="E380" s="1093"/>
      <c r="F380" s="1093"/>
      <c r="G380" s="1093"/>
      <c r="H380" s="1094"/>
      <c r="I380" s="1095"/>
      <c r="J380" s="1096"/>
      <c r="K380" s="1096"/>
      <c r="L380" s="1096"/>
      <c r="M380" s="1097"/>
      <c r="N380" s="522"/>
      <c r="O380" s="523"/>
      <c r="P380" s="524"/>
      <c r="Q380" s="1018"/>
      <c r="R380" s="525"/>
      <c r="S380" s="524"/>
      <c r="T380" s="1017"/>
      <c r="U380" s="526"/>
      <c r="V380" s="524"/>
      <c r="W380" s="1010"/>
      <c r="X380" s="1015"/>
      <c r="Y380" s="527"/>
      <c r="Z380" s="1010"/>
      <c r="AA380" s="1102"/>
      <c r="AB380" s="1103"/>
      <c r="AC380" s="1099"/>
      <c r="AD380" s="1100"/>
      <c r="AE380" s="1107"/>
      <c r="AF380" s="1107"/>
      <c r="AG380" s="1107"/>
      <c r="AH380" s="1108"/>
      <c r="AI380" s="1106"/>
      <c r="AJ380" s="1040"/>
      <c r="AK380" s="906">
        <v>0</v>
      </c>
      <c r="AL380" s="49">
        <f t="shared" si="1287"/>
        <v>1</v>
      </c>
      <c r="AM380" s="907">
        <f t="shared" si="1288"/>
        <v>1.0526158167136324</v>
      </c>
    </row>
    <row r="381" spans="4:39" ht="11.25" customHeight="1" x14ac:dyDescent="0.2">
      <c r="D381" s="1092"/>
      <c r="E381" s="1093"/>
      <c r="F381" s="1093"/>
      <c r="G381" s="1093"/>
      <c r="H381" s="1094"/>
      <c r="I381" s="1095"/>
      <c r="J381" s="1096"/>
      <c r="K381" s="1096"/>
      <c r="L381" s="1096"/>
      <c r="M381" s="1097"/>
      <c r="N381" s="528"/>
      <c r="O381" s="529"/>
      <c r="P381" s="529"/>
      <c r="Q381" s="1019"/>
      <c r="R381" s="528"/>
      <c r="S381" s="529"/>
      <c r="T381" s="1011"/>
      <c r="U381" s="530"/>
      <c r="V381" s="529"/>
      <c r="W381" s="1011"/>
      <c r="X381" s="1016"/>
      <c r="Y381" s="531"/>
      <c r="Z381" s="1011"/>
      <c r="AA381" s="1102"/>
      <c r="AB381" s="1103"/>
      <c r="AC381" s="1099"/>
      <c r="AD381" s="1100"/>
      <c r="AE381" s="1107"/>
      <c r="AF381" s="1107"/>
      <c r="AG381" s="1107"/>
      <c r="AH381" s="1108"/>
      <c r="AI381" s="1106"/>
      <c r="AJ381" s="1041"/>
      <c r="AK381" s="906">
        <v>0</v>
      </c>
      <c r="AL381" s="49">
        <f t="shared" si="1287"/>
        <v>1</v>
      </c>
      <c r="AM381" s="907">
        <f t="shared" si="1288"/>
        <v>1.0526158167136324</v>
      </c>
    </row>
    <row r="382" spans="4:39" ht="11.25" customHeight="1" x14ac:dyDescent="0.2">
      <c r="D382" s="1092"/>
      <c r="E382" s="1093"/>
      <c r="F382" s="1093"/>
      <c r="G382" s="1093"/>
      <c r="H382" s="1094"/>
      <c r="I382" s="1095"/>
      <c r="J382" s="1096"/>
      <c r="K382" s="1096"/>
      <c r="L382" s="1096"/>
      <c r="M382" s="1097"/>
      <c r="N382" s="528"/>
      <c r="O382" s="529"/>
      <c r="P382" s="529"/>
      <c r="Q382" s="1019"/>
      <c r="R382" s="528"/>
      <c r="S382" s="529"/>
      <c r="T382" s="1011"/>
      <c r="U382" s="530"/>
      <c r="V382" s="529"/>
      <c r="W382" s="1011"/>
      <c r="X382" s="1016"/>
      <c r="Y382" s="529"/>
      <c r="Z382" s="1011"/>
      <c r="AA382" s="1102"/>
      <c r="AB382" s="1103"/>
      <c r="AC382" s="1099"/>
      <c r="AD382" s="1100"/>
      <c r="AE382" s="1107"/>
      <c r="AF382" s="1107"/>
      <c r="AG382" s="1107"/>
      <c r="AH382" s="1108"/>
      <c r="AI382" s="1106"/>
      <c r="AJ382" s="1041"/>
      <c r="AK382" s="906">
        <v>0</v>
      </c>
      <c r="AL382" s="49">
        <f t="shared" si="1287"/>
        <v>1</v>
      </c>
      <c r="AM382" s="907">
        <f t="shared" si="1288"/>
        <v>1.0526158167136324</v>
      </c>
    </row>
    <row r="383" spans="4:39" ht="11.25" customHeight="1" x14ac:dyDescent="0.2">
      <c r="D383" s="1092"/>
      <c r="E383" s="1093"/>
      <c r="F383" s="1093"/>
      <c r="G383" s="1093"/>
      <c r="H383" s="1094"/>
      <c r="I383" s="1095"/>
      <c r="J383" s="1096"/>
      <c r="K383" s="1096"/>
      <c r="L383" s="1096"/>
      <c r="M383" s="1097"/>
      <c r="N383" s="528"/>
      <c r="O383" s="529"/>
      <c r="P383" s="529"/>
      <c r="Q383" s="1019"/>
      <c r="R383" s="528"/>
      <c r="S383" s="529"/>
      <c r="T383" s="1011"/>
      <c r="U383" s="530"/>
      <c r="V383" s="529"/>
      <c r="W383" s="1011"/>
      <c r="X383" s="1016"/>
      <c r="Y383" s="529"/>
      <c r="Z383" s="1011"/>
      <c r="AA383" s="1102"/>
      <c r="AB383" s="1103"/>
      <c r="AC383" s="1099"/>
      <c r="AD383" s="1100"/>
      <c r="AE383" s="1107"/>
      <c r="AF383" s="1107"/>
      <c r="AG383" s="1107"/>
      <c r="AH383" s="1108"/>
      <c r="AI383" s="1106"/>
      <c r="AJ383" s="1041"/>
      <c r="AK383" s="906">
        <v>0</v>
      </c>
      <c r="AL383" s="49">
        <f t="shared" si="1287"/>
        <v>1</v>
      </c>
      <c r="AM383" s="907">
        <f t="shared" si="1288"/>
        <v>1.0526158167136324</v>
      </c>
    </row>
    <row r="384" spans="4:39" ht="11.25" customHeight="1" x14ac:dyDescent="0.2">
      <c r="D384" s="1092"/>
      <c r="E384" s="1093"/>
      <c r="F384" s="1093"/>
      <c r="G384" s="1093"/>
      <c r="H384" s="1094"/>
      <c r="I384" s="1095"/>
      <c r="J384" s="1096"/>
      <c r="K384" s="1096"/>
      <c r="L384" s="1096"/>
      <c r="M384" s="1097"/>
      <c r="N384" s="528"/>
      <c r="O384" s="529"/>
      <c r="P384" s="529"/>
      <c r="Q384" s="1019"/>
      <c r="R384" s="528"/>
      <c r="S384" s="529"/>
      <c r="T384" s="1011"/>
      <c r="U384" s="530"/>
      <c r="V384" s="529"/>
      <c r="W384" s="1011"/>
      <c r="X384" s="1016"/>
      <c r="Y384" s="529"/>
      <c r="Z384" s="1011"/>
      <c r="AA384" s="1102"/>
      <c r="AB384" s="1103"/>
      <c r="AC384" s="1099"/>
      <c r="AD384" s="1100"/>
      <c r="AE384" s="1107"/>
      <c r="AF384" s="1107"/>
      <c r="AG384" s="1107"/>
      <c r="AH384" s="1108"/>
      <c r="AI384" s="1106"/>
      <c r="AJ384" s="1041"/>
      <c r="AK384" s="906">
        <v>0</v>
      </c>
      <c r="AL384" s="49">
        <f t="shared" si="1287"/>
        <v>1</v>
      </c>
      <c r="AM384" s="907">
        <f t="shared" si="1288"/>
        <v>1.0526158167136324</v>
      </c>
    </row>
    <row r="385" spans="4:39" ht="11.25" customHeight="1" x14ac:dyDescent="0.2">
      <c r="D385" s="1092"/>
      <c r="E385" s="1093"/>
      <c r="F385" s="1093"/>
      <c r="G385" s="1093"/>
      <c r="H385" s="1094"/>
      <c r="I385" s="1095"/>
      <c r="J385" s="1096"/>
      <c r="K385" s="1096"/>
      <c r="L385" s="1096"/>
      <c r="M385" s="1097"/>
      <c r="N385" s="528"/>
      <c r="O385" s="529"/>
      <c r="P385" s="529"/>
      <c r="Q385" s="1019"/>
      <c r="R385" s="528"/>
      <c r="S385" s="529"/>
      <c r="T385" s="1011"/>
      <c r="U385" s="530"/>
      <c r="V385" s="529"/>
      <c r="W385" s="1011"/>
      <c r="X385" s="1016"/>
      <c r="Y385" s="529"/>
      <c r="Z385" s="1011"/>
      <c r="AA385" s="1102"/>
      <c r="AB385" s="1103"/>
      <c r="AC385" s="1099"/>
      <c r="AD385" s="1100"/>
      <c r="AE385" s="1107"/>
      <c r="AF385" s="1107"/>
      <c r="AG385" s="1107"/>
      <c r="AH385" s="1108"/>
      <c r="AI385" s="1106"/>
      <c r="AJ385" s="1041"/>
      <c r="AK385" s="906">
        <v>0</v>
      </c>
      <c r="AL385" s="49">
        <f t="shared" si="1287"/>
        <v>1</v>
      </c>
      <c r="AM385" s="907">
        <f t="shared" si="1288"/>
        <v>1.0526158167136324</v>
      </c>
    </row>
    <row r="386" spans="4:39" ht="11.25" customHeight="1" thickBot="1" x14ac:dyDescent="0.25">
      <c r="D386" s="532" t="s">
        <v>418</v>
      </c>
      <c r="E386" s="533"/>
      <c r="F386" s="534"/>
      <c r="G386" s="535"/>
      <c r="H386" s="535"/>
      <c r="I386" s="534"/>
      <c r="J386" s="535"/>
      <c r="K386" s="535"/>
      <c r="L386" s="535"/>
      <c r="M386" s="536"/>
      <c r="N386" s="537">
        <f>SUM(N380:N385)</f>
        <v>0</v>
      </c>
      <c r="O386" s="537">
        <f t="shared" ref="O386" si="1301">SUM(O380:O385)</f>
        <v>0</v>
      </c>
      <c r="P386" s="536"/>
      <c r="Q386" s="1020" t="s">
        <v>701</v>
      </c>
      <c r="R386" s="538"/>
      <c r="S386" s="539">
        <f t="shared" ref="S386" si="1302">SUM(S380:S385)</f>
        <v>0</v>
      </c>
      <c r="T386" s="1012" t="s">
        <v>701</v>
      </c>
      <c r="U386" s="538"/>
      <c r="V386" s="539">
        <f t="shared" ref="V386:Y386" si="1303">SUM(V380:V385)</f>
        <v>0</v>
      </c>
      <c r="W386" s="1012" t="s">
        <v>701</v>
      </c>
      <c r="X386" s="1012" t="s">
        <v>701</v>
      </c>
      <c r="Y386" s="539">
        <f t="shared" si="1303"/>
        <v>0</v>
      </c>
      <c r="Z386" s="1012" t="s">
        <v>701</v>
      </c>
      <c r="AA386" s="1012" t="s">
        <v>701</v>
      </c>
      <c r="AB386" s="1007" t="s">
        <v>701</v>
      </c>
      <c r="AC386" s="1013" t="s">
        <v>701</v>
      </c>
      <c r="AD386" s="540"/>
      <c r="AE386" s="1008" t="s">
        <v>701</v>
      </c>
      <c r="AF386" s="1008" t="s">
        <v>701</v>
      </c>
      <c r="AG386" s="1008" t="s">
        <v>701</v>
      </c>
      <c r="AH386" s="1008" t="s">
        <v>701</v>
      </c>
      <c r="AI386" s="1008" t="s">
        <v>701</v>
      </c>
      <c r="AJ386" s="1042"/>
      <c r="AK386" s="906">
        <v>0</v>
      </c>
      <c r="AL386" s="49">
        <f t="shared" si="1287"/>
        <v>1</v>
      </c>
      <c r="AM386" s="907">
        <f t="shared" si="1288"/>
        <v>1.0526158167136324</v>
      </c>
    </row>
    <row r="387" spans="4:39" ht="11.25" customHeight="1" x14ac:dyDescent="0.25">
      <c r="D387" s="1092" t="s">
        <v>732</v>
      </c>
      <c r="E387" s="1093" t="s">
        <v>733</v>
      </c>
      <c r="F387" s="1093">
        <v>2145</v>
      </c>
      <c r="G387" s="1093" t="s">
        <v>730</v>
      </c>
      <c r="H387" s="1094" t="s">
        <v>731</v>
      </c>
      <c r="I387" s="1095">
        <v>330</v>
      </c>
      <c r="J387" s="1096" t="s">
        <v>34</v>
      </c>
      <c r="K387" s="1096" t="s">
        <v>34</v>
      </c>
      <c r="L387" s="1096" t="s">
        <v>34</v>
      </c>
      <c r="M387" s="1097" t="s">
        <v>34</v>
      </c>
      <c r="N387" s="522">
        <v>0</v>
      </c>
      <c r="O387" s="523">
        <v>0</v>
      </c>
      <c r="P387" s="524">
        <v>0</v>
      </c>
      <c r="Q387" s="1018" t="s">
        <v>701</v>
      </c>
      <c r="R387" s="525" t="s">
        <v>789</v>
      </c>
      <c r="S387" s="524">
        <v>1</v>
      </c>
      <c r="T387" s="1017" t="s">
        <v>701</v>
      </c>
      <c r="U387" s="526" t="s">
        <v>778</v>
      </c>
      <c r="V387" s="524">
        <v>1</v>
      </c>
      <c r="W387" s="1010" t="s">
        <v>701</v>
      </c>
      <c r="X387" s="1015" t="s">
        <v>701</v>
      </c>
      <c r="Y387" s="527">
        <v>2339.8208695652174</v>
      </c>
      <c r="Z387" s="1010" t="s">
        <v>701</v>
      </c>
      <c r="AA387" s="1102" t="s">
        <v>701</v>
      </c>
      <c r="AB387" s="1103" t="s">
        <v>701</v>
      </c>
      <c r="AC387" s="1099"/>
      <c r="AD387" s="1100">
        <v>0</v>
      </c>
      <c r="AE387" s="1107" t="s">
        <v>701</v>
      </c>
      <c r="AF387" s="1107" t="s">
        <v>701</v>
      </c>
      <c r="AG387" s="1107" t="s">
        <v>701</v>
      </c>
      <c r="AH387" s="1108" t="s">
        <v>701</v>
      </c>
      <c r="AI387" s="1106" t="s">
        <v>701</v>
      </c>
      <c r="AJ387" s="1040" t="s">
        <v>596</v>
      </c>
      <c r="AK387" s="906">
        <v>0</v>
      </c>
      <c r="AL387" s="49">
        <f t="shared" si="1287"/>
        <v>1</v>
      </c>
      <c r="AM387" s="907">
        <f t="shared" si="1288"/>
        <v>1.0526158167136324</v>
      </c>
    </row>
    <row r="388" spans="4:39" ht="11.25" customHeight="1" x14ac:dyDescent="0.2">
      <c r="D388" s="1092"/>
      <c r="E388" s="1093"/>
      <c r="F388" s="1093"/>
      <c r="G388" s="1093"/>
      <c r="H388" s="1094"/>
      <c r="I388" s="1095"/>
      <c r="J388" s="1096"/>
      <c r="K388" s="1096"/>
      <c r="L388" s="1096"/>
      <c r="M388" s="1097"/>
      <c r="N388" s="528">
        <v>0</v>
      </c>
      <c r="O388" s="529">
        <v>0</v>
      </c>
      <c r="P388" s="529">
        <v>0</v>
      </c>
      <c r="Q388" s="1019" t="s">
        <v>701</v>
      </c>
      <c r="R388" s="528" t="s">
        <v>790</v>
      </c>
      <c r="S388" s="529">
        <v>4</v>
      </c>
      <c r="T388" s="1011" t="s">
        <v>701</v>
      </c>
      <c r="U388" s="530">
        <v>0</v>
      </c>
      <c r="V388" s="529">
        <v>0</v>
      </c>
      <c r="W388" s="1011" t="s">
        <v>701</v>
      </c>
      <c r="X388" s="1016" t="s">
        <v>701</v>
      </c>
      <c r="Y388" s="531">
        <v>0</v>
      </c>
      <c r="Z388" s="1011" t="s">
        <v>701</v>
      </c>
      <c r="AA388" s="1102"/>
      <c r="AB388" s="1103"/>
      <c r="AC388" s="1099"/>
      <c r="AD388" s="1100"/>
      <c r="AE388" s="1107"/>
      <c r="AF388" s="1107"/>
      <c r="AG388" s="1107"/>
      <c r="AH388" s="1108"/>
      <c r="AI388" s="1106"/>
      <c r="AJ388" s="1041" t="s">
        <v>596</v>
      </c>
      <c r="AK388" s="906">
        <v>0</v>
      </c>
      <c r="AL388" s="49">
        <f t="shared" si="1287"/>
        <v>1</v>
      </c>
      <c r="AM388" s="907">
        <f t="shared" si="1288"/>
        <v>1.0526158167136324</v>
      </c>
    </row>
    <row r="389" spans="4:39" ht="11.25" customHeight="1" x14ac:dyDescent="0.2">
      <c r="D389" s="1092"/>
      <c r="E389" s="1093"/>
      <c r="F389" s="1093"/>
      <c r="G389" s="1093"/>
      <c r="H389" s="1094"/>
      <c r="I389" s="1095"/>
      <c r="J389" s="1096"/>
      <c r="K389" s="1096"/>
      <c r="L389" s="1096"/>
      <c r="M389" s="1097"/>
      <c r="N389" s="528">
        <v>0</v>
      </c>
      <c r="O389" s="529">
        <v>0</v>
      </c>
      <c r="P389" s="529">
        <v>0</v>
      </c>
      <c r="Q389" s="1019" t="s">
        <v>701</v>
      </c>
      <c r="R389" s="528">
        <v>0</v>
      </c>
      <c r="S389" s="529">
        <v>0</v>
      </c>
      <c r="T389" s="1011" t="s">
        <v>701</v>
      </c>
      <c r="U389" s="530">
        <v>0</v>
      </c>
      <c r="V389" s="529">
        <v>0</v>
      </c>
      <c r="W389" s="1011" t="s">
        <v>701</v>
      </c>
      <c r="X389" s="1016" t="s">
        <v>701</v>
      </c>
      <c r="Y389" s="529">
        <v>0</v>
      </c>
      <c r="Z389" s="1011" t="s">
        <v>701</v>
      </c>
      <c r="AA389" s="1102"/>
      <c r="AB389" s="1103"/>
      <c r="AC389" s="1099"/>
      <c r="AD389" s="1100"/>
      <c r="AE389" s="1107"/>
      <c r="AF389" s="1107"/>
      <c r="AG389" s="1107"/>
      <c r="AH389" s="1108"/>
      <c r="AI389" s="1106"/>
      <c r="AJ389" s="1041" t="s">
        <v>596</v>
      </c>
      <c r="AK389" s="906">
        <v>0</v>
      </c>
      <c r="AL389" s="49">
        <f t="shared" si="1287"/>
        <v>1</v>
      </c>
      <c r="AM389" s="907">
        <f t="shared" si="1288"/>
        <v>1.0526158167136324</v>
      </c>
    </row>
    <row r="390" spans="4:39" ht="11.25" customHeight="1" x14ac:dyDescent="0.2">
      <c r="D390" s="1092"/>
      <c r="E390" s="1093"/>
      <c r="F390" s="1093"/>
      <c r="G390" s="1093"/>
      <c r="H390" s="1094"/>
      <c r="I390" s="1095"/>
      <c r="J390" s="1096"/>
      <c r="K390" s="1096"/>
      <c r="L390" s="1096"/>
      <c r="M390" s="1097"/>
      <c r="N390" s="528">
        <v>0</v>
      </c>
      <c r="O390" s="529">
        <v>0</v>
      </c>
      <c r="P390" s="529">
        <v>0</v>
      </c>
      <c r="Q390" s="1019" t="s">
        <v>701</v>
      </c>
      <c r="R390" s="528">
        <v>0</v>
      </c>
      <c r="S390" s="529">
        <v>0</v>
      </c>
      <c r="T390" s="1011" t="s">
        <v>701</v>
      </c>
      <c r="U390" s="530">
        <v>0</v>
      </c>
      <c r="V390" s="529">
        <v>0</v>
      </c>
      <c r="W390" s="1011" t="s">
        <v>701</v>
      </c>
      <c r="X390" s="1016" t="s">
        <v>701</v>
      </c>
      <c r="Y390" s="529">
        <v>0</v>
      </c>
      <c r="Z390" s="1011" t="s">
        <v>701</v>
      </c>
      <c r="AA390" s="1102"/>
      <c r="AB390" s="1103"/>
      <c r="AC390" s="1099"/>
      <c r="AD390" s="1100"/>
      <c r="AE390" s="1107"/>
      <c r="AF390" s="1107"/>
      <c r="AG390" s="1107"/>
      <c r="AH390" s="1108"/>
      <c r="AI390" s="1106"/>
      <c r="AJ390" s="1041" t="s">
        <v>596</v>
      </c>
      <c r="AK390" s="906">
        <v>0</v>
      </c>
      <c r="AL390" s="49">
        <f t="shared" si="1287"/>
        <v>1</v>
      </c>
      <c r="AM390" s="907">
        <f t="shared" si="1288"/>
        <v>1.0526158167136324</v>
      </c>
    </row>
    <row r="391" spans="4:39" ht="11.25" customHeight="1" x14ac:dyDescent="0.2">
      <c r="D391" s="1092"/>
      <c r="E391" s="1093"/>
      <c r="F391" s="1093"/>
      <c r="G391" s="1093"/>
      <c r="H391" s="1094"/>
      <c r="I391" s="1095"/>
      <c r="J391" s="1096"/>
      <c r="K391" s="1096"/>
      <c r="L391" s="1096"/>
      <c r="M391" s="1097"/>
      <c r="N391" s="528">
        <v>0</v>
      </c>
      <c r="O391" s="529">
        <v>0</v>
      </c>
      <c r="P391" s="529">
        <v>0</v>
      </c>
      <c r="Q391" s="1019" t="s">
        <v>701</v>
      </c>
      <c r="R391" s="528">
        <v>0</v>
      </c>
      <c r="S391" s="529">
        <v>0</v>
      </c>
      <c r="T391" s="1011" t="s">
        <v>701</v>
      </c>
      <c r="U391" s="530">
        <v>0</v>
      </c>
      <c r="V391" s="529">
        <v>0</v>
      </c>
      <c r="W391" s="1011" t="s">
        <v>701</v>
      </c>
      <c r="X391" s="1016" t="s">
        <v>701</v>
      </c>
      <c r="Y391" s="529">
        <v>0</v>
      </c>
      <c r="Z391" s="1011" t="s">
        <v>701</v>
      </c>
      <c r="AA391" s="1102"/>
      <c r="AB391" s="1103"/>
      <c r="AC391" s="1099"/>
      <c r="AD391" s="1100"/>
      <c r="AE391" s="1107"/>
      <c r="AF391" s="1107"/>
      <c r="AG391" s="1107"/>
      <c r="AH391" s="1108"/>
      <c r="AI391" s="1106"/>
      <c r="AJ391" s="1041" t="s">
        <v>596</v>
      </c>
      <c r="AK391" s="906">
        <v>0</v>
      </c>
      <c r="AL391" s="49">
        <f t="shared" si="1287"/>
        <v>1</v>
      </c>
      <c r="AM391" s="907">
        <f t="shared" si="1288"/>
        <v>1.0526158167136324</v>
      </c>
    </row>
    <row r="392" spans="4:39" ht="11.25" customHeight="1" x14ac:dyDescent="0.2">
      <c r="D392" s="1092"/>
      <c r="E392" s="1093"/>
      <c r="F392" s="1093"/>
      <c r="G392" s="1093"/>
      <c r="H392" s="1094"/>
      <c r="I392" s="1095"/>
      <c r="J392" s="1096"/>
      <c r="K392" s="1096"/>
      <c r="L392" s="1096"/>
      <c r="M392" s="1097"/>
      <c r="N392" s="528">
        <v>0</v>
      </c>
      <c r="O392" s="529">
        <v>0</v>
      </c>
      <c r="P392" s="529">
        <v>0</v>
      </c>
      <c r="Q392" s="1019" t="s">
        <v>701</v>
      </c>
      <c r="R392" s="528">
        <v>0</v>
      </c>
      <c r="S392" s="529">
        <v>0</v>
      </c>
      <c r="T392" s="1011" t="s">
        <v>701</v>
      </c>
      <c r="U392" s="530">
        <v>0</v>
      </c>
      <c r="V392" s="529">
        <v>0</v>
      </c>
      <c r="W392" s="1011" t="s">
        <v>701</v>
      </c>
      <c r="X392" s="1016" t="s">
        <v>701</v>
      </c>
      <c r="Y392" s="529">
        <v>0</v>
      </c>
      <c r="Z392" s="1011" t="s">
        <v>701</v>
      </c>
      <c r="AA392" s="1102"/>
      <c r="AB392" s="1103"/>
      <c r="AC392" s="1099"/>
      <c r="AD392" s="1100"/>
      <c r="AE392" s="1107"/>
      <c r="AF392" s="1107"/>
      <c r="AG392" s="1107"/>
      <c r="AH392" s="1108"/>
      <c r="AI392" s="1106"/>
      <c r="AJ392" s="1041" t="s">
        <v>596</v>
      </c>
      <c r="AK392" s="906">
        <v>0</v>
      </c>
      <c r="AL392" s="49">
        <f t="shared" si="1287"/>
        <v>1</v>
      </c>
      <c r="AM392" s="907">
        <f t="shared" si="1288"/>
        <v>1.0526158167136324</v>
      </c>
    </row>
    <row r="393" spans="4:39" ht="11.25" customHeight="1" thickBot="1" x14ac:dyDescent="0.25">
      <c r="D393" s="532" t="s">
        <v>418</v>
      </c>
      <c r="E393" s="533"/>
      <c r="F393" s="534"/>
      <c r="G393" s="535"/>
      <c r="H393" s="535"/>
      <c r="I393" s="534"/>
      <c r="J393" s="535"/>
      <c r="K393" s="535"/>
      <c r="L393" s="535"/>
      <c r="M393" s="536"/>
      <c r="N393" s="537">
        <f>SUM(N387:N392)</f>
        <v>0</v>
      </c>
      <c r="O393" s="537">
        <f t="shared" ref="O393" si="1304">SUM(O387:O392)</f>
        <v>0</v>
      </c>
      <c r="P393" s="536"/>
      <c r="Q393" s="1020" t="s">
        <v>701</v>
      </c>
      <c r="R393" s="538"/>
      <c r="S393" s="539">
        <f t="shared" ref="S393" si="1305">SUM(S387:S392)</f>
        <v>5</v>
      </c>
      <c r="T393" s="1012" t="s">
        <v>701</v>
      </c>
      <c r="U393" s="538"/>
      <c r="V393" s="539">
        <f t="shared" ref="V393:Y393" si="1306">SUM(V387:V392)</f>
        <v>1</v>
      </c>
      <c r="W393" s="1012" t="s">
        <v>701</v>
      </c>
      <c r="X393" s="1012" t="s">
        <v>701</v>
      </c>
      <c r="Y393" s="539">
        <f t="shared" si="1306"/>
        <v>2339.8208695652174</v>
      </c>
      <c r="Z393" s="1012" t="s">
        <v>701</v>
      </c>
      <c r="AA393" s="1012" t="s">
        <v>701</v>
      </c>
      <c r="AB393" s="1007" t="s">
        <v>701</v>
      </c>
      <c r="AC393" s="1013" t="s">
        <v>701</v>
      </c>
      <c r="AD393" s="540"/>
      <c r="AE393" s="1008" t="s">
        <v>701</v>
      </c>
      <c r="AF393" s="1008" t="s">
        <v>701</v>
      </c>
      <c r="AG393" s="1008" t="s">
        <v>701</v>
      </c>
      <c r="AH393" s="1008" t="s">
        <v>701</v>
      </c>
      <c r="AI393" s="1008" t="s">
        <v>701</v>
      </c>
      <c r="AJ393" s="1042" t="s">
        <v>596</v>
      </c>
      <c r="AK393" s="906">
        <v>0</v>
      </c>
      <c r="AL393" s="49">
        <f t="shared" si="1287"/>
        <v>1</v>
      </c>
      <c r="AM393" s="907">
        <f t="shared" si="1288"/>
        <v>1.0526158167136324</v>
      </c>
    </row>
    <row r="394" spans="4:39" ht="11.25" customHeight="1" x14ac:dyDescent="0.25">
      <c r="D394" s="1092" t="s">
        <v>734</v>
      </c>
      <c r="E394" s="1093" t="s">
        <v>718</v>
      </c>
      <c r="F394" s="1093">
        <v>2145</v>
      </c>
      <c r="G394" s="1093" t="s">
        <v>730</v>
      </c>
      <c r="H394" s="1094" t="s">
        <v>731</v>
      </c>
      <c r="I394" s="1095" t="s">
        <v>721</v>
      </c>
      <c r="J394" s="1096">
        <v>960</v>
      </c>
      <c r="K394" s="1096">
        <v>960</v>
      </c>
      <c r="L394" s="1096">
        <v>680</v>
      </c>
      <c r="M394" s="1097">
        <v>680</v>
      </c>
      <c r="N394" s="522">
        <v>0</v>
      </c>
      <c r="O394" s="523">
        <v>0</v>
      </c>
      <c r="P394" s="524">
        <v>0</v>
      </c>
      <c r="Q394" s="1018" t="s">
        <v>701</v>
      </c>
      <c r="R394" s="525" t="s">
        <v>789</v>
      </c>
      <c r="S394" s="524">
        <v>2</v>
      </c>
      <c r="T394" s="1017" t="s">
        <v>701</v>
      </c>
      <c r="U394" s="526" t="s">
        <v>779</v>
      </c>
      <c r="V394" s="524">
        <v>2</v>
      </c>
      <c r="W394" s="1010" t="s">
        <v>701</v>
      </c>
      <c r="X394" s="1015" t="s">
        <v>701</v>
      </c>
      <c r="Y394" s="527">
        <v>2609.13900621118</v>
      </c>
      <c r="Z394" s="1010" t="s">
        <v>701</v>
      </c>
      <c r="AA394" s="1102" t="s">
        <v>701</v>
      </c>
      <c r="AB394" s="1103" t="s">
        <v>701</v>
      </c>
      <c r="AC394" s="1099"/>
      <c r="AD394" s="1100">
        <v>0</v>
      </c>
      <c r="AE394" s="1107" t="s">
        <v>701</v>
      </c>
      <c r="AF394" s="1107" t="s">
        <v>701</v>
      </c>
      <c r="AG394" s="1107" t="s">
        <v>701</v>
      </c>
      <c r="AH394" s="1108" t="s">
        <v>701</v>
      </c>
      <c r="AI394" s="1106" t="s">
        <v>701</v>
      </c>
      <c r="AJ394" s="1040" t="s">
        <v>596</v>
      </c>
      <c r="AK394" s="906">
        <v>0</v>
      </c>
      <c r="AL394" s="49">
        <f t="shared" si="1287"/>
        <v>1</v>
      </c>
      <c r="AM394" s="907">
        <f t="shared" si="1288"/>
        <v>1.0526158167136324</v>
      </c>
    </row>
    <row r="395" spans="4:39" ht="11.25" customHeight="1" x14ac:dyDescent="0.2">
      <c r="D395" s="1092"/>
      <c r="E395" s="1093"/>
      <c r="F395" s="1093"/>
      <c r="G395" s="1093"/>
      <c r="H395" s="1094"/>
      <c r="I395" s="1095"/>
      <c r="J395" s="1096"/>
      <c r="K395" s="1096"/>
      <c r="L395" s="1096"/>
      <c r="M395" s="1097"/>
      <c r="N395" s="528">
        <v>0</v>
      </c>
      <c r="O395" s="529">
        <v>0</v>
      </c>
      <c r="P395" s="529">
        <v>0</v>
      </c>
      <c r="Q395" s="1019" t="s">
        <v>701</v>
      </c>
      <c r="R395" s="528" t="s">
        <v>790</v>
      </c>
      <c r="S395" s="529">
        <v>8</v>
      </c>
      <c r="T395" s="1011" t="s">
        <v>701</v>
      </c>
      <c r="U395" s="530">
        <v>0</v>
      </c>
      <c r="V395" s="529">
        <v>0</v>
      </c>
      <c r="W395" s="1011" t="s">
        <v>701</v>
      </c>
      <c r="X395" s="1016" t="s">
        <v>701</v>
      </c>
      <c r="Y395" s="531">
        <v>0</v>
      </c>
      <c r="Z395" s="1011" t="s">
        <v>701</v>
      </c>
      <c r="AA395" s="1102"/>
      <c r="AB395" s="1103"/>
      <c r="AC395" s="1099"/>
      <c r="AD395" s="1100"/>
      <c r="AE395" s="1107"/>
      <c r="AF395" s="1107"/>
      <c r="AG395" s="1107"/>
      <c r="AH395" s="1108"/>
      <c r="AI395" s="1106"/>
      <c r="AJ395" s="1041" t="s">
        <v>596</v>
      </c>
      <c r="AK395" s="906">
        <v>0</v>
      </c>
      <c r="AL395" s="49">
        <f t="shared" si="1287"/>
        <v>1</v>
      </c>
      <c r="AM395" s="907">
        <f t="shared" si="1288"/>
        <v>1.0526158167136324</v>
      </c>
    </row>
    <row r="396" spans="4:39" ht="11.25" customHeight="1" x14ac:dyDescent="0.2">
      <c r="D396" s="1092"/>
      <c r="E396" s="1093"/>
      <c r="F396" s="1093"/>
      <c r="G396" s="1093"/>
      <c r="H396" s="1094"/>
      <c r="I396" s="1095"/>
      <c r="J396" s="1096"/>
      <c r="K396" s="1096"/>
      <c r="L396" s="1096"/>
      <c r="M396" s="1097"/>
      <c r="N396" s="528">
        <v>0</v>
      </c>
      <c r="O396" s="529">
        <v>0</v>
      </c>
      <c r="P396" s="529">
        <v>0</v>
      </c>
      <c r="Q396" s="1019" t="s">
        <v>701</v>
      </c>
      <c r="R396" s="528">
        <v>0</v>
      </c>
      <c r="S396" s="529">
        <v>0</v>
      </c>
      <c r="T396" s="1011" t="s">
        <v>701</v>
      </c>
      <c r="U396" s="530">
        <v>0</v>
      </c>
      <c r="V396" s="529">
        <v>0</v>
      </c>
      <c r="W396" s="1011" t="s">
        <v>701</v>
      </c>
      <c r="X396" s="1016" t="s">
        <v>701</v>
      </c>
      <c r="Y396" s="529">
        <v>0</v>
      </c>
      <c r="Z396" s="1011" t="s">
        <v>701</v>
      </c>
      <c r="AA396" s="1102"/>
      <c r="AB396" s="1103"/>
      <c r="AC396" s="1099"/>
      <c r="AD396" s="1100"/>
      <c r="AE396" s="1107"/>
      <c r="AF396" s="1107"/>
      <c r="AG396" s="1107"/>
      <c r="AH396" s="1108"/>
      <c r="AI396" s="1106"/>
      <c r="AJ396" s="1041" t="s">
        <v>596</v>
      </c>
      <c r="AK396" s="906">
        <v>0</v>
      </c>
      <c r="AL396" s="49">
        <f t="shared" si="1287"/>
        <v>1</v>
      </c>
      <c r="AM396" s="907">
        <f t="shared" si="1288"/>
        <v>1.0526158167136324</v>
      </c>
    </row>
    <row r="397" spans="4:39" ht="11.25" customHeight="1" x14ac:dyDescent="0.2">
      <c r="D397" s="1092"/>
      <c r="E397" s="1093"/>
      <c r="F397" s="1093"/>
      <c r="G397" s="1093"/>
      <c r="H397" s="1094"/>
      <c r="I397" s="1095"/>
      <c r="J397" s="1096"/>
      <c r="K397" s="1096"/>
      <c r="L397" s="1096"/>
      <c r="M397" s="1097"/>
      <c r="N397" s="528">
        <v>0</v>
      </c>
      <c r="O397" s="529">
        <v>0</v>
      </c>
      <c r="P397" s="529">
        <v>0</v>
      </c>
      <c r="Q397" s="1019" t="s">
        <v>701</v>
      </c>
      <c r="R397" s="528">
        <v>0</v>
      </c>
      <c r="S397" s="529">
        <v>0</v>
      </c>
      <c r="T397" s="1011" t="s">
        <v>701</v>
      </c>
      <c r="U397" s="530">
        <v>0</v>
      </c>
      <c r="V397" s="529">
        <v>0</v>
      </c>
      <c r="W397" s="1011" t="s">
        <v>701</v>
      </c>
      <c r="X397" s="1016" t="s">
        <v>701</v>
      </c>
      <c r="Y397" s="529">
        <v>0</v>
      </c>
      <c r="Z397" s="1011" t="s">
        <v>701</v>
      </c>
      <c r="AA397" s="1102"/>
      <c r="AB397" s="1103"/>
      <c r="AC397" s="1099"/>
      <c r="AD397" s="1100"/>
      <c r="AE397" s="1107"/>
      <c r="AF397" s="1107"/>
      <c r="AG397" s="1107"/>
      <c r="AH397" s="1108"/>
      <c r="AI397" s="1106"/>
      <c r="AJ397" s="1041" t="s">
        <v>596</v>
      </c>
      <c r="AK397" s="906">
        <v>0</v>
      </c>
      <c r="AL397" s="49">
        <f t="shared" si="1287"/>
        <v>1</v>
      </c>
      <c r="AM397" s="907">
        <f t="shared" si="1288"/>
        <v>1.0526158167136324</v>
      </c>
    </row>
    <row r="398" spans="4:39" ht="11.25" customHeight="1" x14ac:dyDescent="0.2">
      <c r="D398" s="1092"/>
      <c r="E398" s="1093"/>
      <c r="F398" s="1093"/>
      <c r="G398" s="1093"/>
      <c r="H398" s="1094"/>
      <c r="I398" s="1095"/>
      <c r="J398" s="1096"/>
      <c r="K398" s="1096"/>
      <c r="L398" s="1096"/>
      <c r="M398" s="1097"/>
      <c r="N398" s="528">
        <v>0</v>
      </c>
      <c r="O398" s="529">
        <v>0</v>
      </c>
      <c r="P398" s="529">
        <v>0</v>
      </c>
      <c r="Q398" s="1019" t="s">
        <v>701</v>
      </c>
      <c r="R398" s="528">
        <v>0</v>
      </c>
      <c r="S398" s="529">
        <v>0</v>
      </c>
      <c r="T398" s="1011" t="s">
        <v>701</v>
      </c>
      <c r="U398" s="530">
        <v>0</v>
      </c>
      <c r="V398" s="529">
        <v>0</v>
      </c>
      <c r="W398" s="1011" t="s">
        <v>701</v>
      </c>
      <c r="X398" s="1016" t="s">
        <v>701</v>
      </c>
      <c r="Y398" s="529">
        <v>0</v>
      </c>
      <c r="Z398" s="1011" t="s">
        <v>701</v>
      </c>
      <c r="AA398" s="1102"/>
      <c r="AB398" s="1103"/>
      <c r="AC398" s="1099"/>
      <c r="AD398" s="1100"/>
      <c r="AE398" s="1107"/>
      <c r="AF398" s="1107"/>
      <c r="AG398" s="1107"/>
      <c r="AH398" s="1108"/>
      <c r="AI398" s="1106"/>
      <c r="AJ398" s="1041" t="s">
        <v>596</v>
      </c>
      <c r="AK398" s="906">
        <v>0</v>
      </c>
      <c r="AL398" s="49">
        <f t="shared" si="1287"/>
        <v>1</v>
      </c>
      <c r="AM398" s="907">
        <f t="shared" si="1288"/>
        <v>1.0526158167136324</v>
      </c>
    </row>
    <row r="399" spans="4:39" ht="11.25" customHeight="1" x14ac:dyDescent="0.2">
      <c r="D399" s="1092"/>
      <c r="E399" s="1093"/>
      <c r="F399" s="1093"/>
      <c r="G399" s="1093"/>
      <c r="H399" s="1094"/>
      <c r="I399" s="1095"/>
      <c r="J399" s="1096"/>
      <c r="K399" s="1096"/>
      <c r="L399" s="1096"/>
      <c r="M399" s="1097"/>
      <c r="N399" s="528">
        <v>0</v>
      </c>
      <c r="O399" s="529">
        <v>0</v>
      </c>
      <c r="P399" s="529">
        <v>0</v>
      </c>
      <c r="Q399" s="1019" t="s">
        <v>701</v>
      </c>
      <c r="R399" s="528">
        <v>0</v>
      </c>
      <c r="S399" s="529">
        <v>0</v>
      </c>
      <c r="T399" s="1011" t="s">
        <v>701</v>
      </c>
      <c r="U399" s="530">
        <v>0</v>
      </c>
      <c r="V399" s="529">
        <v>0</v>
      </c>
      <c r="W399" s="1011" t="s">
        <v>701</v>
      </c>
      <c r="X399" s="1016" t="s">
        <v>701</v>
      </c>
      <c r="Y399" s="529">
        <v>0</v>
      </c>
      <c r="Z399" s="1011" t="s">
        <v>701</v>
      </c>
      <c r="AA399" s="1102"/>
      <c r="AB399" s="1103"/>
      <c r="AC399" s="1099"/>
      <c r="AD399" s="1100"/>
      <c r="AE399" s="1107"/>
      <c r="AF399" s="1107"/>
      <c r="AG399" s="1107"/>
      <c r="AH399" s="1108"/>
      <c r="AI399" s="1106"/>
      <c r="AJ399" s="1041" t="s">
        <v>596</v>
      </c>
      <c r="AK399" s="906">
        <v>0</v>
      </c>
      <c r="AL399" s="49">
        <f t="shared" si="1287"/>
        <v>1</v>
      </c>
      <c r="AM399" s="907">
        <f t="shared" si="1288"/>
        <v>1.0526158167136324</v>
      </c>
    </row>
    <row r="400" spans="4:39" ht="11.25" customHeight="1" thickBot="1" x14ac:dyDescent="0.25">
      <c r="D400" s="532" t="s">
        <v>418</v>
      </c>
      <c r="E400" s="533"/>
      <c r="F400" s="534"/>
      <c r="G400" s="535"/>
      <c r="H400" s="535"/>
      <c r="I400" s="534"/>
      <c r="J400" s="535"/>
      <c r="K400" s="535"/>
      <c r="L400" s="535"/>
      <c r="M400" s="536"/>
      <c r="N400" s="537">
        <f>SUM(N394:N399)</f>
        <v>0</v>
      </c>
      <c r="O400" s="537">
        <f t="shared" ref="O400" si="1307">SUM(O394:O399)</f>
        <v>0</v>
      </c>
      <c r="P400" s="536"/>
      <c r="Q400" s="1020" t="s">
        <v>701</v>
      </c>
      <c r="R400" s="538"/>
      <c r="S400" s="539">
        <f t="shared" ref="S400" si="1308">SUM(S394:S399)</f>
        <v>10</v>
      </c>
      <c r="T400" s="1012" t="s">
        <v>701</v>
      </c>
      <c r="U400" s="538"/>
      <c r="V400" s="539">
        <f t="shared" ref="V400:Y400" si="1309">SUM(V394:V399)</f>
        <v>2</v>
      </c>
      <c r="W400" s="1012" t="s">
        <v>701</v>
      </c>
      <c r="X400" s="1012" t="s">
        <v>701</v>
      </c>
      <c r="Y400" s="539">
        <f t="shared" si="1309"/>
        <v>2609.13900621118</v>
      </c>
      <c r="Z400" s="1012" t="s">
        <v>701</v>
      </c>
      <c r="AA400" s="1012" t="s">
        <v>701</v>
      </c>
      <c r="AB400" s="1007" t="s">
        <v>701</v>
      </c>
      <c r="AC400" s="1013" t="s">
        <v>701</v>
      </c>
      <c r="AD400" s="540"/>
      <c r="AE400" s="1008" t="s">
        <v>701</v>
      </c>
      <c r="AF400" s="1008" t="s">
        <v>701</v>
      </c>
      <c r="AG400" s="1008" t="s">
        <v>701</v>
      </c>
      <c r="AH400" s="1008" t="s">
        <v>701</v>
      </c>
      <c r="AI400" s="1008" t="s">
        <v>701</v>
      </c>
      <c r="AJ400" s="1042" t="s">
        <v>596</v>
      </c>
      <c r="AK400" s="906">
        <v>0</v>
      </c>
      <c r="AL400" s="49">
        <f t="shared" si="1287"/>
        <v>1</v>
      </c>
      <c r="AM400" s="907">
        <f t="shared" si="1288"/>
        <v>1.0526158167136324</v>
      </c>
    </row>
    <row r="401" spans="4:39" ht="11.25" customHeight="1" x14ac:dyDescent="0.25">
      <c r="D401" s="1092" t="s">
        <v>735</v>
      </c>
      <c r="E401" s="1093" t="s">
        <v>718</v>
      </c>
      <c r="F401" s="1093">
        <v>2145</v>
      </c>
      <c r="G401" s="1093" t="s">
        <v>730</v>
      </c>
      <c r="H401" s="1094" t="s">
        <v>731</v>
      </c>
      <c r="I401" s="1095" t="s">
        <v>736</v>
      </c>
      <c r="J401" s="1096">
        <v>30</v>
      </c>
      <c r="K401" s="1096">
        <v>30</v>
      </c>
      <c r="L401" s="1096">
        <v>0</v>
      </c>
      <c r="M401" s="1097">
        <v>0</v>
      </c>
      <c r="N401" s="522">
        <v>0</v>
      </c>
      <c r="O401" s="523">
        <v>0</v>
      </c>
      <c r="P401" s="524">
        <v>0</v>
      </c>
      <c r="Q401" s="1018" t="s">
        <v>701</v>
      </c>
      <c r="R401" s="525" t="s">
        <v>789</v>
      </c>
      <c r="S401" s="524">
        <v>1</v>
      </c>
      <c r="T401" s="1017" t="s">
        <v>701</v>
      </c>
      <c r="U401" s="526" t="s">
        <v>778</v>
      </c>
      <c r="V401" s="524">
        <v>1</v>
      </c>
      <c r="W401" s="1010" t="s">
        <v>701</v>
      </c>
      <c r="X401" s="1015" t="s">
        <v>701</v>
      </c>
      <c r="Y401" s="527">
        <v>1787.56</v>
      </c>
      <c r="Z401" s="1010" t="s">
        <v>701</v>
      </c>
      <c r="AA401" s="1102" t="s">
        <v>701</v>
      </c>
      <c r="AB401" s="1103" t="s">
        <v>701</v>
      </c>
      <c r="AC401" s="1099"/>
      <c r="AD401" s="1100">
        <v>0</v>
      </c>
      <c r="AE401" s="1107" t="s">
        <v>701</v>
      </c>
      <c r="AF401" s="1107" t="s">
        <v>701</v>
      </c>
      <c r="AG401" s="1107" t="s">
        <v>701</v>
      </c>
      <c r="AH401" s="1108" t="s">
        <v>701</v>
      </c>
      <c r="AI401" s="1106" t="s">
        <v>701</v>
      </c>
      <c r="AJ401" s="1040" t="s">
        <v>596</v>
      </c>
      <c r="AK401" s="906">
        <v>0</v>
      </c>
      <c r="AL401" s="49">
        <f t="shared" si="1287"/>
        <v>1</v>
      </c>
      <c r="AM401" s="907">
        <f t="shared" si="1288"/>
        <v>1.0526158167136324</v>
      </c>
    </row>
    <row r="402" spans="4:39" ht="11.25" customHeight="1" x14ac:dyDescent="0.2">
      <c r="D402" s="1092"/>
      <c r="E402" s="1093"/>
      <c r="F402" s="1093"/>
      <c r="G402" s="1093"/>
      <c r="H402" s="1094"/>
      <c r="I402" s="1095"/>
      <c r="J402" s="1096"/>
      <c r="K402" s="1096"/>
      <c r="L402" s="1096"/>
      <c r="M402" s="1097"/>
      <c r="N402" s="528">
        <v>0</v>
      </c>
      <c r="O402" s="529">
        <v>0</v>
      </c>
      <c r="P402" s="529">
        <v>0</v>
      </c>
      <c r="Q402" s="1019" t="s">
        <v>701</v>
      </c>
      <c r="R402" s="528" t="s">
        <v>790</v>
      </c>
      <c r="S402" s="529">
        <v>4</v>
      </c>
      <c r="T402" s="1011" t="s">
        <v>701</v>
      </c>
      <c r="U402" s="530">
        <v>0</v>
      </c>
      <c r="V402" s="529">
        <v>0</v>
      </c>
      <c r="W402" s="1011" t="s">
        <v>701</v>
      </c>
      <c r="X402" s="1016" t="s">
        <v>701</v>
      </c>
      <c r="Y402" s="531">
        <v>0</v>
      </c>
      <c r="Z402" s="1011" t="s">
        <v>701</v>
      </c>
      <c r="AA402" s="1102"/>
      <c r="AB402" s="1103"/>
      <c r="AC402" s="1099"/>
      <c r="AD402" s="1100"/>
      <c r="AE402" s="1107"/>
      <c r="AF402" s="1107"/>
      <c r="AG402" s="1107"/>
      <c r="AH402" s="1108"/>
      <c r="AI402" s="1106"/>
      <c r="AJ402" s="1041" t="s">
        <v>596</v>
      </c>
      <c r="AK402" s="906">
        <v>0</v>
      </c>
      <c r="AL402" s="49">
        <f t="shared" si="1287"/>
        <v>1</v>
      </c>
      <c r="AM402" s="907">
        <f t="shared" si="1288"/>
        <v>1.0526158167136324</v>
      </c>
    </row>
    <row r="403" spans="4:39" ht="11.25" customHeight="1" x14ac:dyDescent="0.2">
      <c r="D403" s="1092"/>
      <c r="E403" s="1093"/>
      <c r="F403" s="1093"/>
      <c r="G403" s="1093"/>
      <c r="H403" s="1094"/>
      <c r="I403" s="1095"/>
      <c r="J403" s="1096"/>
      <c r="K403" s="1096"/>
      <c r="L403" s="1096"/>
      <c r="M403" s="1097"/>
      <c r="N403" s="528">
        <v>0</v>
      </c>
      <c r="O403" s="529">
        <v>0</v>
      </c>
      <c r="P403" s="529">
        <v>0</v>
      </c>
      <c r="Q403" s="1019" t="s">
        <v>701</v>
      </c>
      <c r="R403" s="528">
        <v>0</v>
      </c>
      <c r="S403" s="529">
        <v>0</v>
      </c>
      <c r="T403" s="1011" t="s">
        <v>701</v>
      </c>
      <c r="U403" s="530">
        <v>0</v>
      </c>
      <c r="V403" s="529">
        <v>0</v>
      </c>
      <c r="W403" s="1011" t="s">
        <v>701</v>
      </c>
      <c r="X403" s="1016" t="s">
        <v>701</v>
      </c>
      <c r="Y403" s="529">
        <v>0</v>
      </c>
      <c r="Z403" s="1011" t="s">
        <v>701</v>
      </c>
      <c r="AA403" s="1102"/>
      <c r="AB403" s="1103"/>
      <c r="AC403" s="1099"/>
      <c r="AD403" s="1100"/>
      <c r="AE403" s="1107"/>
      <c r="AF403" s="1107"/>
      <c r="AG403" s="1107"/>
      <c r="AH403" s="1108"/>
      <c r="AI403" s="1106"/>
      <c r="AJ403" s="1041" t="s">
        <v>596</v>
      </c>
      <c r="AK403" s="906">
        <v>0</v>
      </c>
      <c r="AL403" s="49">
        <f t="shared" si="1287"/>
        <v>1</v>
      </c>
      <c r="AM403" s="907">
        <f t="shared" si="1288"/>
        <v>1.0526158167136324</v>
      </c>
    </row>
    <row r="404" spans="4:39" ht="11.25" customHeight="1" x14ac:dyDescent="0.2">
      <c r="D404" s="1092"/>
      <c r="E404" s="1093"/>
      <c r="F404" s="1093"/>
      <c r="G404" s="1093"/>
      <c r="H404" s="1094"/>
      <c r="I404" s="1095"/>
      <c r="J404" s="1096"/>
      <c r="K404" s="1096"/>
      <c r="L404" s="1096"/>
      <c r="M404" s="1097"/>
      <c r="N404" s="528">
        <v>0</v>
      </c>
      <c r="O404" s="529">
        <v>0</v>
      </c>
      <c r="P404" s="529">
        <v>0</v>
      </c>
      <c r="Q404" s="1019" t="s">
        <v>701</v>
      </c>
      <c r="R404" s="528">
        <v>0</v>
      </c>
      <c r="S404" s="529">
        <v>0</v>
      </c>
      <c r="T404" s="1011" t="s">
        <v>701</v>
      </c>
      <c r="U404" s="530">
        <v>0</v>
      </c>
      <c r="V404" s="529">
        <v>0</v>
      </c>
      <c r="W404" s="1011" t="s">
        <v>701</v>
      </c>
      <c r="X404" s="1016" t="s">
        <v>701</v>
      </c>
      <c r="Y404" s="529">
        <v>0</v>
      </c>
      <c r="Z404" s="1011" t="s">
        <v>701</v>
      </c>
      <c r="AA404" s="1102"/>
      <c r="AB404" s="1103"/>
      <c r="AC404" s="1099"/>
      <c r="AD404" s="1100"/>
      <c r="AE404" s="1107"/>
      <c r="AF404" s="1107"/>
      <c r="AG404" s="1107"/>
      <c r="AH404" s="1108"/>
      <c r="AI404" s="1106"/>
      <c r="AJ404" s="1041" t="s">
        <v>596</v>
      </c>
      <c r="AK404" s="906">
        <v>0</v>
      </c>
      <c r="AL404" s="49">
        <f t="shared" si="1287"/>
        <v>1</v>
      </c>
      <c r="AM404" s="907">
        <f t="shared" si="1288"/>
        <v>1.0526158167136324</v>
      </c>
    </row>
    <row r="405" spans="4:39" ht="11.25" customHeight="1" x14ac:dyDescent="0.2">
      <c r="D405" s="1092"/>
      <c r="E405" s="1093"/>
      <c r="F405" s="1093"/>
      <c r="G405" s="1093"/>
      <c r="H405" s="1094"/>
      <c r="I405" s="1095"/>
      <c r="J405" s="1096"/>
      <c r="K405" s="1096"/>
      <c r="L405" s="1096"/>
      <c r="M405" s="1097"/>
      <c r="N405" s="528">
        <v>0</v>
      </c>
      <c r="O405" s="529">
        <v>0</v>
      </c>
      <c r="P405" s="529">
        <v>0</v>
      </c>
      <c r="Q405" s="1019" t="s">
        <v>701</v>
      </c>
      <c r="R405" s="528">
        <v>0</v>
      </c>
      <c r="S405" s="529">
        <v>0</v>
      </c>
      <c r="T405" s="1011" t="s">
        <v>701</v>
      </c>
      <c r="U405" s="530">
        <v>0</v>
      </c>
      <c r="V405" s="529">
        <v>0</v>
      </c>
      <c r="W405" s="1011" t="s">
        <v>701</v>
      </c>
      <c r="X405" s="1016" t="s">
        <v>701</v>
      </c>
      <c r="Y405" s="529">
        <v>0</v>
      </c>
      <c r="Z405" s="1011" t="s">
        <v>701</v>
      </c>
      <c r="AA405" s="1102"/>
      <c r="AB405" s="1103"/>
      <c r="AC405" s="1099"/>
      <c r="AD405" s="1100"/>
      <c r="AE405" s="1107"/>
      <c r="AF405" s="1107"/>
      <c r="AG405" s="1107"/>
      <c r="AH405" s="1108"/>
      <c r="AI405" s="1106"/>
      <c r="AJ405" s="1041" t="s">
        <v>596</v>
      </c>
      <c r="AK405" s="906">
        <v>0</v>
      </c>
      <c r="AL405" s="49">
        <f t="shared" si="1287"/>
        <v>1</v>
      </c>
      <c r="AM405" s="907">
        <f t="shared" si="1288"/>
        <v>1.0526158167136324</v>
      </c>
    </row>
    <row r="406" spans="4:39" ht="11.25" customHeight="1" x14ac:dyDescent="0.2">
      <c r="D406" s="1092"/>
      <c r="E406" s="1093"/>
      <c r="F406" s="1093"/>
      <c r="G406" s="1093"/>
      <c r="H406" s="1094"/>
      <c r="I406" s="1095"/>
      <c r="J406" s="1096"/>
      <c r="K406" s="1096"/>
      <c r="L406" s="1096"/>
      <c r="M406" s="1097"/>
      <c r="N406" s="528">
        <v>0</v>
      </c>
      <c r="O406" s="529">
        <v>0</v>
      </c>
      <c r="P406" s="529">
        <v>0</v>
      </c>
      <c r="Q406" s="1019" t="s">
        <v>701</v>
      </c>
      <c r="R406" s="528">
        <v>0</v>
      </c>
      <c r="S406" s="529">
        <v>0</v>
      </c>
      <c r="T406" s="1011" t="s">
        <v>701</v>
      </c>
      <c r="U406" s="530">
        <v>0</v>
      </c>
      <c r="V406" s="529">
        <v>0</v>
      </c>
      <c r="W406" s="1011" t="s">
        <v>701</v>
      </c>
      <c r="X406" s="1016" t="s">
        <v>701</v>
      </c>
      <c r="Y406" s="529">
        <v>0</v>
      </c>
      <c r="Z406" s="1011" t="s">
        <v>701</v>
      </c>
      <c r="AA406" s="1102"/>
      <c r="AB406" s="1103"/>
      <c r="AC406" s="1099"/>
      <c r="AD406" s="1100"/>
      <c r="AE406" s="1107"/>
      <c r="AF406" s="1107"/>
      <c r="AG406" s="1107"/>
      <c r="AH406" s="1108"/>
      <c r="AI406" s="1106"/>
      <c r="AJ406" s="1041" t="s">
        <v>596</v>
      </c>
      <c r="AK406" s="906">
        <v>0</v>
      </c>
      <c r="AL406" s="49">
        <f t="shared" si="1287"/>
        <v>1</v>
      </c>
      <c r="AM406" s="907">
        <f t="shared" si="1288"/>
        <v>1.0526158167136324</v>
      </c>
    </row>
    <row r="407" spans="4:39" ht="11.25" customHeight="1" thickBot="1" x14ac:dyDescent="0.25">
      <c r="D407" s="532" t="s">
        <v>418</v>
      </c>
      <c r="E407" s="533"/>
      <c r="F407" s="534"/>
      <c r="G407" s="535"/>
      <c r="H407" s="535"/>
      <c r="I407" s="534"/>
      <c r="J407" s="535"/>
      <c r="K407" s="535"/>
      <c r="L407" s="535"/>
      <c r="M407" s="536"/>
      <c r="N407" s="537">
        <f>SUM(N401:N406)</f>
        <v>0</v>
      </c>
      <c r="O407" s="537">
        <f t="shared" ref="O407" si="1310">SUM(O401:O406)</f>
        <v>0</v>
      </c>
      <c r="P407" s="536"/>
      <c r="Q407" s="1020" t="s">
        <v>701</v>
      </c>
      <c r="R407" s="538"/>
      <c r="S407" s="539">
        <f t="shared" ref="S407" si="1311">SUM(S401:S406)</f>
        <v>5</v>
      </c>
      <c r="T407" s="1012" t="s">
        <v>701</v>
      </c>
      <c r="U407" s="538"/>
      <c r="V407" s="539">
        <f t="shared" ref="V407:Y407" si="1312">SUM(V401:V406)</f>
        <v>1</v>
      </c>
      <c r="W407" s="1012" t="s">
        <v>701</v>
      </c>
      <c r="X407" s="1012" t="s">
        <v>701</v>
      </c>
      <c r="Y407" s="539">
        <f t="shared" si="1312"/>
        <v>1787.56</v>
      </c>
      <c r="Z407" s="1012" t="s">
        <v>701</v>
      </c>
      <c r="AA407" s="1012" t="s">
        <v>701</v>
      </c>
      <c r="AB407" s="1007" t="s">
        <v>701</v>
      </c>
      <c r="AC407" s="1013" t="s">
        <v>701</v>
      </c>
      <c r="AD407" s="540"/>
      <c r="AE407" s="1008" t="s">
        <v>701</v>
      </c>
      <c r="AF407" s="1008" t="s">
        <v>701</v>
      </c>
      <c r="AG407" s="1008" t="s">
        <v>701</v>
      </c>
      <c r="AH407" s="1008" t="s">
        <v>701</v>
      </c>
      <c r="AI407" s="1008" t="s">
        <v>701</v>
      </c>
      <c r="AJ407" s="1042" t="s">
        <v>596</v>
      </c>
      <c r="AK407" s="906">
        <v>0</v>
      </c>
      <c r="AL407" s="49">
        <f t="shared" si="1287"/>
        <v>1</v>
      </c>
      <c r="AM407" s="907">
        <f t="shared" si="1288"/>
        <v>1.0526158167136324</v>
      </c>
    </row>
    <row r="408" spans="4:39" ht="11.25" customHeight="1" x14ac:dyDescent="0.25">
      <c r="D408" s="1092"/>
      <c r="E408" s="1093"/>
      <c r="F408" s="1093"/>
      <c r="G408" s="1093"/>
      <c r="H408" s="1094"/>
      <c r="I408" s="1095"/>
      <c r="J408" s="1096"/>
      <c r="K408" s="1096"/>
      <c r="L408" s="1096"/>
      <c r="M408" s="1097"/>
      <c r="N408" s="522"/>
      <c r="O408" s="523"/>
      <c r="P408" s="524"/>
      <c r="Q408" s="1018"/>
      <c r="R408" s="525"/>
      <c r="S408" s="524"/>
      <c r="T408" s="1017"/>
      <c r="U408" s="526"/>
      <c r="V408" s="524"/>
      <c r="W408" s="1010"/>
      <c r="X408" s="1015"/>
      <c r="Y408" s="527"/>
      <c r="Z408" s="1010"/>
      <c r="AA408" s="1102"/>
      <c r="AB408" s="1103"/>
      <c r="AC408" s="1099"/>
      <c r="AD408" s="1100"/>
      <c r="AE408" s="1107"/>
      <c r="AF408" s="1107"/>
      <c r="AG408" s="1107"/>
      <c r="AH408" s="1108"/>
      <c r="AI408" s="1106"/>
      <c r="AJ408" s="1040"/>
      <c r="AK408" s="906">
        <v>0</v>
      </c>
      <c r="AL408" s="49">
        <f t="shared" si="1287"/>
        <v>1</v>
      </c>
      <c r="AM408" s="907">
        <f t="shared" si="1288"/>
        <v>1.0526158167136324</v>
      </c>
    </row>
    <row r="409" spans="4:39" ht="11.25" customHeight="1" x14ac:dyDescent="0.2">
      <c r="D409" s="1092"/>
      <c r="E409" s="1093"/>
      <c r="F409" s="1093"/>
      <c r="G409" s="1093"/>
      <c r="H409" s="1094"/>
      <c r="I409" s="1095"/>
      <c r="J409" s="1096"/>
      <c r="K409" s="1096"/>
      <c r="L409" s="1096"/>
      <c r="M409" s="1097"/>
      <c r="N409" s="528"/>
      <c r="O409" s="529"/>
      <c r="P409" s="529"/>
      <c r="Q409" s="1019"/>
      <c r="R409" s="528"/>
      <c r="S409" s="529"/>
      <c r="T409" s="1011"/>
      <c r="U409" s="530"/>
      <c r="V409" s="529"/>
      <c r="W409" s="1011"/>
      <c r="X409" s="1016"/>
      <c r="Y409" s="531"/>
      <c r="Z409" s="1011"/>
      <c r="AA409" s="1102"/>
      <c r="AB409" s="1103"/>
      <c r="AC409" s="1099"/>
      <c r="AD409" s="1100"/>
      <c r="AE409" s="1107"/>
      <c r="AF409" s="1107"/>
      <c r="AG409" s="1107"/>
      <c r="AH409" s="1108"/>
      <c r="AI409" s="1106"/>
      <c r="AJ409" s="1041"/>
      <c r="AK409" s="906">
        <v>0</v>
      </c>
      <c r="AL409" s="49">
        <f t="shared" si="1287"/>
        <v>1</v>
      </c>
      <c r="AM409" s="907">
        <f t="shared" si="1288"/>
        <v>1.0526158167136324</v>
      </c>
    </row>
    <row r="410" spans="4:39" ht="11.25" customHeight="1" x14ac:dyDescent="0.2">
      <c r="D410" s="1092"/>
      <c r="E410" s="1093"/>
      <c r="F410" s="1093"/>
      <c r="G410" s="1093"/>
      <c r="H410" s="1094"/>
      <c r="I410" s="1095"/>
      <c r="J410" s="1096"/>
      <c r="K410" s="1096"/>
      <c r="L410" s="1096"/>
      <c r="M410" s="1097"/>
      <c r="N410" s="528"/>
      <c r="O410" s="529"/>
      <c r="P410" s="529"/>
      <c r="Q410" s="1019"/>
      <c r="R410" s="528"/>
      <c r="S410" s="529"/>
      <c r="T410" s="1011"/>
      <c r="U410" s="530"/>
      <c r="V410" s="529"/>
      <c r="W410" s="1011"/>
      <c r="X410" s="1016"/>
      <c r="Y410" s="529"/>
      <c r="Z410" s="1011"/>
      <c r="AA410" s="1102"/>
      <c r="AB410" s="1103"/>
      <c r="AC410" s="1099"/>
      <c r="AD410" s="1100"/>
      <c r="AE410" s="1107"/>
      <c r="AF410" s="1107"/>
      <c r="AG410" s="1107"/>
      <c r="AH410" s="1108"/>
      <c r="AI410" s="1106"/>
      <c r="AJ410" s="1041"/>
      <c r="AK410" s="906">
        <v>0</v>
      </c>
      <c r="AL410" s="49">
        <f t="shared" si="1287"/>
        <v>1</v>
      </c>
      <c r="AM410" s="907">
        <f t="shared" si="1288"/>
        <v>1.0526158167136324</v>
      </c>
    </row>
    <row r="411" spans="4:39" ht="11.25" customHeight="1" x14ac:dyDescent="0.2">
      <c r="D411" s="1092"/>
      <c r="E411" s="1093"/>
      <c r="F411" s="1093"/>
      <c r="G411" s="1093"/>
      <c r="H411" s="1094"/>
      <c r="I411" s="1095"/>
      <c r="J411" s="1096"/>
      <c r="K411" s="1096"/>
      <c r="L411" s="1096"/>
      <c r="M411" s="1097"/>
      <c r="N411" s="528"/>
      <c r="O411" s="529"/>
      <c r="P411" s="529"/>
      <c r="Q411" s="1019"/>
      <c r="R411" s="528"/>
      <c r="S411" s="529"/>
      <c r="T411" s="1011"/>
      <c r="U411" s="530"/>
      <c r="V411" s="529"/>
      <c r="W411" s="1011"/>
      <c r="X411" s="1016"/>
      <c r="Y411" s="529"/>
      <c r="Z411" s="1011"/>
      <c r="AA411" s="1102"/>
      <c r="AB411" s="1103"/>
      <c r="AC411" s="1099"/>
      <c r="AD411" s="1100"/>
      <c r="AE411" s="1107"/>
      <c r="AF411" s="1107"/>
      <c r="AG411" s="1107"/>
      <c r="AH411" s="1108"/>
      <c r="AI411" s="1106"/>
      <c r="AJ411" s="1041"/>
      <c r="AK411" s="906">
        <v>0</v>
      </c>
      <c r="AL411" s="49">
        <f t="shared" si="1287"/>
        <v>1</v>
      </c>
      <c r="AM411" s="907">
        <f t="shared" si="1288"/>
        <v>1.0526158167136324</v>
      </c>
    </row>
    <row r="412" spans="4:39" ht="11.25" customHeight="1" x14ac:dyDescent="0.2">
      <c r="D412" s="1092"/>
      <c r="E412" s="1093"/>
      <c r="F412" s="1093"/>
      <c r="G412" s="1093"/>
      <c r="H412" s="1094"/>
      <c r="I412" s="1095"/>
      <c r="J412" s="1096"/>
      <c r="K412" s="1096"/>
      <c r="L412" s="1096"/>
      <c r="M412" s="1097"/>
      <c r="N412" s="528"/>
      <c r="O412" s="529"/>
      <c r="P412" s="529"/>
      <c r="Q412" s="1019"/>
      <c r="R412" s="528"/>
      <c r="S412" s="529"/>
      <c r="T412" s="1011"/>
      <c r="U412" s="530"/>
      <c r="V412" s="529"/>
      <c r="W412" s="1011"/>
      <c r="X412" s="1016"/>
      <c r="Y412" s="529"/>
      <c r="Z412" s="1011"/>
      <c r="AA412" s="1102"/>
      <c r="AB412" s="1103"/>
      <c r="AC412" s="1099"/>
      <c r="AD412" s="1100"/>
      <c r="AE412" s="1107"/>
      <c r="AF412" s="1107"/>
      <c r="AG412" s="1107"/>
      <c r="AH412" s="1108"/>
      <c r="AI412" s="1106"/>
      <c r="AJ412" s="1041"/>
      <c r="AK412" s="906">
        <v>0</v>
      </c>
      <c r="AL412" s="49">
        <f t="shared" si="1287"/>
        <v>1</v>
      </c>
      <c r="AM412" s="907">
        <f t="shared" si="1288"/>
        <v>1.0526158167136324</v>
      </c>
    </row>
    <row r="413" spans="4:39" ht="11.25" customHeight="1" x14ac:dyDescent="0.2">
      <c r="D413" s="1092"/>
      <c r="E413" s="1093"/>
      <c r="F413" s="1093"/>
      <c r="G413" s="1093"/>
      <c r="H413" s="1094"/>
      <c r="I413" s="1095"/>
      <c r="J413" s="1096"/>
      <c r="K413" s="1096"/>
      <c r="L413" s="1096"/>
      <c r="M413" s="1097"/>
      <c r="N413" s="528"/>
      <c r="O413" s="529"/>
      <c r="P413" s="529"/>
      <c r="Q413" s="1019"/>
      <c r="R413" s="528"/>
      <c r="S413" s="529"/>
      <c r="T413" s="1011"/>
      <c r="U413" s="530"/>
      <c r="V413" s="529"/>
      <c r="W413" s="1011"/>
      <c r="X413" s="1016"/>
      <c r="Y413" s="529"/>
      <c r="Z413" s="1011"/>
      <c r="AA413" s="1102"/>
      <c r="AB413" s="1103"/>
      <c r="AC413" s="1099"/>
      <c r="AD413" s="1100"/>
      <c r="AE413" s="1107"/>
      <c r="AF413" s="1107"/>
      <c r="AG413" s="1107"/>
      <c r="AH413" s="1108"/>
      <c r="AI413" s="1106"/>
      <c r="AJ413" s="1041"/>
      <c r="AK413" s="906">
        <v>0</v>
      </c>
      <c r="AL413" s="49">
        <f t="shared" si="1287"/>
        <v>1</v>
      </c>
      <c r="AM413" s="907">
        <f t="shared" si="1288"/>
        <v>1.0526158167136324</v>
      </c>
    </row>
    <row r="414" spans="4:39" ht="11.25" customHeight="1" thickBot="1" x14ac:dyDescent="0.25">
      <c r="D414" s="532" t="s">
        <v>418</v>
      </c>
      <c r="E414" s="533"/>
      <c r="F414" s="534"/>
      <c r="G414" s="535"/>
      <c r="H414" s="535"/>
      <c r="I414" s="534"/>
      <c r="J414" s="535"/>
      <c r="K414" s="535"/>
      <c r="L414" s="535"/>
      <c r="M414" s="536"/>
      <c r="N414" s="537">
        <f>SUM(N408:N413)</f>
        <v>0</v>
      </c>
      <c r="O414" s="537">
        <f t="shared" ref="O414" si="1313">SUM(O408:O413)</f>
        <v>0</v>
      </c>
      <c r="P414" s="536"/>
      <c r="Q414" s="1020" t="s">
        <v>701</v>
      </c>
      <c r="R414" s="538"/>
      <c r="S414" s="539">
        <f t="shared" ref="S414" si="1314">SUM(S408:S413)</f>
        <v>0</v>
      </c>
      <c r="T414" s="1012" t="s">
        <v>701</v>
      </c>
      <c r="U414" s="538"/>
      <c r="V414" s="539">
        <f t="shared" ref="V414:Y414" si="1315">SUM(V408:V413)</f>
        <v>0</v>
      </c>
      <c r="W414" s="1012" t="s">
        <v>701</v>
      </c>
      <c r="X414" s="1012" t="s">
        <v>701</v>
      </c>
      <c r="Y414" s="539">
        <f t="shared" si="1315"/>
        <v>0</v>
      </c>
      <c r="Z414" s="1012" t="s">
        <v>701</v>
      </c>
      <c r="AA414" s="1012" t="s">
        <v>701</v>
      </c>
      <c r="AB414" s="1007" t="s">
        <v>701</v>
      </c>
      <c r="AC414" s="1013" t="s">
        <v>701</v>
      </c>
      <c r="AD414" s="540"/>
      <c r="AE414" s="1008" t="s">
        <v>701</v>
      </c>
      <c r="AF414" s="1008" t="s">
        <v>701</v>
      </c>
      <c r="AG414" s="1008" t="s">
        <v>701</v>
      </c>
      <c r="AH414" s="1008" t="s">
        <v>701</v>
      </c>
      <c r="AI414" s="1008" t="s">
        <v>701</v>
      </c>
      <c r="AJ414" s="1042"/>
      <c r="AK414" s="906">
        <v>0</v>
      </c>
      <c r="AL414" s="49">
        <f t="shared" si="1287"/>
        <v>1</v>
      </c>
      <c r="AM414" s="907">
        <f t="shared" si="1288"/>
        <v>1.0526158167136324</v>
      </c>
    </row>
    <row r="415" spans="4:39" ht="11.25" customHeight="1" x14ac:dyDescent="0.25">
      <c r="D415" s="1092" t="s">
        <v>738</v>
      </c>
      <c r="E415" s="1093" t="s">
        <v>718</v>
      </c>
      <c r="F415" s="1093" t="s">
        <v>739</v>
      </c>
      <c r="G415" s="1093" t="s">
        <v>730</v>
      </c>
      <c r="H415" s="1094" t="s">
        <v>731</v>
      </c>
      <c r="I415" s="1095" t="s">
        <v>721</v>
      </c>
      <c r="J415" s="1096">
        <v>750</v>
      </c>
      <c r="K415" s="1096">
        <v>750</v>
      </c>
      <c r="L415" s="1096">
        <v>375</v>
      </c>
      <c r="M415" s="1097">
        <v>375</v>
      </c>
      <c r="N415" s="522">
        <v>0</v>
      </c>
      <c r="O415" s="523">
        <v>0</v>
      </c>
      <c r="P415" s="524">
        <v>0</v>
      </c>
      <c r="Q415" s="1018" t="s">
        <v>701</v>
      </c>
      <c r="R415" s="525" t="s">
        <v>789</v>
      </c>
      <c r="S415" s="524">
        <v>4</v>
      </c>
      <c r="T415" s="1017" t="s">
        <v>701</v>
      </c>
      <c r="U415" s="526" t="s">
        <v>778</v>
      </c>
      <c r="V415" s="524">
        <v>1</v>
      </c>
      <c r="W415" s="1010" t="s">
        <v>701</v>
      </c>
      <c r="X415" s="1015" t="s">
        <v>701</v>
      </c>
      <c r="Y415" s="527">
        <v>4718.292795031055</v>
      </c>
      <c r="Z415" s="1010" t="s">
        <v>701</v>
      </c>
      <c r="AA415" s="1102" t="s">
        <v>701</v>
      </c>
      <c r="AB415" s="1103" t="s">
        <v>701</v>
      </c>
      <c r="AC415" s="1099"/>
      <c r="AD415" s="1100">
        <v>0</v>
      </c>
      <c r="AE415" s="1107" t="s">
        <v>701</v>
      </c>
      <c r="AF415" s="1107" t="s">
        <v>701</v>
      </c>
      <c r="AG415" s="1107" t="s">
        <v>701</v>
      </c>
      <c r="AH415" s="1108" t="s">
        <v>701</v>
      </c>
      <c r="AI415" s="1106" t="s">
        <v>701</v>
      </c>
      <c r="AJ415" s="1040" t="s">
        <v>596</v>
      </c>
      <c r="AK415" s="906">
        <v>0</v>
      </c>
      <c r="AL415" s="49">
        <f t="shared" si="1287"/>
        <v>1</v>
      </c>
      <c r="AM415" s="907">
        <f t="shared" si="1288"/>
        <v>1.0526158167136324</v>
      </c>
    </row>
    <row r="416" spans="4:39" ht="11.25" customHeight="1" x14ac:dyDescent="0.2">
      <c r="D416" s="1092"/>
      <c r="E416" s="1093"/>
      <c r="F416" s="1093"/>
      <c r="G416" s="1093"/>
      <c r="H416" s="1094"/>
      <c r="I416" s="1095"/>
      <c r="J416" s="1096"/>
      <c r="K416" s="1096"/>
      <c r="L416" s="1096"/>
      <c r="M416" s="1097"/>
      <c r="N416" s="528">
        <v>0</v>
      </c>
      <c r="O416" s="529">
        <v>0</v>
      </c>
      <c r="P416" s="529">
        <v>0</v>
      </c>
      <c r="Q416" s="1019" t="s">
        <v>701</v>
      </c>
      <c r="R416" s="528" t="s">
        <v>790</v>
      </c>
      <c r="S416" s="529">
        <v>4</v>
      </c>
      <c r="T416" s="1011" t="s">
        <v>701</v>
      </c>
      <c r="U416" s="530">
        <v>0</v>
      </c>
      <c r="V416" s="529">
        <v>0</v>
      </c>
      <c r="W416" s="1011" t="s">
        <v>701</v>
      </c>
      <c r="X416" s="1016" t="s">
        <v>701</v>
      </c>
      <c r="Y416" s="531">
        <v>0</v>
      </c>
      <c r="Z416" s="1011" t="s">
        <v>701</v>
      </c>
      <c r="AA416" s="1102"/>
      <c r="AB416" s="1103"/>
      <c r="AC416" s="1099"/>
      <c r="AD416" s="1100"/>
      <c r="AE416" s="1107"/>
      <c r="AF416" s="1107"/>
      <c r="AG416" s="1107"/>
      <c r="AH416" s="1108"/>
      <c r="AI416" s="1106"/>
      <c r="AJ416" s="1041" t="s">
        <v>596</v>
      </c>
      <c r="AK416" s="906">
        <v>0</v>
      </c>
      <c r="AL416" s="49">
        <f t="shared" si="1287"/>
        <v>1</v>
      </c>
      <c r="AM416" s="907">
        <f t="shared" si="1288"/>
        <v>1.0526158167136324</v>
      </c>
    </row>
    <row r="417" spans="4:39" ht="11.25" customHeight="1" x14ac:dyDescent="0.2">
      <c r="D417" s="1092"/>
      <c r="E417" s="1093"/>
      <c r="F417" s="1093"/>
      <c r="G417" s="1093"/>
      <c r="H417" s="1094"/>
      <c r="I417" s="1095"/>
      <c r="J417" s="1096"/>
      <c r="K417" s="1096"/>
      <c r="L417" s="1096"/>
      <c r="M417" s="1097"/>
      <c r="N417" s="528">
        <v>0</v>
      </c>
      <c r="O417" s="529">
        <v>0</v>
      </c>
      <c r="P417" s="529">
        <v>0</v>
      </c>
      <c r="Q417" s="1019" t="s">
        <v>701</v>
      </c>
      <c r="R417" s="528">
        <v>0</v>
      </c>
      <c r="S417" s="529">
        <v>0</v>
      </c>
      <c r="T417" s="1011" t="s">
        <v>701</v>
      </c>
      <c r="U417" s="530">
        <v>0</v>
      </c>
      <c r="V417" s="529">
        <v>0</v>
      </c>
      <c r="W417" s="1011" t="s">
        <v>701</v>
      </c>
      <c r="X417" s="1016" t="s">
        <v>701</v>
      </c>
      <c r="Y417" s="529">
        <v>0</v>
      </c>
      <c r="Z417" s="1011" t="s">
        <v>701</v>
      </c>
      <c r="AA417" s="1102"/>
      <c r="AB417" s="1103"/>
      <c r="AC417" s="1099"/>
      <c r="AD417" s="1100"/>
      <c r="AE417" s="1107"/>
      <c r="AF417" s="1107"/>
      <c r="AG417" s="1107"/>
      <c r="AH417" s="1108"/>
      <c r="AI417" s="1106"/>
      <c r="AJ417" s="1041" t="s">
        <v>596</v>
      </c>
      <c r="AK417" s="906">
        <v>0</v>
      </c>
      <c r="AL417" s="49">
        <f t="shared" ref="AL417:AL480" si="1316">IF(AK417,0,1)</f>
        <v>1</v>
      </c>
      <c r="AM417" s="907">
        <f t="shared" ref="AM417:AM480" si="1317">AK417*$N$335+AL417*$O$345</f>
        <v>1.0526158167136324</v>
      </c>
    </row>
    <row r="418" spans="4:39" ht="11.25" customHeight="1" x14ac:dyDescent="0.2">
      <c r="D418" s="1092"/>
      <c r="E418" s="1093"/>
      <c r="F418" s="1093"/>
      <c r="G418" s="1093"/>
      <c r="H418" s="1094"/>
      <c r="I418" s="1095"/>
      <c r="J418" s="1096"/>
      <c r="K418" s="1096"/>
      <c r="L418" s="1096"/>
      <c r="M418" s="1097"/>
      <c r="N418" s="528">
        <v>0</v>
      </c>
      <c r="O418" s="529">
        <v>0</v>
      </c>
      <c r="P418" s="529">
        <v>0</v>
      </c>
      <c r="Q418" s="1019" t="s">
        <v>701</v>
      </c>
      <c r="R418" s="528">
        <v>0</v>
      </c>
      <c r="S418" s="529">
        <v>0</v>
      </c>
      <c r="T418" s="1011" t="s">
        <v>701</v>
      </c>
      <c r="U418" s="530">
        <v>0</v>
      </c>
      <c r="V418" s="529">
        <v>0</v>
      </c>
      <c r="W418" s="1011" t="s">
        <v>701</v>
      </c>
      <c r="X418" s="1016" t="s">
        <v>701</v>
      </c>
      <c r="Y418" s="529">
        <v>0</v>
      </c>
      <c r="Z418" s="1011" t="s">
        <v>701</v>
      </c>
      <c r="AA418" s="1102"/>
      <c r="AB418" s="1103"/>
      <c r="AC418" s="1099"/>
      <c r="AD418" s="1100"/>
      <c r="AE418" s="1107"/>
      <c r="AF418" s="1107"/>
      <c r="AG418" s="1107"/>
      <c r="AH418" s="1108"/>
      <c r="AI418" s="1106"/>
      <c r="AJ418" s="1041" t="s">
        <v>596</v>
      </c>
      <c r="AK418" s="906">
        <v>0</v>
      </c>
      <c r="AL418" s="49">
        <f t="shared" si="1316"/>
        <v>1</v>
      </c>
      <c r="AM418" s="907">
        <f t="shared" si="1317"/>
        <v>1.0526158167136324</v>
      </c>
    </row>
    <row r="419" spans="4:39" ht="11.25" customHeight="1" x14ac:dyDescent="0.2">
      <c r="D419" s="1092"/>
      <c r="E419" s="1093"/>
      <c r="F419" s="1093"/>
      <c r="G419" s="1093"/>
      <c r="H419" s="1094"/>
      <c r="I419" s="1095"/>
      <c r="J419" s="1096"/>
      <c r="K419" s="1096"/>
      <c r="L419" s="1096"/>
      <c r="M419" s="1097"/>
      <c r="N419" s="528">
        <v>0</v>
      </c>
      <c r="O419" s="529">
        <v>0</v>
      </c>
      <c r="P419" s="529">
        <v>0</v>
      </c>
      <c r="Q419" s="1019" t="s">
        <v>701</v>
      </c>
      <c r="R419" s="528">
        <v>0</v>
      </c>
      <c r="S419" s="529">
        <v>0</v>
      </c>
      <c r="T419" s="1011" t="s">
        <v>701</v>
      </c>
      <c r="U419" s="530">
        <v>0</v>
      </c>
      <c r="V419" s="529">
        <v>0</v>
      </c>
      <c r="W419" s="1011" t="s">
        <v>701</v>
      </c>
      <c r="X419" s="1016" t="s">
        <v>701</v>
      </c>
      <c r="Y419" s="529">
        <v>0</v>
      </c>
      <c r="Z419" s="1011" t="s">
        <v>701</v>
      </c>
      <c r="AA419" s="1102"/>
      <c r="AB419" s="1103"/>
      <c r="AC419" s="1099"/>
      <c r="AD419" s="1100"/>
      <c r="AE419" s="1107"/>
      <c r="AF419" s="1107"/>
      <c r="AG419" s="1107"/>
      <c r="AH419" s="1108"/>
      <c r="AI419" s="1106"/>
      <c r="AJ419" s="1041" t="s">
        <v>596</v>
      </c>
      <c r="AK419" s="906">
        <v>0</v>
      </c>
      <c r="AL419" s="49">
        <f t="shared" si="1316"/>
        <v>1</v>
      </c>
      <c r="AM419" s="907">
        <f t="shared" si="1317"/>
        <v>1.0526158167136324</v>
      </c>
    </row>
    <row r="420" spans="4:39" ht="11.25" customHeight="1" x14ac:dyDescent="0.2">
      <c r="D420" s="1092"/>
      <c r="E420" s="1093"/>
      <c r="F420" s="1093"/>
      <c r="G420" s="1093"/>
      <c r="H420" s="1094"/>
      <c r="I420" s="1095"/>
      <c r="J420" s="1096"/>
      <c r="K420" s="1096"/>
      <c r="L420" s="1096"/>
      <c r="M420" s="1097"/>
      <c r="N420" s="528">
        <v>0</v>
      </c>
      <c r="O420" s="529">
        <v>0</v>
      </c>
      <c r="P420" s="529">
        <v>0</v>
      </c>
      <c r="Q420" s="1019" t="s">
        <v>701</v>
      </c>
      <c r="R420" s="528">
        <v>0</v>
      </c>
      <c r="S420" s="529">
        <v>0</v>
      </c>
      <c r="T420" s="1011" t="s">
        <v>701</v>
      </c>
      <c r="U420" s="530">
        <v>0</v>
      </c>
      <c r="V420" s="529">
        <v>0</v>
      </c>
      <c r="W420" s="1011" t="s">
        <v>701</v>
      </c>
      <c r="X420" s="1016" t="s">
        <v>701</v>
      </c>
      <c r="Y420" s="529">
        <v>0</v>
      </c>
      <c r="Z420" s="1011" t="s">
        <v>701</v>
      </c>
      <c r="AA420" s="1102"/>
      <c r="AB420" s="1103"/>
      <c r="AC420" s="1099"/>
      <c r="AD420" s="1100"/>
      <c r="AE420" s="1107"/>
      <c r="AF420" s="1107"/>
      <c r="AG420" s="1107"/>
      <c r="AH420" s="1108"/>
      <c r="AI420" s="1106"/>
      <c r="AJ420" s="1041" t="s">
        <v>596</v>
      </c>
      <c r="AK420" s="906">
        <v>0</v>
      </c>
      <c r="AL420" s="49">
        <f t="shared" si="1316"/>
        <v>1</v>
      </c>
      <c r="AM420" s="907">
        <f t="shared" si="1317"/>
        <v>1.0526158167136324</v>
      </c>
    </row>
    <row r="421" spans="4:39" ht="11.25" customHeight="1" thickBot="1" x14ac:dyDescent="0.25">
      <c r="D421" s="532" t="s">
        <v>418</v>
      </c>
      <c r="E421" s="533"/>
      <c r="F421" s="534"/>
      <c r="G421" s="535"/>
      <c r="H421" s="535"/>
      <c r="I421" s="534"/>
      <c r="J421" s="535"/>
      <c r="K421" s="535"/>
      <c r="L421" s="535"/>
      <c r="M421" s="536"/>
      <c r="N421" s="537">
        <f>SUM(N415:N420)</f>
        <v>0</v>
      </c>
      <c r="O421" s="537">
        <f t="shared" ref="O421" si="1318">SUM(O415:O420)</f>
        <v>0</v>
      </c>
      <c r="P421" s="536"/>
      <c r="Q421" s="1020" t="s">
        <v>701</v>
      </c>
      <c r="R421" s="538"/>
      <c r="S421" s="539">
        <f t="shared" ref="S421" si="1319">SUM(S415:S420)</f>
        <v>8</v>
      </c>
      <c r="T421" s="1012" t="s">
        <v>701</v>
      </c>
      <c r="U421" s="538"/>
      <c r="V421" s="539">
        <f t="shared" ref="V421:Y421" si="1320">SUM(V415:V420)</f>
        <v>1</v>
      </c>
      <c r="W421" s="1012" t="s">
        <v>701</v>
      </c>
      <c r="X421" s="1012" t="s">
        <v>701</v>
      </c>
      <c r="Y421" s="539">
        <f t="shared" si="1320"/>
        <v>4718.292795031055</v>
      </c>
      <c r="Z421" s="1012" t="s">
        <v>701</v>
      </c>
      <c r="AA421" s="1012" t="s">
        <v>701</v>
      </c>
      <c r="AB421" s="1007" t="s">
        <v>701</v>
      </c>
      <c r="AC421" s="1013" t="s">
        <v>701</v>
      </c>
      <c r="AD421" s="540"/>
      <c r="AE421" s="1008" t="s">
        <v>701</v>
      </c>
      <c r="AF421" s="1008" t="s">
        <v>701</v>
      </c>
      <c r="AG421" s="1008" t="s">
        <v>701</v>
      </c>
      <c r="AH421" s="1008" t="s">
        <v>701</v>
      </c>
      <c r="AI421" s="1008" t="s">
        <v>701</v>
      </c>
      <c r="AJ421" s="1042" t="s">
        <v>596</v>
      </c>
      <c r="AK421" s="906">
        <v>0</v>
      </c>
      <c r="AL421" s="49">
        <f t="shared" si="1316"/>
        <v>1</v>
      </c>
      <c r="AM421" s="907">
        <f t="shared" si="1317"/>
        <v>1.0526158167136324</v>
      </c>
    </row>
    <row r="422" spans="4:39" ht="11.25" customHeight="1" x14ac:dyDescent="0.25">
      <c r="D422" s="1092"/>
      <c r="E422" s="1093"/>
      <c r="F422" s="1093"/>
      <c r="G422" s="1093"/>
      <c r="H422" s="1094"/>
      <c r="I422" s="1095"/>
      <c r="J422" s="1096"/>
      <c r="K422" s="1096"/>
      <c r="L422" s="1096"/>
      <c r="M422" s="1097"/>
      <c r="N422" s="522"/>
      <c r="O422" s="523"/>
      <c r="P422" s="524"/>
      <c r="Q422" s="1018"/>
      <c r="R422" s="525"/>
      <c r="S422" s="524"/>
      <c r="T422" s="1017"/>
      <c r="U422" s="526"/>
      <c r="V422" s="524"/>
      <c r="W422" s="1010"/>
      <c r="X422" s="1015"/>
      <c r="Y422" s="527"/>
      <c r="Z422" s="1010"/>
      <c r="AA422" s="1102"/>
      <c r="AB422" s="1103"/>
      <c r="AC422" s="1099"/>
      <c r="AD422" s="1100"/>
      <c r="AE422" s="1107"/>
      <c r="AF422" s="1107"/>
      <c r="AG422" s="1107"/>
      <c r="AH422" s="1108"/>
      <c r="AI422" s="1106"/>
      <c r="AJ422" s="1040"/>
      <c r="AK422" s="906">
        <v>0</v>
      </c>
      <c r="AL422" s="49">
        <f t="shared" si="1316"/>
        <v>1</v>
      </c>
      <c r="AM422" s="907">
        <f t="shared" si="1317"/>
        <v>1.0526158167136324</v>
      </c>
    </row>
    <row r="423" spans="4:39" ht="11.25" customHeight="1" x14ac:dyDescent="0.2">
      <c r="D423" s="1092"/>
      <c r="E423" s="1093"/>
      <c r="F423" s="1093"/>
      <c r="G423" s="1093"/>
      <c r="H423" s="1094"/>
      <c r="I423" s="1095"/>
      <c r="J423" s="1096"/>
      <c r="K423" s="1096"/>
      <c r="L423" s="1096"/>
      <c r="M423" s="1097"/>
      <c r="N423" s="528"/>
      <c r="O423" s="529"/>
      <c r="P423" s="529"/>
      <c r="Q423" s="1019"/>
      <c r="R423" s="528"/>
      <c r="S423" s="529"/>
      <c r="T423" s="1011"/>
      <c r="U423" s="530"/>
      <c r="V423" s="529"/>
      <c r="W423" s="1011"/>
      <c r="X423" s="1016"/>
      <c r="Y423" s="531"/>
      <c r="Z423" s="1011"/>
      <c r="AA423" s="1102"/>
      <c r="AB423" s="1103"/>
      <c r="AC423" s="1099"/>
      <c r="AD423" s="1100"/>
      <c r="AE423" s="1107"/>
      <c r="AF423" s="1107"/>
      <c r="AG423" s="1107"/>
      <c r="AH423" s="1108"/>
      <c r="AI423" s="1106"/>
      <c r="AJ423" s="1041"/>
      <c r="AK423" s="906">
        <v>0</v>
      </c>
      <c r="AL423" s="49">
        <f t="shared" si="1316"/>
        <v>1</v>
      </c>
      <c r="AM423" s="907">
        <f t="shared" si="1317"/>
        <v>1.0526158167136324</v>
      </c>
    </row>
    <row r="424" spans="4:39" ht="11.25" customHeight="1" x14ac:dyDescent="0.2">
      <c r="D424" s="1092"/>
      <c r="E424" s="1093"/>
      <c r="F424" s="1093"/>
      <c r="G424" s="1093"/>
      <c r="H424" s="1094"/>
      <c r="I424" s="1095"/>
      <c r="J424" s="1096"/>
      <c r="K424" s="1096"/>
      <c r="L424" s="1096"/>
      <c r="M424" s="1097"/>
      <c r="N424" s="528"/>
      <c r="O424" s="529"/>
      <c r="P424" s="529"/>
      <c r="Q424" s="1019"/>
      <c r="R424" s="528"/>
      <c r="S424" s="529"/>
      <c r="T424" s="1011"/>
      <c r="U424" s="530"/>
      <c r="V424" s="529"/>
      <c r="W424" s="1011"/>
      <c r="X424" s="1016"/>
      <c r="Y424" s="529"/>
      <c r="Z424" s="1011"/>
      <c r="AA424" s="1102"/>
      <c r="AB424" s="1103"/>
      <c r="AC424" s="1099"/>
      <c r="AD424" s="1100"/>
      <c r="AE424" s="1107"/>
      <c r="AF424" s="1107"/>
      <c r="AG424" s="1107"/>
      <c r="AH424" s="1108"/>
      <c r="AI424" s="1106"/>
      <c r="AJ424" s="1041"/>
      <c r="AK424" s="906">
        <v>0</v>
      </c>
      <c r="AL424" s="49">
        <f t="shared" si="1316"/>
        <v>1</v>
      </c>
      <c r="AM424" s="907">
        <f t="shared" si="1317"/>
        <v>1.0526158167136324</v>
      </c>
    </row>
    <row r="425" spans="4:39" ht="11.25" customHeight="1" x14ac:dyDescent="0.2">
      <c r="D425" s="1092"/>
      <c r="E425" s="1093"/>
      <c r="F425" s="1093"/>
      <c r="G425" s="1093"/>
      <c r="H425" s="1094"/>
      <c r="I425" s="1095"/>
      <c r="J425" s="1096"/>
      <c r="K425" s="1096"/>
      <c r="L425" s="1096"/>
      <c r="M425" s="1097"/>
      <c r="N425" s="528"/>
      <c r="O425" s="529"/>
      <c r="P425" s="529"/>
      <c r="Q425" s="1019"/>
      <c r="R425" s="528"/>
      <c r="S425" s="529"/>
      <c r="T425" s="1011"/>
      <c r="U425" s="530"/>
      <c r="V425" s="529"/>
      <c r="W425" s="1011"/>
      <c r="X425" s="1016"/>
      <c r="Y425" s="529"/>
      <c r="Z425" s="1011"/>
      <c r="AA425" s="1102"/>
      <c r="AB425" s="1103"/>
      <c r="AC425" s="1099"/>
      <c r="AD425" s="1100"/>
      <c r="AE425" s="1107"/>
      <c r="AF425" s="1107"/>
      <c r="AG425" s="1107"/>
      <c r="AH425" s="1108"/>
      <c r="AI425" s="1106"/>
      <c r="AJ425" s="1041"/>
      <c r="AK425" s="906">
        <v>0</v>
      </c>
      <c r="AL425" s="49">
        <f t="shared" si="1316"/>
        <v>1</v>
      </c>
      <c r="AM425" s="907">
        <f t="shared" si="1317"/>
        <v>1.0526158167136324</v>
      </c>
    </row>
    <row r="426" spans="4:39" ht="11.25" customHeight="1" x14ac:dyDescent="0.2">
      <c r="D426" s="1092"/>
      <c r="E426" s="1093"/>
      <c r="F426" s="1093"/>
      <c r="G426" s="1093"/>
      <c r="H426" s="1094"/>
      <c r="I426" s="1095"/>
      <c r="J426" s="1096"/>
      <c r="K426" s="1096"/>
      <c r="L426" s="1096"/>
      <c r="M426" s="1097"/>
      <c r="N426" s="528"/>
      <c r="O426" s="529"/>
      <c r="P426" s="529"/>
      <c r="Q426" s="1019"/>
      <c r="R426" s="528"/>
      <c r="S426" s="529"/>
      <c r="T426" s="1011"/>
      <c r="U426" s="530"/>
      <c r="V426" s="529"/>
      <c r="W426" s="1011"/>
      <c r="X426" s="1016"/>
      <c r="Y426" s="529"/>
      <c r="Z426" s="1011"/>
      <c r="AA426" s="1102"/>
      <c r="AB426" s="1103"/>
      <c r="AC426" s="1099"/>
      <c r="AD426" s="1100"/>
      <c r="AE426" s="1107"/>
      <c r="AF426" s="1107"/>
      <c r="AG426" s="1107"/>
      <c r="AH426" s="1108"/>
      <c r="AI426" s="1106"/>
      <c r="AJ426" s="1041"/>
      <c r="AK426" s="906">
        <v>0</v>
      </c>
      <c r="AL426" s="49">
        <f t="shared" si="1316"/>
        <v>1</v>
      </c>
      <c r="AM426" s="907">
        <f t="shared" si="1317"/>
        <v>1.0526158167136324</v>
      </c>
    </row>
    <row r="427" spans="4:39" ht="11.25" customHeight="1" x14ac:dyDescent="0.2">
      <c r="D427" s="1092"/>
      <c r="E427" s="1093"/>
      <c r="F427" s="1093"/>
      <c r="G427" s="1093"/>
      <c r="H427" s="1094"/>
      <c r="I427" s="1095"/>
      <c r="J427" s="1096"/>
      <c r="K427" s="1096"/>
      <c r="L427" s="1096"/>
      <c r="M427" s="1097"/>
      <c r="N427" s="528"/>
      <c r="O427" s="529"/>
      <c r="P427" s="529"/>
      <c r="Q427" s="1019"/>
      <c r="R427" s="528"/>
      <c r="S427" s="529"/>
      <c r="T427" s="1011"/>
      <c r="U427" s="530"/>
      <c r="V427" s="529"/>
      <c r="W427" s="1011"/>
      <c r="X427" s="1016"/>
      <c r="Y427" s="529"/>
      <c r="Z427" s="1011"/>
      <c r="AA427" s="1102"/>
      <c r="AB427" s="1103"/>
      <c r="AC427" s="1099"/>
      <c r="AD427" s="1100"/>
      <c r="AE427" s="1107"/>
      <c r="AF427" s="1107"/>
      <c r="AG427" s="1107"/>
      <c r="AH427" s="1108"/>
      <c r="AI427" s="1106"/>
      <c r="AJ427" s="1041"/>
      <c r="AK427" s="906">
        <v>0</v>
      </c>
      <c r="AL427" s="49">
        <f t="shared" si="1316"/>
        <v>1</v>
      </c>
      <c r="AM427" s="907">
        <f t="shared" si="1317"/>
        <v>1.0526158167136324</v>
      </c>
    </row>
    <row r="428" spans="4:39" ht="11.25" customHeight="1" thickBot="1" x14ac:dyDescent="0.25">
      <c r="D428" s="532" t="s">
        <v>418</v>
      </c>
      <c r="E428" s="533"/>
      <c r="F428" s="534"/>
      <c r="G428" s="535"/>
      <c r="H428" s="535"/>
      <c r="I428" s="534"/>
      <c r="J428" s="535"/>
      <c r="K428" s="535"/>
      <c r="L428" s="535"/>
      <c r="M428" s="536"/>
      <c r="N428" s="537">
        <f>SUM(N422:N427)</f>
        <v>0</v>
      </c>
      <c r="O428" s="537">
        <f t="shared" ref="O428" si="1321">SUM(O422:O427)</f>
        <v>0</v>
      </c>
      <c r="P428" s="536"/>
      <c r="Q428" s="1020" t="s">
        <v>701</v>
      </c>
      <c r="R428" s="538"/>
      <c r="S428" s="539">
        <f t="shared" ref="S428" si="1322">SUM(S422:S427)</f>
        <v>0</v>
      </c>
      <c r="T428" s="1012" t="s">
        <v>701</v>
      </c>
      <c r="U428" s="538"/>
      <c r="V428" s="539">
        <f t="shared" ref="V428:Y428" si="1323">SUM(V422:V427)</f>
        <v>0</v>
      </c>
      <c r="W428" s="1012" t="s">
        <v>701</v>
      </c>
      <c r="X428" s="1012" t="s">
        <v>701</v>
      </c>
      <c r="Y428" s="539">
        <f t="shared" si="1323"/>
        <v>0</v>
      </c>
      <c r="Z428" s="1012" t="s">
        <v>701</v>
      </c>
      <c r="AA428" s="1012" t="s">
        <v>701</v>
      </c>
      <c r="AB428" s="1007" t="s">
        <v>701</v>
      </c>
      <c r="AC428" s="1013" t="s">
        <v>701</v>
      </c>
      <c r="AD428" s="540"/>
      <c r="AE428" s="1008" t="s">
        <v>701</v>
      </c>
      <c r="AF428" s="1008" t="s">
        <v>701</v>
      </c>
      <c r="AG428" s="1008" t="s">
        <v>701</v>
      </c>
      <c r="AH428" s="1008" t="s">
        <v>701</v>
      </c>
      <c r="AI428" s="1008" t="s">
        <v>701</v>
      </c>
      <c r="AJ428" s="1042"/>
      <c r="AK428" s="906">
        <v>0</v>
      </c>
      <c r="AL428" s="49">
        <f t="shared" si="1316"/>
        <v>1</v>
      </c>
      <c r="AM428" s="907">
        <f t="shared" si="1317"/>
        <v>1.0526158167136324</v>
      </c>
    </row>
    <row r="429" spans="4:39" ht="11.25" customHeight="1" x14ac:dyDescent="0.25">
      <c r="D429" s="1092" t="s">
        <v>740</v>
      </c>
      <c r="E429" s="1093" t="s">
        <v>718</v>
      </c>
      <c r="F429" s="1093">
        <v>1698</v>
      </c>
      <c r="G429" s="1093" t="s">
        <v>730</v>
      </c>
      <c r="H429" s="1094" t="s">
        <v>720</v>
      </c>
      <c r="I429" s="1095" t="s">
        <v>736</v>
      </c>
      <c r="J429" s="1096">
        <v>200</v>
      </c>
      <c r="K429" s="1096">
        <v>200</v>
      </c>
      <c r="L429" s="1096">
        <v>100</v>
      </c>
      <c r="M429" s="1097">
        <v>100</v>
      </c>
      <c r="N429" s="522">
        <v>0</v>
      </c>
      <c r="O429" s="523">
        <v>0</v>
      </c>
      <c r="P429" s="524">
        <v>0</v>
      </c>
      <c r="Q429" s="1018" t="s">
        <v>701</v>
      </c>
      <c r="R429" s="525" t="s">
        <v>789</v>
      </c>
      <c r="S429" s="524">
        <v>5</v>
      </c>
      <c r="T429" s="1017" t="s">
        <v>701</v>
      </c>
      <c r="U429" s="526" t="s">
        <v>780</v>
      </c>
      <c r="V429" s="524">
        <v>2</v>
      </c>
      <c r="W429" s="1010" t="s">
        <v>701</v>
      </c>
      <c r="X429" s="1015" t="s">
        <v>701</v>
      </c>
      <c r="Y429" s="527">
        <v>3893.334658385093</v>
      </c>
      <c r="Z429" s="1010" t="s">
        <v>701</v>
      </c>
      <c r="AA429" s="1102" t="s">
        <v>701</v>
      </c>
      <c r="AB429" s="1103" t="s">
        <v>701</v>
      </c>
      <c r="AC429" s="1099"/>
      <c r="AD429" s="1100">
        <v>0</v>
      </c>
      <c r="AE429" s="1107" t="s">
        <v>701</v>
      </c>
      <c r="AF429" s="1107" t="s">
        <v>701</v>
      </c>
      <c r="AG429" s="1107" t="s">
        <v>701</v>
      </c>
      <c r="AH429" s="1108" t="s">
        <v>701</v>
      </c>
      <c r="AI429" s="1106" t="s">
        <v>701</v>
      </c>
      <c r="AJ429" s="1040" t="s">
        <v>596</v>
      </c>
      <c r="AK429" s="906">
        <v>0</v>
      </c>
      <c r="AL429" s="49">
        <f t="shared" si="1316"/>
        <v>1</v>
      </c>
      <c r="AM429" s="907">
        <f t="shared" si="1317"/>
        <v>1.0526158167136324</v>
      </c>
    </row>
    <row r="430" spans="4:39" ht="11.25" customHeight="1" x14ac:dyDescent="0.2">
      <c r="D430" s="1092"/>
      <c r="E430" s="1093"/>
      <c r="F430" s="1093"/>
      <c r="G430" s="1093"/>
      <c r="H430" s="1094"/>
      <c r="I430" s="1095"/>
      <c r="J430" s="1096"/>
      <c r="K430" s="1096"/>
      <c r="L430" s="1096"/>
      <c r="M430" s="1097"/>
      <c r="N430" s="528">
        <v>0</v>
      </c>
      <c r="O430" s="529">
        <v>0</v>
      </c>
      <c r="P430" s="529">
        <v>0</v>
      </c>
      <c r="Q430" s="1019" t="s">
        <v>701</v>
      </c>
      <c r="R430" s="528" t="s">
        <v>790</v>
      </c>
      <c r="S430" s="529">
        <v>8</v>
      </c>
      <c r="T430" s="1011" t="s">
        <v>701</v>
      </c>
      <c r="U430" s="530">
        <v>0</v>
      </c>
      <c r="V430" s="529">
        <v>0</v>
      </c>
      <c r="W430" s="1011" t="s">
        <v>701</v>
      </c>
      <c r="X430" s="1016" t="s">
        <v>701</v>
      </c>
      <c r="Y430" s="531">
        <v>0</v>
      </c>
      <c r="Z430" s="1011" t="s">
        <v>701</v>
      </c>
      <c r="AA430" s="1102"/>
      <c r="AB430" s="1103"/>
      <c r="AC430" s="1099"/>
      <c r="AD430" s="1100"/>
      <c r="AE430" s="1107"/>
      <c r="AF430" s="1107"/>
      <c r="AG430" s="1107"/>
      <c r="AH430" s="1108"/>
      <c r="AI430" s="1106"/>
      <c r="AJ430" s="1041" t="s">
        <v>596</v>
      </c>
      <c r="AK430" s="906">
        <v>0</v>
      </c>
      <c r="AL430" s="49">
        <f t="shared" si="1316"/>
        <v>1</v>
      </c>
      <c r="AM430" s="907">
        <f t="shared" si="1317"/>
        <v>1.0526158167136324</v>
      </c>
    </row>
    <row r="431" spans="4:39" ht="11.25" customHeight="1" x14ac:dyDescent="0.2">
      <c r="D431" s="1092"/>
      <c r="E431" s="1093"/>
      <c r="F431" s="1093"/>
      <c r="G431" s="1093"/>
      <c r="H431" s="1094"/>
      <c r="I431" s="1095"/>
      <c r="J431" s="1096"/>
      <c r="K431" s="1096"/>
      <c r="L431" s="1096"/>
      <c r="M431" s="1097"/>
      <c r="N431" s="528">
        <v>0</v>
      </c>
      <c r="O431" s="529">
        <v>0</v>
      </c>
      <c r="P431" s="529">
        <v>0</v>
      </c>
      <c r="Q431" s="1019" t="s">
        <v>701</v>
      </c>
      <c r="R431" s="528">
        <v>0</v>
      </c>
      <c r="S431" s="529">
        <v>0</v>
      </c>
      <c r="T431" s="1011" t="s">
        <v>701</v>
      </c>
      <c r="U431" s="530">
        <v>0</v>
      </c>
      <c r="V431" s="529">
        <v>0</v>
      </c>
      <c r="W431" s="1011" t="s">
        <v>701</v>
      </c>
      <c r="X431" s="1016" t="s">
        <v>701</v>
      </c>
      <c r="Y431" s="529">
        <v>0</v>
      </c>
      <c r="Z431" s="1011" t="s">
        <v>701</v>
      </c>
      <c r="AA431" s="1102"/>
      <c r="AB431" s="1103"/>
      <c r="AC431" s="1099"/>
      <c r="AD431" s="1100"/>
      <c r="AE431" s="1107"/>
      <c r="AF431" s="1107"/>
      <c r="AG431" s="1107"/>
      <c r="AH431" s="1108"/>
      <c r="AI431" s="1106"/>
      <c r="AJ431" s="1041" t="s">
        <v>596</v>
      </c>
      <c r="AK431" s="906">
        <v>0</v>
      </c>
      <c r="AL431" s="49">
        <f t="shared" si="1316"/>
        <v>1</v>
      </c>
      <c r="AM431" s="907">
        <f t="shared" si="1317"/>
        <v>1.0526158167136324</v>
      </c>
    </row>
    <row r="432" spans="4:39" ht="11.25" customHeight="1" x14ac:dyDescent="0.2">
      <c r="D432" s="1092"/>
      <c r="E432" s="1093"/>
      <c r="F432" s="1093"/>
      <c r="G432" s="1093"/>
      <c r="H432" s="1094"/>
      <c r="I432" s="1095"/>
      <c r="J432" s="1096"/>
      <c r="K432" s="1096"/>
      <c r="L432" s="1096"/>
      <c r="M432" s="1097"/>
      <c r="N432" s="528">
        <v>0</v>
      </c>
      <c r="O432" s="529">
        <v>0</v>
      </c>
      <c r="P432" s="529">
        <v>0</v>
      </c>
      <c r="Q432" s="1019" t="s">
        <v>701</v>
      </c>
      <c r="R432" s="528">
        <v>0</v>
      </c>
      <c r="S432" s="529">
        <v>0</v>
      </c>
      <c r="T432" s="1011" t="s">
        <v>701</v>
      </c>
      <c r="U432" s="530">
        <v>0</v>
      </c>
      <c r="V432" s="529">
        <v>0</v>
      </c>
      <c r="W432" s="1011" t="s">
        <v>701</v>
      </c>
      <c r="X432" s="1016" t="s">
        <v>701</v>
      </c>
      <c r="Y432" s="529">
        <v>0</v>
      </c>
      <c r="Z432" s="1011" t="s">
        <v>701</v>
      </c>
      <c r="AA432" s="1102"/>
      <c r="AB432" s="1103"/>
      <c r="AC432" s="1099"/>
      <c r="AD432" s="1100"/>
      <c r="AE432" s="1107"/>
      <c r="AF432" s="1107"/>
      <c r="AG432" s="1107"/>
      <c r="AH432" s="1108"/>
      <c r="AI432" s="1106"/>
      <c r="AJ432" s="1041" t="s">
        <v>596</v>
      </c>
      <c r="AK432" s="906">
        <v>0</v>
      </c>
      <c r="AL432" s="49">
        <f t="shared" si="1316"/>
        <v>1</v>
      </c>
      <c r="AM432" s="907">
        <f t="shared" si="1317"/>
        <v>1.0526158167136324</v>
      </c>
    </row>
    <row r="433" spans="4:39" ht="11.25" customHeight="1" x14ac:dyDescent="0.2">
      <c r="D433" s="1092"/>
      <c r="E433" s="1093"/>
      <c r="F433" s="1093"/>
      <c r="G433" s="1093"/>
      <c r="H433" s="1094"/>
      <c r="I433" s="1095"/>
      <c r="J433" s="1096"/>
      <c r="K433" s="1096"/>
      <c r="L433" s="1096"/>
      <c r="M433" s="1097"/>
      <c r="N433" s="528">
        <v>0</v>
      </c>
      <c r="O433" s="529">
        <v>0</v>
      </c>
      <c r="P433" s="529">
        <v>0</v>
      </c>
      <c r="Q433" s="1019" t="s">
        <v>701</v>
      </c>
      <c r="R433" s="528">
        <v>0</v>
      </c>
      <c r="S433" s="529">
        <v>0</v>
      </c>
      <c r="T433" s="1011" t="s">
        <v>701</v>
      </c>
      <c r="U433" s="530">
        <v>0</v>
      </c>
      <c r="V433" s="529">
        <v>0</v>
      </c>
      <c r="W433" s="1011" t="s">
        <v>701</v>
      </c>
      <c r="X433" s="1016" t="s">
        <v>701</v>
      </c>
      <c r="Y433" s="529">
        <v>0</v>
      </c>
      <c r="Z433" s="1011" t="s">
        <v>701</v>
      </c>
      <c r="AA433" s="1102"/>
      <c r="AB433" s="1103"/>
      <c r="AC433" s="1099"/>
      <c r="AD433" s="1100"/>
      <c r="AE433" s="1107"/>
      <c r="AF433" s="1107"/>
      <c r="AG433" s="1107"/>
      <c r="AH433" s="1108"/>
      <c r="AI433" s="1106"/>
      <c r="AJ433" s="1041" t="s">
        <v>596</v>
      </c>
      <c r="AK433" s="906">
        <v>0</v>
      </c>
      <c r="AL433" s="49">
        <f t="shared" si="1316"/>
        <v>1</v>
      </c>
      <c r="AM433" s="907">
        <f t="shared" si="1317"/>
        <v>1.0526158167136324</v>
      </c>
    </row>
    <row r="434" spans="4:39" ht="11.25" customHeight="1" x14ac:dyDescent="0.2">
      <c r="D434" s="1092"/>
      <c r="E434" s="1093"/>
      <c r="F434" s="1093"/>
      <c r="G434" s="1093"/>
      <c r="H434" s="1094"/>
      <c r="I434" s="1095"/>
      <c r="J434" s="1096"/>
      <c r="K434" s="1096"/>
      <c r="L434" s="1096"/>
      <c r="M434" s="1097"/>
      <c r="N434" s="528">
        <v>0</v>
      </c>
      <c r="O434" s="529">
        <v>0</v>
      </c>
      <c r="P434" s="529">
        <v>0</v>
      </c>
      <c r="Q434" s="1019" t="s">
        <v>701</v>
      </c>
      <c r="R434" s="528">
        <v>0</v>
      </c>
      <c r="S434" s="529">
        <v>0</v>
      </c>
      <c r="T434" s="1011" t="s">
        <v>701</v>
      </c>
      <c r="U434" s="530">
        <v>0</v>
      </c>
      <c r="V434" s="529">
        <v>0</v>
      </c>
      <c r="W434" s="1011" t="s">
        <v>701</v>
      </c>
      <c r="X434" s="1016" t="s">
        <v>701</v>
      </c>
      <c r="Y434" s="529">
        <v>0</v>
      </c>
      <c r="Z434" s="1011" t="s">
        <v>701</v>
      </c>
      <c r="AA434" s="1102"/>
      <c r="AB434" s="1103"/>
      <c r="AC434" s="1099"/>
      <c r="AD434" s="1100"/>
      <c r="AE434" s="1107"/>
      <c r="AF434" s="1107"/>
      <c r="AG434" s="1107"/>
      <c r="AH434" s="1108"/>
      <c r="AI434" s="1106"/>
      <c r="AJ434" s="1041" t="s">
        <v>596</v>
      </c>
      <c r="AK434" s="906">
        <v>0</v>
      </c>
      <c r="AL434" s="49">
        <f t="shared" si="1316"/>
        <v>1</v>
      </c>
      <c r="AM434" s="907">
        <f t="shared" si="1317"/>
        <v>1.0526158167136324</v>
      </c>
    </row>
    <row r="435" spans="4:39" ht="11.25" customHeight="1" thickBot="1" x14ac:dyDescent="0.25">
      <c r="D435" s="532" t="s">
        <v>418</v>
      </c>
      <c r="E435" s="533"/>
      <c r="F435" s="534"/>
      <c r="G435" s="535"/>
      <c r="H435" s="535"/>
      <c r="I435" s="534"/>
      <c r="J435" s="535"/>
      <c r="K435" s="535"/>
      <c r="L435" s="535"/>
      <c r="M435" s="536"/>
      <c r="N435" s="537">
        <f>SUM(N429:N434)</f>
        <v>0</v>
      </c>
      <c r="O435" s="537">
        <f t="shared" ref="O435" si="1324">SUM(O429:O434)</f>
        <v>0</v>
      </c>
      <c r="P435" s="536"/>
      <c r="Q435" s="1020" t="s">
        <v>701</v>
      </c>
      <c r="R435" s="538"/>
      <c r="S435" s="539">
        <f t="shared" ref="S435" si="1325">SUM(S429:S434)</f>
        <v>13</v>
      </c>
      <c r="T435" s="1012" t="s">
        <v>701</v>
      </c>
      <c r="U435" s="538"/>
      <c r="V435" s="539">
        <f t="shared" ref="V435:Y435" si="1326">SUM(V429:V434)</f>
        <v>2</v>
      </c>
      <c r="W435" s="1012" t="s">
        <v>701</v>
      </c>
      <c r="X435" s="1012" t="s">
        <v>701</v>
      </c>
      <c r="Y435" s="539">
        <f t="shared" si="1326"/>
        <v>3893.334658385093</v>
      </c>
      <c r="Z435" s="1012" t="s">
        <v>701</v>
      </c>
      <c r="AA435" s="1012" t="s">
        <v>701</v>
      </c>
      <c r="AB435" s="1007" t="s">
        <v>701</v>
      </c>
      <c r="AC435" s="1013" t="s">
        <v>701</v>
      </c>
      <c r="AD435" s="540"/>
      <c r="AE435" s="1008" t="s">
        <v>701</v>
      </c>
      <c r="AF435" s="1008" t="s">
        <v>701</v>
      </c>
      <c r="AG435" s="1008" t="s">
        <v>701</v>
      </c>
      <c r="AH435" s="1008" t="s">
        <v>701</v>
      </c>
      <c r="AI435" s="1008" t="s">
        <v>701</v>
      </c>
      <c r="AJ435" s="1042" t="s">
        <v>596</v>
      </c>
      <c r="AK435" s="906">
        <v>0</v>
      </c>
      <c r="AL435" s="49">
        <f t="shared" si="1316"/>
        <v>1</v>
      </c>
      <c r="AM435" s="907">
        <f t="shared" si="1317"/>
        <v>1.0526158167136324</v>
      </c>
    </row>
    <row r="436" spans="4:39" ht="11.25" customHeight="1" x14ac:dyDescent="0.25">
      <c r="D436" s="1092" t="s">
        <v>741</v>
      </c>
      <c r="E436" s="1093" t="s">
        <v>718</v>
      </c>
      <c r="F436" s="1093" t="s">
        <v>742</v>
      </c>
      <c r="G436" s="1093" t="s">
        <v>730</v>
      </c>
      <c r="H436" s="1094" t="s">
        <v>731</v>
      </c>
      <c r="I436" s="1095" t="s">
        <v>721</v>
      </c>
      <c r="J436" s="1096">
        <v>1125</v>
      </c>
      <c r="K436" s="1096">
        <v>1125</v>
      </c>
      <c r="L436" s="1096">
        <v>750</v>
      </c>
      <c r="M436" s="1097">
        <v>750</v>
      </c>
      <c r="N436" s="522">
        <v>0</v>
      </c>
      <c r="O436" s="523">
        <v>0</v>
      </c>
      <c r="P436" s="524">
        <v>0</v>
      </c>
      <c r="Q436" s="1018" t="s">
        <v>701</v>
      </c>
      <c r="R436" s="525" t="s">
        <v>789</v>
      </c>
      <c r="S436" s="524">
        <v>16</v>
      </c>
      <c r="T436" s="1017" t="s">
        <v>701</v>
      </c>
      <c r="U436" s="526">
        <v>0</v>
      </c>
      <c r="V436" s="524">
        <v>0</v>
      </c>
      <c r="W436" s="1010" t="s">
        <v>701</v>
      </c>
      <c r="X436" s="1015" t="s">
        <v>701</v>
      </c>
      <c r="Y436" s="527">
        <v>12761.45900621118</v>
      </c>
      <c r="Z436" s="1010" t="s">
        <v>701</v>
      </c>
      <c r="AA436" s="1102" t="s">
        <v>701</v>
      </c>
      <c r="AB436" s="1103" t="s">
        <v>701</v>
      </c>
      <c r="AC436" s="1099"/>
      <c r="AD436" s="1100">
        <v>0</v>
      </c>
      <c r="AE436" s="1107" t="s">
        <v>701</v>
      </c>
      <c r="AF436" s="1107" t="s">
        <v>701</v>
      </c>
      <c r="AG436" s="1107" t="s">
        <v>701</v>
      </c>
      <c r="AH436" s="1108" t="s">
        <v>701</v>
      </c>
      <c r="AI436" s="1106" t="s">
        <v>701</v>
      </c>
      <c r="AJ436" s="1040" t="s">
        <v>596</v>
      </c>
      <c r="AK436" s="906">
        <v>0</v>
      </c>
      <c r="AL436" s="49">
        <f t="shared" si="1316"/>
        <v>1</v>
      </c>
      <c r="AM436" s="907">
        <f t="shared" si="1317"/>
        <v>1.0526158167136324</v>
      </c>
    </row>
    <row r="437" spans="4:39" ht="11.25" customHeight="1" x14ac:dyDescent="0.2">
      <c r="D437" s="1092"/>
      <c r="E437" s="1093"/>
      <c r="F437" s="1093"/>
      <c r="G437" s="1093"/>
      <c r="H437" s="1094"/>
      <c r="I437" s="1095"/>
      <c r="J437" s="1096"/>
      <c r="K437" s="1096"/>
      <c r="L437" s="1096"/>
      <c r="M437" s="1097"/>
      <c r="N437" s="528">
        <v>0</v>
      </c>
      <c r="O437" s="529">
        <v>0</v>
      </c>
      <c r="P437" s="529">
        <v>0</v>
      </c>
      <c r="Q437" s="1019" t="s">
        <v>701</v>
      </c>
      <c r="R437" s="528" t="s">
        <v>790</v>
      </c>
      <c r="S437" s="529">
        <v>16</v>
      </c>
      <c r="T437" s="1011" t="s">
        <v>701</v>
      </c>
      <c r="U437" s="530">
        <v>0</v>
      </c>
      <c r="V437" s="529">
        <v>0</v>
      </c>
      <c r="W437" s="1011" t="s">
        <v>701</v>
      </c>
      <c r="X437" s="1016" t="s">
        <v>701</v>
      </c>
      <c r="Y437" s="531">
        <v>0</v>
      </c>
      <c r="Z437" s="1011" t="s">
        <v>701</v>
      </c>
      <c r="AA437" s="1102"/>
      <c r="AB437" s="1103"/>
      <c r="AC437" s="1099"/>
      <c r="AD437" s="1100"/>
      <c r="AE437" s="1107"/>
      <c r="AF437" s="1107"/>
      <c r="AG437" s="1107"/>
      <c r="AH437" s="1108"/>
      <c r="AI437" s="1106"/>
      <c r="AJ437" s="1041" t="s">
        <v>596</v>
      </c>
      <c r="AK437" s="906">
        <v>0</v>
      </c>
      <c r="AL437" s="49">
        <f t="shared" si="1316"/>
        <v>1</v>
      </c>
      <c r="AM437" s="907">
        <f t="shared" si="1317"/>
        <v>1.0526158167136324</v>
      </c>
    </row>
    <row r="438" spans="4:39" ht="11.25" customHeight="1" x14ac:dyDescent="0.2">
      <c r="D438" s="1092"/>
      <c r="E438" s="1093"/>
      <c r="F438" s="1093"/>
      <c r="G438" s="1093"/>
      <c r="H438" s="1094"/>
      <c r="I438" s="1095"/>
      <c r="J438" s="1096"/>
      <c r="K438" s="1096"/>
      <c r="L438" s="1096"/>
      <c r="M438" s="1097"/>
      <c r="N438" s="528">
        <v>0</v>
      </c>
      <c r="O438" s="529">
        <v>0</v>
      </c>
      <c r="P438" s="529">
        <v>0</v>
      </c>
      <c r="Q438" s="1019" t="s">
        <v>701</v>
      </c>
      <c r="R438" s="528">
        <v>0</v>
      </c>
      <c r="S438" s="529">
        <v>0</v>
      </c>
      <c r="T438" s="1011" t="s">
        <v>701</v>
      </c>
      <c r="U438" s="530">
        <v>0</v>
      </c>
      <c r="V438" s="529">
        <v>0</v>
      </c>
      <c r="W438" s="1011" t="s">
        <v>701</v>
      </c>
      <c r="X438" s="1016" t="s">
        <v>701</v>
      </c>
      <c r="Y438" s="529">
        <v>0</v>
      </c>
      <c r="Z438" s="1011" t="s">
        <v>701</v>
      </c>
      <c r="AA438" s="1102"/>
      <c r="AB438" s="1103"/>
      <c r="AC438" s="1099"/>
      <c r="AD438" s="1100"/>
      <c r="AE438" s="1107"/>
      <c r="AF438" s="1107"/>
      <c r="AG438" s="1107"/>
      <c r="AH438" s="1108"/>
      <c r="AI438" s="1106"/>
      <c r="AJ438" s="1041" t="s">
        <v>596</v>
      </c>
      <c r="AK438" s="906">
        <v>0</v>
      </c>
      <c r="AL438" s="49">
        <f t="shared" si="1316"/>
        <v>1</v>
      </c>
      <c r="AM438" s="907">
        <f t="shared" si="1317"/>
        <v>1.0526158167136324</v>
      </c>
    </row>
    <row r="439" spans="4:39" ht="11.25" customHeight="1" x14ac:dyDescent="0.2">
      <c r="D439" s="1092"/>
      <c r="E439" s="1093"/>
      <c r="F439" s="1093"/>
      <c r="G439" s="1093"/>
      <c r="H439" s="1094"/>
      <c r="I439" s="1095"/>
      <c r="J439" s="1096"/>
      <c r="K439" s="1096"/>
      <c r="L439" s="1096"/>
      <c r="M439" s="1097"/>
      <c r="N439" s="528">
        <v>0</v>
      </c>
      <c r="O439" s="529">
        <v>0</v>
      </c>
      <c r="P439" s="529">
        <v>0</v>
      </c>
      <c r="Q439" s="1019" t="s">
        <v>701</v>
      </c>
      <c r="R439" s="528">
        <v>0</v>
      </c>
      <c r="S439" s="529">
        <v>0</v>
      </c>
      <c r="T439" s="1011" t="s">
        <v>701</v>
      </c>
      <c r="U439" s="530">
        <v>0</v>
      </c>
      <c r="V439" s="529">
        <v>0</v>
      </c>
      <c r="W439" s="1011" t="s">
        <v>701</v>
      </c>
      <c r="X439" s="1016" t="s">
        <v>701</v>
      </c>
      <c r="Y439" s="529">
        <v>0</v>
      </c>
      <c r="Z439" s="1011" t="s">
        <v>701</v>
      </c>
      <c r="AA439" s="1102"/>
      <c r="AB439" s="1103"/>
      <c r="AC439" s="1099"/>
      <c r="AD439" s="1100"/>
      <c r="AE439" s="1107"/>
      <c r="AF439" s="1107"/>
      <c r="AG439" s="1107"/>
      <c r="AH439" s="1108"/>
      <c r="AI439" s="1106"/>
      <c r="AJ439" s="1041" t="s">
        <v>596</v>
      </c>
      <c r="AK439" s="906">
        <v>0</v>
      </c>
      <c r="AL439" s="49">
        <f t="shared" si="1316"/>
        <v>1</v>
      </c>
      <c r="AM439" s="907">
        <f t="shared" si="1317"/>
        <v>1.0526158167136324</v>
      </c>
    </row>
    <row r="440" spans="4:39" ht="11.25" customHeight="1" x14ac:dyDescent="0.2">
      <c r="D440" s="1092"/>
      <c r="E440" s="1093"/>
      <c r="F440" s="1093"/>
      <c r="G440" s="1093"/>
      <c r="H440" s="1094"/>
      <c r="I440" s="1095"/>
      <c r="J440" s="1096"/>
      <c r="K440" s="1096"/>
      <c r="L440" s="1096"/>
      <c r="M440" s="1097"/>
      <c r="N440" s="528">
        <v>0</v>
      </c>
      <c r="O440" s="529">
        <v>0</v>
      </c>
      <c r="P440" s="529">
        <v>0</v>
      </c>
      <c r="Q440" s="1019" t="s">
        <v>701</v>
      </c>
      <c r="R440" s="528">
        <v>0</v>
      </c>
      <c r="S440" s="529">
        <v>0</v>
      </c>
      <c r="T440" s="1011" t="s">
        <v>701</v>
      </c>
      <c r="U440" s="530">
        <v>0</v>
      </c>
      <c r="V440" s="529">
        <v>0</v>
      </c>
      <c r="W440" s="1011" t="s">
        <v>701</v>
      </c>
      <c r="X440" s="1016" t="s">
        <v>701</v>
      </c>
      <c r="Y440" s="529">
        <v>0</v>
      </c>
      <c r="Z440" s="1011" t="s">
        <v>701</v>
      </c>
      <c r="AA440" s="1102"/>
      <c r="AB440" s="1103"/>
      <c r="AC440" s="1099"/>
      <c r="AD440" s="1100"/>
      <c r="AE440" s="1107"/>
      <c r="AF440" s="1107"/>
      <c r="AG440" s="1107"/>
      <c r="AH440" s="1108"/>
      <c r="AI440" s="1106"/>
      <c r="AJ440" s="1041" t="s">
        <v>596</v>
      </c>
      <c r="AK440" s="906">
        <v>0</v>
      </c>
      <c r="AL440" s="49">
        <f t="shared" si="1316"/>
        <v>1</v>
      </c>
      <c r="AM440" s="907">
        <f t="shared" si="1317"/>
        <v>1.0526158167136324</v>
      </c>
    </row>
    <row r="441" spans="4:39" ht="11.25" customHeight="1" x14ac:dyDescent="0.2">
      <c r="D441" s="1092"/>
      <c r="E441" s="1093"/>
      <c r="F441" s="1093"/>
      <c r="G441" s="1093"/>
      <c r="H441" s="1094"/>
      <c r="I441" s="1095"/>
      <c r="J441" s="1096"/>
      <c r="K441" s="1096"/>
      <c r="L441" s="1096"/>
      <c r="M441" s="1097"/>
      <c r="N441" s="528">
        <v>0</v>
      </c>
      <c r="O441" s="529">
        <v>0</v>
      </c>
      <c r="P441" s="529">
        <v>0</v>
      </c>
      <c r="Q441" s="1019" t="s">
        <v>701</v>
      </c>
      <c r="R441" s="528">
        <v>0</v>
      </c>
      <c r="S441" s="529">
        <v>0</v>
      </c>
      <c r="T441" s="1011" t="s">
        <v>701</v>
      </c>
      <c r="U441" s="530">
        <v>0</v>
      </c>
      <c r="V441" s="529">
        <v>0</v>
      </c>
      <c r="W441" s="1011" t="s">
        <v>701</v>
      </c>
      <c r="X441" s="1016" t="s">
        <v>701</v>
      </c>
      <c r="Y441" s="529">
        <v>0</v>
      </c>
      <c r="Z441" s="1011" t="s">
        <v>701</v>
      </c>
      <c r="AA441" s="1102"/>
      <c r="AB441" s="1103"/>
      <c r="AC441" s="1099"/>
      <c r="AD441" s="1100"/>
      <c r="AE441" s="1107"/>
      <c r="AF441" s="1107"/>
      <c r="AG441" s="1107"/>
      <c r="AH441" s="1108"/>
      <c r="AI441" s="1106"/>
      <c r="AJ441" s="1041" t="s">
        <v>596</v>
      </c>
      <c r="AK441" s="906">
        <v>0</v>
      </c>
      <c r="AL441" s="49">
        <f t="shared" si="1316"/>
        <v>1</v>
      </c>
      <c r="AM441" s="907">
        <f t="shared" si="1317"/>
        <v>1.0526158167136324</v>
      </c>
    </row>
    <row r="442" spans="4:39" ht="11.25" customHeight="1" thickBot="1" x14ac:dyDescent="0.25">
      <c r="D442" s="532" t="s">
        <v>418</v>
      </c>
      <c r="E442" s="533"/>
      <c r="F442" s="534"/>
      <c r="G442" s="535"/>
      <c r="H442" s="535"/>
      <c r="I442" s="534"/>
      <c r="J442" s="535"/>
      <c r="K442" s="535"/>
      <c r="L442" s="535"/>
      <c r="M442" s="536"/>
      <c r="N442" s="537">
        <f>SUM(N436:N441)</f>
        <v>0</v>
      </c>
      <c r="O442" s="537">
        <f t="shared" ref="O442" si="1327">SUM(O436:O441)</f>
        <v>0</v>
      </c>
      <c r="P442" s="536"/>
      <c r="Q442" s="1020" t="s">
        <v>701</v>
      </c>
      <c r="R442" s="538"/>
      <c r="S442" s="539">
        <f t="shared" ref="S442" si="1328">SUM(S436:S441)</f>
        <v>32</v>
      </c>
      <c r="T442" s="1012" t="s">
        <v>701</v>
      </c>
      <c r="U442" s="538"/>
      <c r="V442" s="539">
        <f t="shared" ref="V442:Y442" si="1329">SUM(V436:V441)</f>
        <v>0</v>
      </c>
      <c r="W442" s="1012" t="s">
        <v>701</v>
      </c>
      <c r="X442" s="1012" t="s">
        <v>701</v>
      </c>
      <c r="Y442" s="539">
        <f t="shared" si="1329"/>
        <v>12761.45900621118</v>
      </c>
      <c r="Z442" s="1012" t="s">
        <v>701</v>
      </c>
      <c r="AA442" s="1012" t="s">
        <v>701</v>
      </c>
      <c r="AB442" s="1007" t="s">
        <v>701</v>
      </c>
      <c r="AC442" s="1013" t="s">
        <v>701</v>
      </c>
      <c r="AD442" s="540"/>
      <c r="AE442" s="1008" t="s">
        <v>701</v>
      </c>
      <c r="AF442" s="1008" t="s">
        <v>701</v>
      </c>
      <c r="AG442" s="1008" t="s">
        <v>701</v>
      </c>
      <c r="AH442" s="1008" t="s">
        <v>701</v>
      </c>
      <c r="AI442" s="1008" t="s">
        <v>701</v>
      </c>
      <c r="AJ442" s="1042" t="s">
        <v>596</v>
      </c>
      <c r="AK442" s="906">
        <v>0</v>
      </c>
      <c r="AL442" s="49">
        <f t="shared" si="1316"/>
        <v>1</v>
      </c>
      <c r="AM442" s="907">
        <f t="shared" si="1317"/>
        <v>1.0526158167136324</v>
      </c>
    </row>
    <row r="443" spans="4:39" ht="11.25" customHeight="1" x14ac:dyDescent="0.25">
      <c r="D443" s="1092" t="s">
        <v>743</v>
      </c>
      <c r="E443" s="1093" t="s">
        <v>718</v>
      </c>
      <c r="F443" s="1093" t="s">
        <v>744</v>
      </c>
      <c r="G443" s="1093" t="s">
        <v>730</v>
      </c>
      <c r="H443" s="1094" t="s">
        <v>731</v>
      </c>
      <c r="I443" s="1095" t="s">
        <v>727</v>
      </c>
      <c r="J443" s="1096">
        <v>240</v>
      </c>
      <c r="K443" s="1096">
        <v>240</v>
      </c>
      <c r="L443" s="1096">
        <v>120</v>
      </c>
      <c r="M443" s="1097">
        <v>120</v>
      </c>
      <c r="N443" s="522">
        <v>0</v>
      </c>
      <c r="O443" s="523">
        <v>0</v>
      </c>
      <c r="P443" s="524">
        <v>0</v>
      </c>
      <c r="Q443" s="1018" t="s">
        <v>701</v>
      </c>
      <c r="R443" s="525" t="s">
        <v>789</v>
      </c>
      <c r="S443" s="524">
        <v>1</v>
      </c>
      <c r="T443" s="1017" t="s">
        <v>701</v>
      </c>
      <c r="U443" s="526" t="s">
        <v>781</v>
      </c>
      <c r="V443" s="524">
        <v>1</v>
      </c>
      <c r="W443" s="1010" t="s">
        <v>701</v>
      </c>
      <c r="X443" s="1015" t="s">
        <v>701</v>
      </c>
      <c r="Y443" s="527">
        <v>2628.6608695652171</v>
      </c>
      <c r="Z443" s="1010" t="s">
        <v>701</v>
      </c>
      <c r="AA443" s="1102" t="s">
        <v>701</v>
      </c>
      <c r="AB443" s="1103" t="s">
        <v>701</v>
      </c>
      <c r="AC443" s="1099"/>
      <c r="AD443" s="1100">
        <v>0</v>
      </c>
      <c r="AE443" s="1107" t="s">
        <v>701</v>
      </c>
      <c r="AF443" s="1107" t="s">
        <v>701</v>
      </c>
      <c r="AG443" s="1107" t="s">
        <v>701</v>
      </c>
      <c r="AH443" s="1108" t="s">
        <v>701</v>
      </c>
      <c r="AI443" s="1106" t="s">
        <v>701</v>
      </c>
      <c r="AJ443" s="1040" t="s">
        <v>596</v>
      </c>
      <c r="AK443" s="906">
        <v>0</v>
      </c>
      <c r="AL443" s="49">
        <f t="shared" si="1316"/>
        <v>1</v>
      </c>
      <c r="AM443" s="907">
        <f t="shared" si="1317"/>
        <v>1.0526158167136324</v>
      </c>
    </row>
    <row r="444" spans="4:39" ht="11.25" customHeight="1" x14ac:dyDescent="0.2">
      <c r="D444" s="1092"/>
      <c r="E444" s="1093"/>
      <c r="F444" s="1093"/>
      <c r="G444" s="1093"/>
      <c r="H444" s="1094"/>
      <c r="I444" s="1095"/>
      <c r="J444" s="1096"/>
      <c r="K444" s="1096"/>
      <c r="L444" s="1096"/>
      <c r="M444" s="1097"/>
      <c r="N444" s="528">
        <v>0</v>
      </c>
      <c r="O444" s="529">
        <v>0</v>
      </c>
      <c r="P444" s="529">
        <v>0</v>
      </c>
      <c r="Q444" s="1019" t="s">
        <v>701</v>
      </c>
      <c r="R444" s="528" t="s">
        <v>790</v>
      </c>
      <c r="S444" s="529">
        <v>4</v>
      </c>
      <c r="T444" s="1011" t="s">
        <v>701</v>
      </c>
      <c r="U444" s="530">
        <v>0</v>
      </c>
      <c r="V444" s="529">
        <v>0</v>
      </c>
      <c r="W444" s="1011" t="s">
        <v>701</v>
      </c>
      <c r="X444" s="1016" t="s">
        <v>701</v>
      </c>
      <c r="Y444" s="531">
        <v>0</v>
      </c>
      <c r="Z444" s="1011" t="s">
        <v>701</v>
      </c>
      <c r="AA444" s="1102"/>
      <c r="AB444" s="1103"/>
      <c r="AC444" s="1099"/>
      <c r="AD444" s="1100"/>
      <c r="AE444" s="1107"/>
      <c r="AF444" s="1107"/>
      <c r="AG444" s="1107"/>
      <c r="AH444" s="1108"/>
      <c r="AI444" s="1106"/>
      <c r="AJ444" s="1041" t="s">
        <v>596</v>
      </c>
      <c r="AK444" s="906">
        <v>0</v>
      </c>
      <c r="AL444" s="49">
        <f t="shared" si="1316"/>
        <v>1</v>
      </c>
      <c r="AM444" s="907">
        <f t="shared" si="1317"/>
        <v>1.0526158167136324</v>
      </c>
    </row>
    <row r="445" spans="4:39" ht="11.25" customHeight="1" x14ac:dyDescent="0.2">
      <c r="D445" s="1092"/>
      <c r="E445" s="1093"/>
      <c r="F445" s="1093"/>
      <c r="G445" s="1093"/>
      <c r="H445" s="1094"/>
      <c r="I445" s="1095"/>
      <c r="J445" s="1096"/>
      <c r="K445" s="1096"/>
      <c r="L445" s="1096"/>
      <c r="M445" s="1097"/>
      <c r="N445" s="528">
        <v>0</v>
      </c>
      <c r="O445" s="529">
        <v>0</v>
      </c>
      <c r="P445" s="529">
        <v>0</v>
      </c>
      <c r="Q445" s="1019" t="s">
        <v>701</v>
      </c>
      <c r="R445" s="528">
        <v>0</v>
      </c>
      <c r="S445" s="529">
        <v>0</v>
      </c>
      <c r="T445" s="1011" t="s">
        <v>701</v>
      </c>
      <c r="U445" s="530">
        <v>0</v>
      </c>
      <c r="V445" s="529">
        <v>0</v>
      </c>
      <c r="W445" s="1011" t="s">
        <v>701</v>
      </c>
      <c r="X445" s="1016" t="s">
        <v>701</v>
      </c>
      <c r="Y445" s="529">
        <v>0</v>
      </c>
      <c r="Z445" s="1011" t="s">
        <v>701</v>
      </c>
      <c r="AA445" s="1102"/>
      <c r="AB445" s="1103"/>
      <c r="AC445" s="1099"/>
      <c r="AD445" s="1100"/>
      <c r="AE445" s="1107"/>
      <c r="AF445" s="1107"/>
      <c r="AG445" s="1107"/>
      <c r="AH445" s="1108"/>
      <c r="AI445" s="1106"/>
      <c r="AJ445" s="1041" t="s">
        <v>596</v>
      </c>
      <c r="AK445" s="906">
        <v>0</v>
      </c>
      <c r="AL445" s="49">
        <f t="shared" si="1316"/>
        <v>1</v>
      </c>
      <c r="AM445" s="907">
        <f t="shared" si="1317"/>
        <v>1.0526158167136324</v>
      </c>
    </row>
    <row r="446" spans="4:39" ht="11.25" customHeight="1" x14ac:dyDescent="0.2">
      <c r="D446" s="1092"/>
      <c r="E446" s="1093"/>
      <c r="F446" s="1093"/>
      <c r="G446" s="1093"/>
      <c r="H446" s="1094"/>
      <c r="I446" s="1095"/>
      <c r="J446" s="1096"/>
      <c r="K446" s="1096"/>
      <c r="L446" s="1096"/>
      <c r="M446" s="1097"/>
      <c r="N446" s="528">
        <v>0</v>
      </c>
      <c r="O446" s="529">
        <v>0</v>
      </c>
      <c r="P446" s="529">
        <v>0</v>
      </c>
      <c r="Q446" s="1019" t="s">
        <v>701</v>
      </c>
      <c r="R446" s="528">
        <v>0</v>
      </c>
      <c r="S446" s="529">
        <v>0</v>
      </c>
      <c r="T446" s="1011" t="s">
        <v>701</v>
      </c>
      <c r="U446" s="530">
        <v>0</v>
      </c>
      <c r="V446" s="529">
        <v>0</v>
      </c>
      <c r="W446" s="1011" t="s">
        <v>701</v>
      </c>
      <c r="X446" s="1016" t="s">
        <v>701</v>
      </c>
      <c r="Y446" s="529">
        <v>0</v>
      </c>
      <c r="Z446" s="1011" t="s">
        <v>701</v>
      </c>
      <c r="AA446" s="1102"/>
      <c r="AB446" s="1103"/>
      <c r="AC446" s="1099"/>
      <c r="AD446" s="1100"/>
      <c r="AE446" s="1107"/>
      <c r="AF446" s="1107"/>
      <c r="AG446" s="1107"/>
      <c r="AH446" s="1108"/>
      <c r="AI446" s="1106"/>
      <c r="AJ446" s="1041" t="s">
        <v>596</v>
      </c>
      <c r="AK446" s="906">
        <v>0</v>
      </c>
      <c r="AL446" s="49">
        <f t="shared" si="1316"/>
        <v>1</v>
      </c>
      <c r="AM446" s="907">
        <f t="shared" si="1317"/>
        <v>1.0526158167136324</v>
      </c>
    </row>
    <row r="447" spans="4:39" ht="11.25" customHeight="1" x14ac:dyDescent="0.2">
      <c r="D447" s="1092"/>
      <c r="E447" s="1093"/>
      <c r="F447" s="1093"/>
      <c r="G447" s="1093"/>
      <c r="H447" s="1094"/>
      <c r="I447" s="1095"/>
      <c r="J447" s="1096"/>
      <c r="K447" s="1096"/>
      <c r="L447" s="1096"/>
      <c r="M447" s="1097"/>
      <c r="N447" s="528">
        <v>0</v>
      </c>
      <c r="O447" s="529">
        <v>0</v>
      </c>
      <c r="P447" s="529">
        <v>0</v>
      </c>
      <c r="Q447" s="1019" t="s">
        <v>701</v>
      </c>
      <c r="R447" s="528">
        <v>0</v>
      </c>
      <c r="S447" s="529">
        <v>0</v>
      </c>
      <c r="T447" s="1011" t="s">
        <v>701</v>
      </c>
      <c r="U447" s="530">
        <v>0</v>
      </c>
      <c r="V447" s="529">
        <v>0</v>
      </c>
      <c r="W447" s="1011" t="s">
        <v>701</v>
      </c>
      <c r="X447" s="1016" t="s">
        <v>701</v>
      </c>
      <c r="Y447" s="529">
        <v>0</v>
      </c>
      <c r="Z447" s="1011" t="s">
        <v>701</v>
      </c>
      <c r="AA447" s="1102"/>
      <c r="AB447" s="1103"/>
      <c r="AC447" s="1099"/>
      <c r="AD447" s="1100"/>
      <c r="AE447" s="1107"/>
      <c r="AF447" s="1107"/>
      <c r="AG447" s="1107"/>
      <c r="AH447" s="1108"/>
      <c r="AI447" s="1106"/>
      <c r="AJ447" s="1041" t="s">
        <v>596</v>
      </c>
      <c r="AK447" s="906">
        <v>0</v>
      </c>
      <c r="AL447" s="49">
        <f t="shared" si="1316"/>
        <v>1</v>
      </c>
      <c r="AM447" s="907">
        <f t="shared" si="1317"/>
        <v>1.0526158167136324</v>
      </c>
    </row>
    <row r="448" spans="4:39" ht="11.25" customHeight="1" x14ac:dyDescent="0.2">
      <c r="D448" s="1092"/>
      <c r="E448" s="1093"/>
      <c r="F448" s="1093"/>
      <c r="G448" s="1093"/>
      <c r="H448" s="1094"/>
      <c r="I448" s="1095"/>
      <c r="J448" s="1096"/>
      <c r="K448" s="1096"/>
      <c r="L448" s="1096"/>
      <c r="M448" s="1097"/>
      <c r="N448" s="528">
        <v>0</v>
      </c>
      <c r="O448" s="529">
        <v>0</v>
      </c>
      <c r="P448" s="529">
        <v>0</v>
      </c>
      <c r="Q448" s="1019" t="s">
        <v>701</v>
      </c>
      <c r="R448" s="528">
        <v>0</v>
      </c>
      <c r="S448" s="529">
        <v>0</v>
      </c>
      <c r="T448" s="1011" t="s">
        <v>701</v>
      </c>
      <c r="U448" s="530">
        <v>0</v>
      </c>
      <c r="V448" s="529">
        <v>0</v>
      </c>
      <c r="W448" s="1011" t="s">
        <v>701</v>
      </c>
      <c r="X448" s="1016" t="s">
        <v>701</v>
      </c>
      <c r="Y448" s="529">
        <v>0</v>
      </c>
      <c r="Z448" s="1011" t="s">
        <v>701</v>
      </c>
      <c r="AA448" s="1102"/>
      <c r="AB448" s="1103"/>
      <c r="AC448" s="1099"/>
      <c r="AD448" s="1100"/>
      <c r="AE448" s="1107"/>
      <c r="AF448" s="1107"/>
      <c r="AG448" s="1107"/>
      <c r="AH448" s="1108"/>
      <c r="AI448" s="1106"/>
      <c r="AJ448" s="1041" t="s">
        <v>596</v>
      </c>
      <c r="AK448" s="906">
        <v>0</v>
      </c>
      <c r="AL448" s="49">
        <f t="shared" si="1316"/>
        <v>1</v>
      </c>
      <c r="AM448" s="907">
        <f t="shared" si="1317"/>
        <v>1.0526158167136324</v>
      </c>
    </row>
    <row r="449" spans="4:39" ht="11.25" customHeight="1" thickBot="1" x14ac:dyDescent="0.25">
      <c r="D449" s="532" t="s">
        <v>418</v>
      </c>
      <c r="E449" s="533"/>
      <c r="F449" s="534"/>
      <c r="G449" s="535"/>
      <c r="H449" s="535"/>
      <c r="I449" s="534"/>
      <c r="J449" s="535"/>
      <c r="K449" s="535"/>
      <c r="L449" s="535"/>
      <c r="M449" s="536"/>
      <c r="N449" s="537">
        <f>SUM(N443:N448)</f>
        <v>0</v>
      </c>
      <c r="O449" s="537">
        <f t="shared" ref="O449" si="1330">SUM(O443:O448)</f>
        <v>0</v>
      </c>
      <c r="P449" s="536"/>
      <c r="Q449" s="1020" t="s">
        <v>701</v>
      </c>
      <c r="R449" s="538"/>
      <c r="S449" s="539">
        <f t="shared" ref="S449" si="1331">SUM(S443:S448)</f>
        <v>5</v>
      </c>
      <c r="T449" s="1012" t="s">
        <v>701</v>
      </c>
      <c r="U449" s="538"/>
      <c r="V449" s="539">
        <f t="shared" ref="V449:Y449" si="1332">SUM(V443:V448)</f>
        <v>1</v>
      </c>
      <c r="W449" s="1012" t="s">
        <v>701</v>
      </c>
      <c r="X449" s="1012" t="s">
        <v>701</v>
      </c>
      <c r="Y449" s="539">
        <f t="shared" si="1332"/>
        <v>2628.6608695652171</v>
      </c>
      <c r="Z449" s="1012" t="s">
        <v>701</v>
      </c>
      <c r="AA449" s="1012" t="s">
        <v>701</v>
      </c>
      <c r="AB449" s="1007" t="s">
        <v>701</v>
      </c>
      <c r="AC449" s="1013" t="s">
        <v>701</v>
      </c>
      <c r="AD449" s="540"/>
      <c r="AE449" s="1008" t="s">
        <v>701</v>
      </c>
      <c r="AF449" s="1008" t="s">
        <v>701</v>
      </c>
      <c r="AG449" s="1008" t="s">
        <v>701</v>
      </c>
      <c r="AH449" s="1008" t="s">
        <v>701</v>
      </c>
      <c r="AI449" s="1008" t="s">
        <v>701</v>
      </c>
      <c r="AJ449" s="1042" t="s">
        <v>596</v>
      </c>
      <c r="AK449" s="906">
        <v>0</v>
      </c>
      <c r="AL449" s="49">
        <f t="shared" si="1316"/>
        <v>1</v>
      </c>
      <c r="AM449" s="907">
        <f t="shared" si="1317"/>
        <v>1.0526158167136324</v>
      </c>
    </row>
    <row r="450" spans="4:39" ht="11.25" customHeight="1" x14ac:dyDescent="0.25">
      <c r="D450" s="1092" t="s">
        <v>745</v>
      </c>
      <c r="E450" s="1093" t="s">
        <v>718</v>
      </c>
      <c r="F450" s="1093">
        <v>1316</v>
      </c>
      <c r="G450" s="1093" t="s">
        <v>730</v>
      </c>
      <c r="H450" s="1094" t="s">
        <v>731</v>
      </c>
      <c r="I450" s="1095" t="s">
        <v>727</v>
      </c>
      <c r="J450" s="1096">
        <v>240</v>
      </c>
      <c r="K450" s="1096">
        <v>240</v>
      </c>
      <c r="L450" s="1096">
        <v>120</v>
      </c>
      <c r="M450" s="1097">
        <v>120</v>
      </c>
      <c r="N450" s="522">
        <v>0</v>
      </c>
      <c r="O450" s="523">
        <v>0</v>
      </c>
      <c r="P450" s="524">
        <v>0</v>
      </c>
      <c r="Q450" s="1018" t="s">
        <v>701</v>
      </c>
      <c r="R450" s="525" t="s">
        <v>789</v>
      </c>
      <c r="S450" s="524">
        <v>1</v>
      </c>
      <c r="T450" s="1017" t="s">
        <v>701</v>
      </c>
      <c r="U450" s="526" t="s">
        <v>782</v>
      </c>
      <c r="V450" s="524">
        <v>1</v>
      </c>
      <c r="W450" s="1010" t="s">
        <v>701</v>
      </c>
      <c r="X450" s="1015" t="s">
        <v>701</v>
      </c>
      <c r="Y450" s="527">
        <v>3507.2347826086952</v>
      </c>
      <c r="Z450" s="1010" t="s">
        <v>701</v>
      </c>
      <c r="AA450" s="1102" t="s">
        <v>701</v>
      </c>
      <c r="AB450" s="1103" t="s">
        <v>701</v>
      </c>
      <c r="AC450" s="1099"/>
      <c r="AD450" s="1100">
        <v>0</v>
      </c>
      <c r="AE450" s="1107" t="s">
        <v>701</v>
      </c>
      <c r="AF450" s="1107" t="s">
        <v>701</v>
      </c>
      <c r="AG450" s="1107" t="s">
        <v>701</v>
      </c>
      <c r="AH450" s="1108" t="s">
        <v>701</v>
      </c>
      <c r="AI450" s="1106" t="s">
        <v>701</v>
      </c>
      <c r="AJ450" s="1040" t="s">
        <v>596</v>
      </c>
      <c r="AK450" s="906">
        <v>0</v>
      </c>
      <c r="AL450" s="49">
        <f t="shared" si="1316"/>
        <v>1</v>
      </c>
      <c r="AM450" s="907">
        <f t="shared" si="1317"/>
        <v>1.0526158167136324</v>
      </c>
    </row>
    <row r="451" spans="4:39" ht="11.25" customHeight="1" x14ac:dyDescent="0.2">
      <c r="D451" s="1092"/>
      <c r="E451" s="1093"/>
      <c r="F451" s="1093"/>
      <c r="G451" s="1093"/>
      <c r="H451" s="1094"/>
      <c r="I451" s="1095"/>
      <c r="J451" s="1096"/>
      <c r="K451" s="1096"/>
      <c r="L451" s="1096"/>
      <c r="M451" s="1097"/>
      <c r="N451" s="528">
        <v>0</v>
      </c>
      <c r="O451" s="529">
        <v>0</v>
      </c>
      <c r="P451" s="529">
        <v>0</v>
      </c>
      <c r="Q451" s="1019" t="s">
        <v>701</v>
      </c>
      <c r="R451" s="528" t="s">
        <v>790</v>
      </c>
      <c r="S451" s="529">
        <v>8</v>
      </c>
      <c r="T451" s="1011" t="s">
        <v>701</v>
      </c>
      <c r="U451" s="530">
        <v>0</v>
      </c>
      <c r="V451" s="529">
        <v>0</v>
      </c>
      <c r="W451" s="1011" t="s">
        <v>701</v>
      </c>
      <c r="X451" s="1016" t="s">
        <v>701</v>
      </c>
      <c r="Y451" s="531">
        <v>0</v>
      </c>
      <c r="Z451" s="1011" t="s">
        <v>701</v>
      </c>
      <c r="AA451" s="1102"/>
      <c r="AB451" s="1103"/>
      <c r="AC451" s="1099"/>
      <c r="AD451" s="1100"/>
      <c r="AE451" s="1107"/>
      <c r="AF451" s="1107"/>
      <c r="AG451" s="1107"/>
      <c r="AH451" s="1108"/>
      <c r="AI451" s="1106"/>
      <c r="AJ451" s="1041" t="s">
        <v>596</v>
      </c>
      <c r="AK451" s="906">
        <v>0</v>
      </c>
      <c r="AL451" s="49">
        <f t="shared" si="1316"/>
        <v>1</v>
      </c>
      <c r="AM451" s="907">
        <f t="shared" si="1317"/>
        <v>1.0526158167136324</v>
      </c>
    </row>
    <row r="452" spans="4:39" ht="11.25" customHeight="1" x14ac:dyDescent="0.2">
      <c r="D452" s="1092"/>
      <c r="E452" s="1093"/>
      <c r="F452" s="1093"/>
      <c r="G452" s="1093"/>
      <c r="H452" s="1094"/>
      <c r="I452" s="1095"/>
      <c r="J452" s="1096"/>
      <c r="K452" s="1096"/>
      <c r="L452" s="1096"/>
      <c r="M452" s="1097"/>
      <c r="N452" s="528">
        <v>0</v>
      </c>
      <c r="O452" s="529">
        <v>0</v>
      </c>
      <c r="P452" s="529">
        <v>0</v>
      </c>
      <c r="Q452" s="1019" t="s">
        <v>701</v>
      </c>
      <c r="R452" s="528">
        <v>0</v>
      </c>
      <c r="S452" s="529">
        <v>0</v>
      </c>
      <c r="T452" s="1011" t="s">
        <v>701</v>
      </c>
      <c r="U452" s="530">
        <v>0</v>
      </c>
      <c r="V452" s="529">
        <v>0</v>
      </c>
      <c r="W452" s="1011" t="s">
        <v>701</v>
      </c>
      <c r="X452" s="1016" t="s">
        <v>701</v>
      </c>
      <c r="Y452" s="529">
        <v>0</v>
      </c>
      <c r="Z452" s="1011" t="s">
        <v>701</v>
      </c>
      <c r="AA452" s="1102"/>
      <c r="AB452" s="1103"/>
      <c r="AC452" s="1099"/>
      <c r="AD452" s="1100"/>
      <c r="AE452" s="1107"/>
      <c r="AF452" s="1107"/>
      <c r="AG452" s="1107"/>
      <c r="AH452" s="1108"/>
      <c r="AI452" s="1106"/>
      <c r="AJ452" s="1041" t="s">
        <v>596</v>
      </c>
      <c r="AK452" s="906">
        <v>0</v>
      </c>
      <c r="AL452" s="49">
        <f t="shared" si="1316"/>
        <v>1</v>
      </c>
      <c r="AM452" s="907">
        <f t="shared" si="1317"/>
        <v>1.0526158167136324</v>
      </c>
    </row>
    <row r="453" spans="4:39" ht="11.25" customHeight="1" x14ac:dyDescent="0.2">
      <c r="D453" s="1092"/>
      <c r="E453" s="1093"/>
      <c r="F453" s="1093"/>
      <c r="G453" s="1093"/>
      <c r="H453" s="1094"/>
      <c r="I453" s="1095"/>
      <c r="J453" s="1096"/>
      <c r="K453" s="1096"/>
      <c r="L453" s="1096"/>
      <c r="M453" s="1097"/>
      <c r="N453" s="528">
        <v>0</v>
      </c>
      <c r="O453" s="529">
        <v>0</v>
      </c>
      <c r="P453" s="529">
        <v>0</v>
      </c>
      <c r="Q453" s="1019" t="s">
        <v>701</v>
      </c>
      <c r="R453" s="528">
        <v>0</v>
      </c>
      <c r="S453" s="529">
        <v>0</v>
      </c>
      <c r="T453" s="1011" t="s">
        <v>701</v>
      </c>
      <c r="U453" s="530">
        <v>0</v>
      </c>
      <c r="V453" s="529">
        <v>0</v>
      </c>
      <c r="W453" s="1011" t="s">
        <v>701</v>
      </c>
      <c r="X453" s="1016" t="s">
        <v>701</v>
      </c>
      <c r="Y453" s="529">
        <v>0</v>
      </c>
      <c r="Z453" s="1011" t="s">
        <v>701</v>
      </c>
      <c r="AA453" s="1102"/>
      <c r="AB453" s="1103"/>
      <c r="AC453" s="1099"/>
      <c r="AD453" s="1100"/>
      <c r="AE453" s="1107"/>
      <c r="AF453" s="1107"/>
      <c r="AG453" s="1107"/>
      <c r="AH453" s="1108"/>
      <c r="AI453" s="1106"/>
      <c r="AJ453" s="1041" t="s">
        <v>596</v>
      </c>
      <c r="AK453" s="906">
        <v>0</v>
      </c>
      <c r="AL453" s="49">
        <f t="shared" si="1316"/>
        <v>1</v>
      </c>
      <c r="AM453" s="907">
        <f t="shared" si="1317"/>
        <v>1.0526158167136324</v>
      </c>
    </row>
    <row r="454" spans="4:39" ht="11.25" customHeight="1" x14ac:dyDescent="0.2">
      <c r="D454" s="1092"/>
      <c r="E454" s="1093"/>
      <c r="F454" s="1093"/>
      <c r="G454" s="1093"/>
      <c r="H454" s="1094"/>
      <c r="I454" s="1095"/>
      <c r="J454" s="1096"/>
      <c r="K454" s="1096"/>
      <c r="L454" s="1096"/>
      <c r="M454" s="1097"/>
      <c r="N454" s="528">
        <v>0</v>
      </c>
      <c r="O454" s="529">
        <v>0</v>
      </c>
      <c r="P454" s="529">
        <v>0</v>
      </c>
      <c r="Q454" s="1019" t="s">
        <v>701</v>
      </c>
      <c r="R454" s="528">
        <v>0</v>
      </c>
      <c r="S454" s="529">
        <v>0</v>
      </c>
      <c r="T454" s="1011" t="s">
        <v>701</v>
      </c>
      <c r="U454" s="530">
        <v>0</v>
      </c>
      <c r="V454" s="529">
        <v>0</v>
      </c>
      <c r="W454" s="1011" t="s">
        <v>701</v>
      </c>
      <c r="X454" s="1016" t="s">
        <v>701</v>
      </c>
      <c r="Y454" s="529">
        <v>0</v>
      </c>
      <c r="Z454" s="1011" t="s">
        <v>701</v>
      </c>
      <c r="AA454" s="1102"/>
      <c r="AB454" s="1103"/>
      <c r="AC454" s="1099"/>
      <c r="AD454" s="1100"/>
      <c r="AE454" s="1107"/>
      <c r="AF454" s="1107"/>
      <c r="AG454" s="1107"/>
      <c r="AH454" s="1108"/>
      <c r="AI454" s="1106"/>
      <c r="AJ454" s="1041" t="s">
        <v>596</v>
      </c>
      <c r="AK454" s="906">
        <v>0</v>
      </c>
      <c r="AL454" s="49">
        <f t="shared" si="1316"/>
        <v>1</v>
      </c>
      <c r="AM454" s="907">
        <f t="shared" si="1317"/>
        <v>1.0526158167136324</v>
      </c>
    </row>
    <row r="455" spans="4:39" ht="11.25" customHeight="1" x14ac:dyDescent="0.2">
      <c r="D455" s="1092"/>
      <c r="E455" s="1093"/>
      <c r="F455" s="1093"/>
      <c r="G455" s="1093"/>
      <c r="H455" s="1094"/>
      <c r="I455" s="1095"/>
      <c r="J455" s="1096"/>
      <c r="K455" s="1096"/>
      <c r="L455" s="1096"/>
      <c r="M455" s="1097"/>
      <c r="N455" s="528">
        <v>0</v>
      </c>
      <c r="O455" s="529">
        <v>0</v>
      </c>
      <c r="P455" s="529">
        <v>0</v>
      </c>
      <c r="Q455" s="1019" t="s">
        <v>701</v>
      </c>
      <c r="R455" s="528">
        <v>0</v>
      </c>
      <c r="S455" s="529">
        <v>0</v>
      </c>
      <c r="T455" s="1011" t="s">
        <v>701</v>
      </c>
      <c r="U455" s="530">
        <v>0</v>
      </c>
      <c r="V455" s="529">
        <v>0</v>
      </c>
      <c r="W455" s="1011" t="s">
        <v>701</v>
      </c>
      <c r="X455" s="1016" t="s">
        <v>701</v>
      </c>
      <c r="Y455" s="529">
        <v>0</v>
      </c>
      <c r="Z455" s="1011" t="s">
        <v>701</v>
      </c>
      <c r="AA455" s="1102"/>
      <c r="AB455" s="1103"/>
      <c r="AC455" s="1099"/>
      <c r="AD455" s="1100"/>
      <c r="AE455" s="1107"/>
      <c r="AF455" s="1107"/>
      <c r="AG455" s="1107"/>
      <c r="AH455" s="1108"/>
      <c r="AI455" s="1106"/>
      <c r="AJ455" s="1041" t="s">
        <v>596</v>
      </c>
      <c r="AK455" s="906">
        <v>0</v>
      </c>
      <c r="AL455" s="49">
        <f t="shared" si="1316"/>
        <v>1</v>
      </c>
      <c r="AM455" s="907">
        <f t="shared" si="1317"/>
        <v>1.0526158167136324</v>
      </c>
    </row>
    <row r="456" spans="4:39" ht="11.25" customHeight="1" thickBot="1" x14ac:dyDescent="0.25">
      <c r="D456" s="532" t="s">
        <v>418</v>
      </c>
      <c r="E456" s="533"/>
      <c r="F456" s="534"/>
      <c r="G456" s="535"/>
      <c r="H456" s="535"/>
      <c r="I456" s="534"/>
      <c r="J456" s="535"/>
      <c r="K456" s="535"/>
      <c r="L456" s="535"/>
      <c r="M456" s="536"/>
      <c r="N456" s="537">
        <f>SUM(N450:N455)</f>
        <v>0</v>
      </c>
      <c r="O456" s="537">
        <f t="shared" ref="O456" si="1333">SUM(O450:O455)</f>
        <v>0</v>
      </c>
      <c r="P456" s="536"/>
      <c r="Q456" s="1020" t="s">
        <v>701</v>
      </c>
      <c r="R456" s="538"/>
      <c r="S456" s="539">
        <f t="shared" ref="S456" si="1334">SUM(S450:S455)</f>
        <v>9</v>
      </c>
      <c r="T456" s="1012" t="s">
        <v>701</v>
      </c>
      <c r="U456" s="538"/>
      <c r="V456" s="539">
        <f t="shared" ref="V456:Y456" si="1335">SUM(V450:V455)</f>
        <v>1</v>
      </c>
      <c r="W456" s="1012" t="s">
        <v>701</v>
      </c>
      <c r="X456" s="1012" t="s">
        <v>701</v>
      </c>
      <c r="Y456" s="539">
        <f t="shared" si="1335"/>
        <v>3507.2347826086952</v>
      </c>
      <c r="Z456" s="1012" t="s">
        <v>701</v>
      </c>
      <c r="AA456" s="1012" t="s">
        <v>701</v>
      </c>
      <c r="AB456" s="1007" t="s">
        <v>701</v>
      </c>
      <c r="AC456" s="1013" t="s">
        <v>701</v>
      </c>
      <c r="AD456" s="540"/>
      <c r="AE456" s="1008" t="s">
        <v>701</v>
      </c>
      <c r="AF456" s="1008" t="s">
        <v>701</v>
      </c>
      <c r="AG456" s="1008" t="s">
        <v>701</v>
      </c>
      <c r="AH456" s="1008" t="s">
        <v>701</v>
      </c>
      <c r="AI456" s="1008" t="s">
        <v>701</v>
      </c>
      <c r="AJ456" s="1042" t="s">
        <v>596</v>
      </c>
      <c r="AK456" s="906">
        <v>0</v>
      </c>
      <c r="AL456" s="49">
        <f t="shared" si="1316"/>
        <v>1</v>
      </c>
      <c r="AM456" s="907">
        <f t="shared" si="1317"/>
        <v>1.0526158167136324</v>
      </c>
    </row>
    <row r="457" spans="4:39" ht="11.25" customHeight="1" x14ac:dyDescent="0.25">
      <c r="D457" s="1092" t="s">
        <v>746</v>
      </c>
      <c r="E457" s="1093" t="s">
        <v>718</v>
      </c>
      <c r="F457" s="1093" t="s">
        <v>747</v>
      </c>
      <c r="G457" s="1093" t="s">
        <v>730</v>
      </c>
      <c r="H457" s="1094" t="s">
        <v>731</v>
      </c>
      <c r="I457" s="1095" t="s">
        <v>721</v>
      </c>
      <c r="J457" s="1096">
        <v>750</v>
      </c>
      <c r="K457" s="1096">
        <v>850</v>
      </c>
      <c r="L457" s="1096">
        <v>375</v>
      </c>
      <c r="M457" s="1097">
        <v>475</v>
      </c>
      <c r="N457" s="522">
        <v>1</v>
      </c>
      <c r="O457" s="523">
        <v>100</v>
      </c>
      <c r="P457" s="524" t="s">
        <v>9</v>
      </c>
      <c r="Q457" s="1018" t="s">
        <v>701</v>
      </c>
      <c r="R457" s="525">
        <v>0</v>
      </c>
      <c r="S457" s="524">
        <v>0</v>
      </c>
      <c r="T457" s="1017" t="s">
        <v>701</v>
      </c>
      <c r="U457" s="526" t="s">
        <v>783</v>
      </c>
      <c r="V457" s="524">
        <v>1</v>
      </c>
      <c r="W457" s="1010" t="s">
        <v>701</v>
      </c>
      <c r="X457" s="1015" t="s">
        <v>701</v>
      </c>
      <c r="Y457" s="527">
        <v>3882.8190062111798</v>
      </c>
      <c r="Z457" s="1010" t="s">
        <v>701</v>
      </c>
      <c r="AA457" s="1102" t="s">
        <v>701</v>
      </c>
      <c r="AB457" s="1103" t="s">
        <v>701</v>
      </c>
      <c r="AC457" s="1099"/>
      <c r="AD457" s="1100">
        <v>0</v>
      </c>
      <c r="AE457" s="1107" t="s">
        <v>701</v>
      </c>
      <c r="AF457" s="1107" t="s">
        <v>701</v>
      </c>
      <c r="AG457" s="1107" t="s">
        <v>701</v>
      </c>
      <c r="AH457" s="1108" t="s">
        <v>701</v>
      </c>
      <c r="AI457" s="1106" t="s">
        <v>701</v>
      </c>
      <c r="AJ457" s="1040" t="s">
        <v>596</v>
      </c>
      <c r="AK457" s="906">
        <v>0</v>
      </c>
      <c r="AL457" s="49">
        <f t="shared" si="1316"/>
        <v>1</v>
      </c>
      <c r="AM457" s="907">
        <f t="shared" si="1317"/>
        <v>1.0526158167136324</v>
      </c>
    </row>
    <row r="458" spans="4:39" ht="11.25" customHeight="1" x14ac:dyDescent="0.2">
      <c r="D458" s="1092"/>
      <c r="E458" s="1093"/>
      <c r="F458" s="1093"/>
      <c r="G458" s="1093"/>
      <c r="H458" s="1094"/>
      <c r="I458" s="1095"/>
      <c r="J458" s="1096"/>
      <c r="K458" s="1096"/>
      <c r="L458" s="1096"/>
      <c r="M458" s="1097"/>
      <c r="N458" s="528">
        <v>0</v>
      </c>
      <c r="O458" s="529">
        <v>0</v>
      </c>
      <c r="P458" s="529">
        <v>0</v>
      </c>
      <c r="Q458" s="1019" t="s">
        <v>701</v>
      </c>
      <c r="R458" s="528">
        <v>0</v>
      </c>
      <c r="S458" s="529">
        <v>0</v>
      </c>
      <c r="T458" s="1011" t="s">
        <v>701</v>
      </c>
      <c r="U458" s="530">
        <v>0</v>
      </c>
      <c r="V458" s="529">
        <v>0</v>
      </c>
      <c r="W458" s="1011" t="s">
        <v>701</v>
      </c>
      <c r="X458" s="1016" t="s">
        <v>701</v>
      </c>
      <c r="Y458" s="531">
        <v>0</v>
      </c>
      <c r="Z458" s="1011" t="s">
        <v>701</v>
      </c>
      <c r="AA458" s="1102"/>
      <c r="AB458" s="1103"/>
      <c r="AC458" s="1099"/>
      <c r="AD458" s="1100"/>
      <c r="AE458" s="1107"/>
      <c r="AF458" s="1107"/>
      <c r="AG458" s="1107"/>
      <c r="AH458" s="1108"/>
      <c r="AI458" s="1106"/>
      <c r="AJ458" s="1041" t="s">
        <v>596</v>
      </c>
      <c r="AK458" s="906">
        <v>0</v>
      </c>
      <c r="AL458" s="49">
        <f t="shared" si="1316"/>
        <v>1</v>
      </c>
      <c r="AM458" s="907">
        <f t="shared" si="1317"/>
        <v>1.0526158167136324</v>
      </c>
    </row>
    <row r="459" spans="4:39" ht="11.25" customHeight="1" x14ac:dyDescent="0.2">
      <c r="D459" s="1092"/>
      <c r="E459" s="1093"/>
      <c r="F459" s="1093"/>
      <c r="G459" s="1093"/>
      <c r="H459" s="1094"/>
      <c r="I459" s="1095"/>
      <c r="J459" s="1096"/>
      <c r="K459" s="1096"/>
      <c r="L459" s="1096"/>
      <c r="M459" s="1097"/>
      <c r="N459" s="528">
        <v>0</v>
      </c>
      <c r="O459" s="529">
        <v>0</v>
      </c>
      <c r="P459" s="529">
        <v>0</v>
      </c>
      <c r="Q459" s="1019" t="s">
        <v>701</v>
      </c>
      <c r="R459" s="528">
        <v>0</v>
      </c>
      <c r="S459" s="529">
        <v>0</v>
      </c>
      <c r="T459" s="1011" t="s">
        <v>701</v>
      </c>
      <c r="U459" s="530">
        <v>0</v>
      </c>
      <c r="V459" s="529">
        <v>0</v>
      </c>
      <c r="W459" s="1011" t="s">
        <v>701</v>
      </c>
      <c r="X459" s="1016" t="s">
        <v>701</v>
      </c>
      <c r="Y459" s="529">
        <v>0</v>
      </c>
      <c r="Z459" s="1011" t="s">
        <v>701</v>
      </c>
      <c r="AA459" s="1102"/>
      <c r="AB459" s="1103"/>
      <c r="AC459" s="1099"/>
      <c r="AD459" s="1100"/>
      <c r="AE459" s="1107"/>
      <c r="AF459" s="1107"/>
      <c r="AG459" s="1107"/>
      <c r="AH459" s="1108"/>
      <c r="AI459" s="1106"/>
      <c r="AJ459" s="1041" t="s">
        <v>596</v>
      </c>
      <c r="AK459" s="906">
        <v>0</v>
      </c>
      <c r="AL459" s="49">
        <f t="shared" si="1316"/>
        <v>1</v>
      </c>
      <c r="AM459" s="907">
        <f t="shared" si="1317"/>
        <v>1.0526158167136324</v>
      </c>
    </row>
    <row r="460" spans="4:39" ht="11.25" customHeight="1" x14ac:dyDescent="0.2">
      <c r="D460" s="1092"/>
      <c r="E460" s="1093"/>
      <c r="F460" s="1093"/>
      <c r="G460" s="1093"/>
      <c r="H460" s="1094"/>
      <c r="I460" s="1095"/>
      <c r="J460" s="1096"/>
      <c r="K460" s="1096"/>
      <c r="L460" s="1096"/>
      <c r="M460" s="1097"/>
      <c r="N460" s="528">
        <v>0</v>
      </c>
      <c r="O460" s="529">
        <v>0</v>
      </c>
      <c r="P460" s="529">
        <v>0</v>
      </c>
      <c r="Q460" s="1019" t="s">
        <v>701</v>
      </c>
      <c r="R460" s="528">
        <v>0</v>
      </c>
      <c r="S460" s="529">
        <v>0</v>
      </c>
      <c r="T460" s="1011" t="s">
        <v>701</v>
      </c>
      <c r="U460" s="530">
        <v>0</v>
      </c>
      <c r="V460" s="529">
        <v>0</v>
      </c>
      <c r="W460" s="1011" t="s">
        <v>701</v>
      </c>
      <c r="X460" s="1016" t="s">
        <v>701</v>
      </c>
      <c r="Y460" s="529">
        <v>0</v>
      </c>
      <c r="Z460" s="1011" t="s">
        <v>701</v>
      </c>
      <c r="AA460" s="1102"/>
      <c r="AB460" s="1103"/>
      <c r="AC460" s="1099"/>
      <c r="AD460" s="1100"/>
      <c r="AE460" s="1107"/>
      <c r="AF460" s="1107"/>
      <c r="AG460" s="1107"/>
      <c r="AH460" s="1108"/>
      <c r="AI460" s="1106"/>
      <c r="AJ460" s="1041" t="s">
        <v>596</v>
      </c>
      <c r="AK460" s="906">
        <v>0</v>
      </c>
      <c r="AL460" s="49">
        <f t="shared" si="1316"/>
        <v>1</v>
      </c>
      <c r="AM460" s="907">
        <f t="shared" si="1317"/>
        <v>1.0526158167136324</v>
      </c>
    </row>
    <row r="461" spans="4:39" ht="11.25" customHeight="1" x14ac:dyDescent="0.2">
      <c r="D461" s="1092"/>
      <c r="E461" s="1093"/>
      <c r="F461" s="1093"/>
      <c r="G461" s="1093"/>
      <c r="H461" s="1094"/>
      <c r="I461" s="1095"/>
      <c r="J461" s="1096"/>
      <c r="K461" s="1096"/>
      <c r="L461" s="1096"/>
      <c r="M461" s="1097"/>
      <c r="N461" s="528">
        <v>0</v>
      </c>
      <c r="O461" s="529">
        <v>0</v>
      </c>
      <c r="P461" s="529">
        <v>0</v>
      </c>
      <c r="Q461" s="1019" t="s">
        <v>701</v>
      </c>
      <c r="R461" s="528">
        <v>0</v>
      </c>
      <c r="S461" s="529">
        <v>0</v>
      </c>
      <c r="T461" s="1011" t="s">
        <v>701</v>
      </c>
      <c r="U461" s="530">
        <v>0</v>
      </c>
      <c r="V461" s="529">
        <v>0</v>
      </c>
      <c r="W461" s="1011" t="s">
        <v>701</v>
      </c>
      <c r="X461" s="1016" t="s">
        <v>701</v>
      </c>
      <c r="Y461" s="529">
        <v>0</v>
      </c>
      <c r="Z461" s="1011" t="s">
        <v>701</v>
      </c>
      <c r="AA461" s="1102"/>
      <c r="AB461" s="1103"/>
      <c r="AC461" s="1099"/>
      <c r="AD461" s="1100"/>
      <c r="AE461" s="1107"/>
      <c r="AF461" s="1107"/>
      <c r="AG461" s="1107"/>
      <c r="AH461" s="1108"/>
      <c r="AI461" s="1106"/>
      <c r="AJ461" s="1041" t="s">
        <v>596</v>
      </c>
      <c r="AK461" s="906">
        <v>0</v>
      </c>
      <c r="AL461" s="49">
        <f t="shared" si="1316"/>
        <v>1</v>
      </c>
      <c r="AM461" s="907">
        <f t="shared" si="1317"/>
        <v>1.0526158167136324</v>
      </c>
    </row>
    <row r="462" spans="4:39" ht="11.25" customHeight="1" x14ac:dyDescent="0.2">
      <c r="D462" s="1092"/>
      <c r="E462" s="1093"/>
      <c r="F462" s="1093"/>
      <c r="G462" s="1093"/>
      <c r="H462" s="1094"/>
      <c r="I462" s="1095"/>
      <c r="J462" s="1096"/>
      <c r="K462" s="1096"/>
      <c r="L462" s="1096"/>
      <c r="M462" s="1097"/>
      <c r="N462" s="528">
        <v>0</v>
      </c>
      <c r="O462" s="529">
        <v>0</v>
      </c>
      <c r="P462" s="529">
        <v>0</v>
      </c>
      <c r="Q462" s="1019" t="s">
        <v>701</v>
      </c>
      <c r="R462" s="528">
        <v>0</v>
      </c>
      <c r="S462" s="529">
        <v>0</v>
      </c>
      <c r="T462" s="1011" t="s">
        <v>701</v>
      </c>
      <c r="U462" s="530">
        <v>0</v>
      </c>
      <c r="V462" s="529">
        <v>0</v>
      </c>
      <c r="W462" s="1011" t="s">
        <v>701</v>
      </c>
      <c r="X462" s="1016" t="s">
        <v>701</v>
      </c>
      <c r="Y462" s="529">
        <v>0</v>
      </c>
      <c r="Z462" s="1011" t="s">
        <v>701</v>
      </c>
      <c r="AA462" s="1102"/>
      <c r="AB462" s="1103"/>
      <c r="AC462" s="1099"/>
      <c r="AD462" s="1100"/>
      <c r="AE462" s="1107"/>
      <c r="AF462" s="1107"/>
      <c r="AG462" s="1107"/>
      <c r="AH462" s="1108"/>
      <c r="AI462" s="1106"/>
      <c r="AJ462" s="1041" t="s">
        <v>596</v>
      </c>
      <c r="AK462" s="906">
        <v>0</v>
      </c>
      <c r="AL462" s="49">
        <f t="shared" si="1316"/>
        <v>1</v>
      </c>
      <c r="AM462" s="907">
        <f t="shared" si="1317"/>
        <v>1.0526158167136324</v>
      </c>
    </row>
    <row r="463" spans="4:39" ht="11.25" customHeight="1" thickBot="1" x14ac:dyDescent="0.25">
      <c r="D463" s="532" t="s">
        <v>418</v>
      </c>
      <c r="E463" s="533"/>
      <c r="F463" s="534"/>
      <c r="G463" s="535"/>
      <c r="H463" s="535"/>
      <c r="I463" s="534"/>
      <c r="J463" s="535"/>
      <c r="K463" s="535"/>
      <c r="L463" s="535"/>
      <c r="M463" s="536"/>
      <c r="N463" s="537">
        <f>SUM(N457:N462)</f>
        <v>1</v>
      </c>
      <c r="O463" s="537">
        <f t="shared" ref="O463" si="1336">SUM(O457:O462)</f>
        <v>100</v>
      </c>
      <c r="P463" s="536"/>
      <c r="Q463" s="1020" t="s">
        <v>701</v>
      </c>
      <c r="R463" s="538"/>
      <c r="S463" s="539">
        <f t="shared" ref="S463" si="1337">SUM(S457:S462)</f>
        <v>0</v>
      </c>
      <c r="T463" s="1012" t="s">
        <v>701</v>
      </c>
      <c r="U463" s="538"/>
      <c r="V463" s="539">
        <f t="shared" ref="V463:Y463" si="1338">SUM(V457:V462)</f>
        <v>1</v>
      </c>
      <c r="W463" s="1012" t="s">
        <v>701</v>
      </c>
      <c r="X463" s="1012" t="s">
        <v>701</v>
      </c>
      <c r="Y463" s="539">
        <f t="shared" si="1338"/>
        <v>3882.8190062111798</v>
      </c>
      <c r="Z463" s="1012" t="s">
        <v>701</v>
      </c>
      <c r="AA463" s="1012" t="s">
        <v>701</v>
      </c>
      <c r="AB463" s="1007" t="s">
        <v>701</v>
      </c>
      <c r="AC463" s="1013" t="s">
        <v>701</v>
      </c>
      <c r="AD463" s="540"/>
      <c r="AE463" s="1008" t="s">
        <v>701</v>
      </c>
      <c r="AF463" s="1008" t="s">
        <v>701</v>
      </c>
      <c r="AG463" s="1008" t="s">
        <v>701</v>
      </c>
      <c r="AH463" s="1008" t="s">
        <v>701</v>
      </c>
      <c r="AI463" s="1008" t="s">
        <v>701</v>
      </c>
      <c r="AJ463" s="1042" t="s">
        <v>596</v>
      </c>
      <c r="AK463" s="906">
        <v>0</v>
      </c>
      <c r="AL463" s="49">
        <f t="shared" si="1316"/>
        <v>1</v>
      </c>
      <c r="AM463" s="907">
        <f t="shared" si="1317"/>
        <v>1.0526158167136324</v>
      </c>
    </row>
    <row r="464" spans="4:39" ht="11.25" customHeight="1" x14ac:dyDescent="0.25">
      <c r="D464" s="1092" t="s">
        <v>748</v>
      </c>
      <c r="E464" s="1093" t="s">
        <v>718</v>
      </c>
      <c r="F464" s="1093">
        <v>1438</v>
      </c>
      <c r="G464" s="1093" t="s">
        <v>723</v>
      </c>
      <c r="H464" s="1094" t="s">
        <v>720</v>
      </c>
      <c r="I464" s="1095" t="s">
        <v>721</v>
      </c>
      <c r="J464" s="1096">
        <v>625</v>
      </c>
      <c r="K464" s="1096">
        <v>875</v>
      </c>
      <c r="L464" s="1096">
        <v>250</v>
      </c>
      <c r="M464" s="1097">
        <v>500</v>
      </c>
      <c r="N464" s="522">
        <v>1</v>
      </c>
      <c r="O464" s="523">
        <v>250</v>
      </c>
      <c r="P464" s="524" t="s">
        <v>9</v>
      </c>
      <c r="Q464" s="1018" t="s">
        <v>701</v>
      </c>
      <c r="R464" s="525" t="s">
        <v>789</v>
      </c>
      <c r="S464" s="524">
        <v>7</v>
      </c>
      <c r="T464" s="1017" t="s">
        <v>701</v>
      </c>
      <c r="U464" s="526">
        <v>0</v>
      </c>
      <c r="V464" s="524">
        <v>0</v>
      </c>
      <c r="W464" s="1010" t="s">
        <v>701</v>
      </c>
      <c r="X464" s="1015" t="s">
        <v>701</v>
      </c>
      <c r="Y464" s="527">
        <v>0</v>
      </c>
      <c r="Z464" s="1010" t="s">
        <v>701</v>
      </c>
      <c r="AA464" s="1102" t="s">
        <v>701</v>
      </c>
      <c r="AB464" s="1103" t="s">
        <v>701</v>
      </c>
      <c r="AC464" s="1099"/>
      <c r="AD464" s="1100">
        <v>0</v>
      </c>
      <c r="AE464" s="1107" t="s">
        <v>701</v>
      </c>
      <c r="AF464" s="1107" t="s">
        <v>701</v>
      </c>
      <c r="AG464" s="1107" t="s">
        <v>701</v>
      </c>
      <c r="AH464" s="1108" t="s">
        <v>701</v>
      </c>
      <c r="AI464" s="1106" t="s">
        <v>701</v>
      </c>
      <c r="AJ464" s="1040" t="s">
        <v>596</v>
      </c>
      <c r="AK464" s="906">
        <v>1</v>
      </c>
      <c r="AL464" s="49">
        <f t="shared" si="1316"/>
        <v>0</v>
      </c>
      <c r="AM464" s="907">
        <f t="shared" si="1317"/>
        <v>1.0506187499999999</v>
      </c>
    </row>
    <row r="465" spans="4:39" ht="11.25" customHeight="1" x14ac:dyDescent="0.2">
      <c r="D465" s="1092"/>
      <c r="E465" s="1093"/>
      <c r="F465" s="1093"/>
      <c r="G465" s="1093"/>
      <c r="H465" s="1094"/>
      <c r="I465" s="1095"/>
      <c r="J465" s="1096"/>
      <c r="K465" s="1096"/>
      <c r="L465" s="1096"/>
      <c r="M465" s="1097"/>
      <c r="N465" s="528">
        <v>0</v>
      </c>
      <c r="O465" s="529">
        <v>0</v>
      </c>
      <c r="P465" s="529">
        <v>0</v>
      </c>
      <c r="Q465" s="1019" t="s">
        <v>701</v>
      </c>
      <c r="R465" s="528" t="s">
        <v>790</v>
      </c>
      <c r="S465" s="529">
        <v>11</v>
      </c>
      <c r="T465" s="1011" t="s">
        <v>701</v>
      </c>
      <c r="U465" s="530">
        <v>0</v>
      </c>
      <c r="V465" s="529">
        <v>0</v>
      </c>
      <c r="W465" s="1011" t="s">
        <v>701</v>
      </c>
      <c r="X465" s="1016" t="s">
        <v>701</v>
      </c>
      <c r="Y465" s="531">
        <v>0</v>
      </c>
      <c r="Z465" s="1011" t="s">
        <v>701</v>
      </c>
      <c r="AA465" s="1102"/>
      <c r="AB465" s="1103"/>
      <c r="AC465" s="1099"/>
      <c r="AD465" s="1100"/>
      <c r="AE465" s="1107"/>
      <c r="AF465" s="1107"/>
      <c r="AG465" s="1107"/>
      <c r="AH465" s="1108"/>
      <c r="AI465" s="1106"/>
      <c r="AJ465" s="1041" t="s">
        <v>596</v>
      </c>
      <c r="AK465" s="906">
        <v>1</v>
      </c>
      <c r="AL465" s="49">
        <f t="shared" si="1316"/>
        <v>0</v>
      </c>
      <c r="AM465" s="907">
        <f t="shared" si="1317"/>
        <v>1.0506187499999999</v>
      </c>
    </row>
    <row r="466" spans="4:39" ht="11.25" customHeight="1" x14ac:dyDescent="0.2">
      <c r="D466" s="1092"/>
      <c r="E466" s="1093"/>
      <c r="F466" s="1093"/>
      <c r="G466" s="1093"/>
      <c r="H466" s="1094"/>
      <c r="I466" s="1095"/>
      <c r="J466" s="1096"/>
      <c r="K466" s="1096"/>
      <c r="L466" s="1096"/>
      <c r="M466" s="1097"/>
      <c r="N466" s="528">
        <v>0</v>
      </c>
      <c r="O466" s="529">
        <v>0</v>
      </c>
      <c r="P466" s="529">
        <v>0</v>
      </c>
      <c r="Q466" s="1019" t="s">
        <v>701</v>
      </c>
      <c r="R466" s="528">
        <v>0</v>
      </c>
      <c r="S466" s="529">
        <v>0</v>
      </c>
      <c r="T466" s="1011" t="s">
        <v>701</v>
      </c>
      <c r="U466" s="530">
        <v>0</v>
      </c>
      <c r="V466" s="529">
        <v>0</v>
      </c>
      <c r="W466" s="1011" t="s">
        <v>701</v>
      </c>
      <c r="X466" s="1016" t="s">
        <v>701</v>
      </c>
      <c r="Y466" s="529">
        <v>0</v>
      </c>
      <c r="Z466" s="1011" t="s">
        <v>701</v>
      </c>
      <c r="AA466" s="1102"/>
      <c r="AB466" s="1103"/>
      <c r="AC466" s="1099"/>
      <c r="AD466" s="1100"/>
      <c r="AE466" s="1107"/>
      <c r="AF466" s="1107"/>
      <c r="AG466" s="1107"/>
      <c r="AH466" s="1108"/>
      <c r="AI466" s="1106"/>
      <c r="AJ466" s="1041" t="s">
        <v>596</v>
      </c>
      <c r="AK466" s="906">
        <v>1</v>
      </c>
      <c r="AL466" s="49">
        <f t="shared" si="1316"/>
        <v>0</v>
      </c>
      <c r="AM466" s="907">
        <f t="shared" si="1317"/>
        <v>1.0506187499999999</v>
      </c>
    </row>
    <row r="467" spans="4:39" ht="11.25" customHeight="1" x14ac:dyDescent="0.2">
      <c r="D467" s="1092"/>
      <c r="E467" s="1093"/>
      <c r="F467" s="1093"/>
      <c r="G467" s="1093"/>
      <c r="H467" s="1094"/>
      <c r="I467" s="1095"/>
      <c r="J467" s="1096"/>
      <c r="K467" s="1096"/>
      <c r="L467" s="1096"/>
      <c r="M467" s="1097"/>
      <c r="N467" s="528">
        <v>0</v>
      </c>
      <c r="O467" s="529">
        <v>0</v>
      </c>
      <c r="P467" s="529">
        <v>0</v>
      </c>
      <c r="Q467" s="1019" t="s">
        <v>701</v>
      </c>
      <c r="R467" s="528">
        <v>0</v>
      </c>
      <c r="S467" s="529">
        <v>0</v>
      </c>
      <c r="T467" s="1011" t="s">
        <v>701</v>
      </c>
      <c r="U467" s="530">
        <v>0</v>
      </c>
      <c r="V467" s="529">
        <v>0</v>
      </c>
      <c r="W467" s="1011" t="s">
        <v>701</v>
      </c>
      <c r="X467" s="1016" t="s">
        <v>701</v>
      </c>
      <c r="Y467" s="529">
        <v>0</v>
      </c>
      <c r="Z467" s="1011" t="s">
        <v>701</v>
      </c>
      <c r="AA467" s="1102"/>
      <c r="AB467" s="1103"/>
      <c r="AC467" s="1099"/>
      <c r="AD467" s="1100"/>
      <c r="AE467" s="1107"/>
      <c r="AF467" s="1107"/>
      <c r="AG467" s="1107"/>
      <c r="AH467" s="1108"/>
      <c r="AI467" s="1106"/>
      <c r="AJ467" s="1041" t="s">
        <v>596</v>
      </c>
      <c r="AK467" s="906">
        <v>1</v>
      </c>
      <c r="AL467" s="49">
        <f t="shared" si="1316"/>
        <v>0</v>
      </c>
      <c r="AM467" s="907">
        <f t="shared" si="1317"/>
        <v>1.0506187499999999</v>
      </c>
    </row>
    <row r="468" spans="4:39" ht="11.25" customHeight="1" x14ac:dyDescent="0.2">
      <c r="D468" s="1092"/>
      <c r="E468" s="1093"/>
      <c r="F468" s="1093"/>
      <c r="G468" s="1093"/>
      <c r="H468" s="1094"/>
      <c r="I468" s="1095"/>
      <c r="J468" s="1096"/>
      <c r="K468" s="1096"/>
      <c r="L468" s="1096"/>
      <c r="M468" s="1097"/>
      <c r="N468" s="528">
        <v>0</v>
      </c>
      <c r="O468" s="529">
        <v>0</v>
      </c>
      <c r="P468" s="529">
        <v>0</v>
      </c>
      <c r="Q468" s="1019" t="s">
        <v>701</v>
      </c>
      <c r="R468" s="528">
        <v>0</v>
      </c>
      <c r="S468" s="529">
        <v>0</v>
      </c>
      <c r="T468" s="1011" t="s">
        <v>701</v>
      </c>
      <c r="U468" s="530">
        <v>0</v>
      </c>
      <c r="V468" s="529">
        <v>0</v>
      </c>
      <c r="W468" s="1011" t="s">
        <v>701</v>
      </c>
      <c r="X468" s="1016" t="s">
        <v>701</v>
      </c>
      <c r="Y468" s="529">
        <v>0</v>
      </c>
      <c r="Z468" s="1011" t="s">
        <v>701</v>
      </c>
      <c r="AA468" s="1102"/>
      <c r="AB468" s="1103"/>
      <c r="AC468" s="1099"/>
      <c r="AD468" s="1100"/>
      <c r="AE468" s="1107"/>
      <c r="AF468" s="1107"/>
      <c r="AG468" s="1107"/>
      <c r="AH468" s="1108"/>
      <c r="AI468" s="1106"/>
      <c r="AJ468" s="1041" t="s">
        <v>596</v>
      </c>
      <c r="AK468" s="906">
        <v>1</v>
      </c>
      <c r="AL468" s="49">
        <f t="shared" si="1316"/>
        <v>0</v>
      </c>
      <c r="AM468" s="907">
        <f t="shared" si="1317"/>
        <v>1.0506187499999999</v>
      </c>
    </row>
    <row r="469" spans="4:39" ht="11.25" customHeight="1" x14ac:dyDescent="0.2">
      <c r="D469" s="1092"/>
      <c r="E469" s="1093"/>
      <c r="F469" s="1093"/>
      <c r="G469" s="1093"/>
      <c r="H469" s="1094"/>
      <c r="I469" s="1095"/>
      <c r="J469" s="1096"/>
      <c r="K469" s="1096"/>
      <c r="L469" s="1096"/>
      <c r="M469" s="1097"/>
      <c r="N469" s="528">
        <v>0</v>
      </c>
      <c r="O469" s="529">
        <v>0</v>
      </c>
      <c r="P469" s="529">
        <v>0</v>
      </c>
      <c r="Q469" s="1019" t="s">
        <v>701</v>
      </c>
      <c r="R469" s="528">
        <v>0</v>
      </c>
      <c r="S469" s="529">
        <v>0</v>
      </c>
      <c r="T469" s="1011" t="s">
        <v>701</v>
      </c>
      <c r="U469" s="530">
        <v>0</v>
      </c>
      <c r="V469" s="529">
        <v>0</v>
      </c>
      <c r="W469" s="1011" t="s">
        <v>701</v>
      </c>
      <c r="X469" s="1016" t="s">
        <v>701</v>
      </c>
      <c r="Y469" s="529">
        <v>0</v>
      </c>
      <c r="Z469" s="1011" t="s">
        <v>701</v>
      </c>
      <c r="AA469" s="1102"/>
      <c r="AB469" s="1103"/>
      <c r="AC469" s="1099"/>
      <c r="AD469" s="1100"/>
      <c r="AE469" s="1107"/>
      <c r="AF469" s="1107"/>
      <c r="AG469" s="1107"/>
      <c r="AH469" s="1108"/>
      <c r="AI469" s="1106"/>
      <c r="AJ469" s="1041" t="s">
        <v>596</v>
      </c>
      <c r="AK469" s="906">
        <v>1</v>
      </c>
      <c r="AL469" s="49">
        <f t="shared" si="1316"/>
        <v>0</v>
      </c>
      <c r="AM469" s="907">
        <f t="shared" si="1317"/>
        <v>1.0506187499999999</v>
      </c>
    </row>
    <row r="470" spans="4:39" ht="11.25" customHeight="1" thickBot="1" x14ac:dyDescent="0.25">
      <c r="D470" s="532" t="s">
        <v>418</v>
      </c>
      <c r="E470" s="533"/>
      <c r="F470" s="534"/>
      <c r="G470" s="535"/>
      <c r="H470" s="535"/>
      <c r="I470" s="534"/>
      <c r="J470" s="535"/>
      <c r="K470" s="535"/>
      <c r="L470" s="535"/>
      <c r="M470" s="536"/>
      <c r="N470" s="537">
        <f>SUM(N464:N469)</f>
        <v>1</v>
      </c>
      <c r="O470" s="537">
        <f t="shared" ref="O470" si="1339">SUM(O464:O469)</f>
        <v>250</v>
      </c>
      <c r="P470" s="536"/>
      <c r="Q470" s="1020" t="s">
        <v>701</v>
      </c>
      <c r="R470" s="538"/>
      <c r="S470" s="539">
        <f t="shared" ref="S470" si="1340">SUM(S464:S469)</f>
        <v>18</v>
      </c>
      <c r="T470" s="1012" t="s">
        <v>701</v>
      </c>
      <c r="U470" s="538"/>
      <c r="V470" s="539">
        <f t="shared" ref="V470:Y470" si="1341">SUM(V464:V469)</f>
        <v>0</v>
      </c>
      <c r="W470" s="1012" t="s">
        <v>701</v>
      </c>
      <c r="X470" s="1012" t="s">
        <v>701</v>
      </c>
      <c r="Y470" s="539">
        <f t="shared" si="1341"/>
        <v>0</v>
      </c>
      <c r="Z470" s="1012" t="s">
        <v>701</v>
      </c>
      <c r="AA470" s="1012" t="s">
        <v>701</v>
      </c>
      <c r="AB470" s="1007" t="s">
        <v>701</v>
      </c>
      <c r="AC470" s="1013" t="s">
        <v>701</v>
      </c>
      <c r="AD470" s="540"/>
      <c r="AE470" s="1008" t="s">
        <v>701</v>
      </c>
      <c r="AF470" s="1008" t="s">
        <v>701</v>
      </c>
      <c r="AG470" s="1008" t="s">
        <v>701</v>
      </c>
      <c r="AH470" s="1008" t="s">
        <v>701</v>
      </c>
      <c r="AI470" s="1008" t="s">
        <v>701</v>
      </c>
      <c r="AJ470" s="1042" t="s">
        <v>596</v>
      </c>
      <c r="AK470" s="906">
        <v>1</v>
      </c>
      <c r="AL470" s="49">
        <f t="shared" si="1316"/>
        <v>0</v>
      </c>
      <c r="AM470" s="907">
        <f t="shared" si="1317"/>
        <v>1.0506187499999999</v>
      </c>
    </row>
    <row r="471" spans="4:39" ht="11.25" customHeight="1" x14ac:dyDescent="0.25">
      <c r="D471" s="1092" t="s">
        <v>749</v>
      </c>
      <c r="E471" s="1093" t="s">
        <v>737</v>
      </c>
      <c r="F471" s="1093">
        <v>2137</v>
      </c>
      <c r="G471" s="1093" t="s">
        <v>737</v>
      </c>
      <c r="H471" s="1094" t="s">
        <v>726</v>
      </c>
      <c r="I471" s="1095" t="s">
        <v>34</v>
      </c>
      <c r="J471" s="1096" t="s">
        <v>34</v>
      </c>
      <c r="K471" s="1096" t="s">
        <v>34</v>
      </c>
      <c r="L471" s="1096" t="s">
        <v>34</v>
      </c>
      <c r="M471" s="1097" t="s">
        <v>34</v>
      </c>
      <c r="N471" s="522">
        <v>0</v>
      </c>
      <c r="O471" s="523">
        <v>0</v>
      </c>
      <c r="P471" s="524">
        <v>0</v>
      </c>
      <c r="Q471" s="1018" t="s">
        <v>701</v>
      </c>
      <c r="R471" s="525">
        <v>0</v>
      </c>
      <c r="S471" s="524">
        <v>0</v>
      </c>
      <c r="T471" s="1017" t="s">
        <v>701</v>
      </c>
      <c r="U471" s="526">
        <v>0</v>
      </c>
      <c r="V471" s="524">
        <v>0</v>
      </c>
      <c r="W471" s="1010" t="s">
        <v>701</v>
      </c>
      <c r="X471" s="1015" t="s">
        <v>701</v>
      </c>
      <c r="Y471" s="527">
        <v>0</v>
      </c>
      <c r="Z471" s="1010" t="s">
        <v>701</v>
      </c>
      <c r="AA471" s="1102" t="s">
        <v>701</v>
      </c>
      <c r="AB471" s="1103" t="s">
        <v>701</v>
      </c>
      <c r="AC471" s="1099"/>
      <c r="AD471" s="1100">
        <v>0</v>
      </c>
      <c r="AE471" s="1107" t="s">
        <v>701</v>
      </c>
      <c r="AF471" s="1107" t="s">
        <v>701</v>
      </c>
      <c r="AG471" s="1107" t="s">
        <v>701</v>
      </c>
      <c r="AH471" s="1108" t="s">
        <v>701</v>
      </c>
      <c r="AI471" s="1106" t="s">
        <v>701</v>
      </c>
      <c r="AJ471" s="1040" t="s">
        <v>715</v>
      </c>
      <c r="AK471" s="906">
        <v>0</v>
      </c>
      <c r="AL471" s="49">
        <f t="shared" si="1316"/>
        <v>1</v>
      </c>
      <c r="AM471" s="907">
        <f t="shared" si="1317"/>
        <v>1.0526158167136324</v>
      </c>
    </row>
    <row r="472" spans="4:39" ht="11.25" customHeight="1" x14ac:dyDescent="0.2">
      <c r="D472" s="1092"/>
      <c r="E472" s="1093"/>
      <c r="F472" s="1093"/>
      <c r="G472" s="1093"/>
      <c r="H472" s="1094"/>
      <c r="I472" s="1095"/>
      <c r="J472" s="1096"/>
      <c r="K472" s="1096"/>
      <c r="L472" s="1096"/>
      <c r="M472" s="1097"/>
      <c r="N472" s="528">
        <v>0</v>
      </c>
      <c r="O472" s="529">
        <v>0</v>
      </c>
      <c r="P472" s="529">
        <v>0</v>
      </c>
      <c r="Q472" s="1019" t="s">
        <v>701</v>
      </c>
      <c r="R472" s="528">
        <v>0</v>
      </c>
      <c r="S472" s="529">
        <v>0</v>
      </c>
      <c r="T472" s="1011" t="s">
        <v>701</v>
      </c>
      <c r="U472" s="530">
        <v>0</v>
      </c>
      <c r="V472" s="529">
        <v>0</v>
      </c>
      <c r="W472" s="1011" t="s">
        <v>701</v>
      </c>
      <c r="X472" s="1016" t="s">
        <v>701</v>
      </c>
      <c r="Y472" s="531">
        <v>0</v>
      </c>
      <c r="Z472" s="1011" t="s">
        <v>701</v>
      </c>
      <c r="AA472" s="1102"/>
      <c r="AB472" s="1103"/>
      <c r="AC472" s="1099"/>
      <c r="AD472" s="1100"/>
      <c r="AE472" s="1107"/>
      <c r="AF472" s="1107"/>
      <c r="AG472" s="1107"/>
      <c r="AH472" s="1108"/>
      <c r="AI472" s="1106"/>
      <c r="AJ472" s="1041" t="s">
        <v>596</v>
      </c>
      <c r="AK472" s="906">
        <v>0</v>
      </c>
      <c r="AL472" s="49">
        <f t="shared" si="1316"/>
        <v>1</v>
      </c>
      <c r="AM472" s="907">
        <f t="shared" si="1317"/>
        <v>1.0526158167136324</v>
      </c>
    </row>
    <row r="473" spans="4:39" ht="11.25" customHeight="1" x14ac:dyDescent="0.2">
      <c r="D473" s="1092"/>
      <c r="E473" s="1093"/>
      <c r="F473" s="1093"/>
      <c r="G473" s="1093"/>
      <c r="H473" s="1094"/>
      <c r="I473" s="1095"/>
      <c r="J473" s="1096"/>
      <c r="K473" s="1096"/>
      <c r="L473" s="1096"/>
      <c r="M473" s="1097"/>
      <c r="N473" s="528">
        <v>0</v>
      </c>
      <c r="O473" s="529">
        <v>0</v>
      </c>
      <c r="P473" s="529">
        <v>0</v>
      </c>
      <c r="Q473" s="1019" t="s">
        <v>701</v>
      </c>
      <c r="R473" s="528">
        <v>0</v>
      </c>
      <c r="S473" s="529">
        <v>0</v>
      </c>
      <c r="T473" s="1011" t="s">
        <v>701</v>
      </c>
      <c r="U473" s="530">
        <v>0</v>
      </c>
      <c r="V473" s="529">
        <v>0</v>
      </c>
      <c r="W473" s="1011" t="s">
        <v>701</v>
      </c>
      <c r="X473" s="1016" t="s">
        <v>701</v>
      </c>
      <c r="Y473" s="529">
        <v>0</v>
      </c>
      <c r="Z473" s="1011" t="s">
        <v>701</v>
      </c>
      <c r="AA473" s="1102"/>
      <c r="AB473" s="1103"/>
      <c r="AC473" s="1099"/>
      <c r="AD473" s="1100"/>
      <c r="AE473" s="1107"/>
      <c r="AF473" s="1107"/>
      <c r="AG473" s="1107"/>
      <c r="AH473" s="1108"/>
      <c r="AI473" s="1106"/>
      <c r="AJ473" s="1041" t="s">
        <v>596</v>
      </c>
      <c r="AK473" s="906">
        <v>0</v>
      </c>
      <c r="AL473" s="49">
        <f t="shared" si="1316"/>
        <v>1</v>
      </c>
      <c r="AM473" s="907">
        <f t="shared" si="1317"/>
        <v>1.0526158167136324</v>
      </c>
    </row>
    <row r="474" spans="4:39" ht="11.25" customHeight="1" x14ac:dyDescent="0.2">
      <c r="D474" s="1092"/>
      <c r="E474" s="1093"/>
      <c r="F474" s="1093"/>
      <c r="G474" s="1093"/>
      <c r="H474" s="1094"/>
      <c r="I474" s="1095"/>
      <c r="J474" s="1096"/>
      <c r="K474" s="1096"/>
      <c r="L474" s="1096"/>
      <c r="M474" s="1097"/>
      <c r="N474" s="528">
        <v>0</v>
      </c>
      <c r="O474" s="529">
        <v>0</v>
      </c>
      <c r="P474" s="529">
        <v>0</v>
      </c>
      <c r="Q474" s="1019" t="s">
        <v>701</v>
      </c>
      <c r="R474" s="528">
        <v>0</v>
      </c>
      <c r="S474" s="529">
        <v>0</v>
      </c>
      <c r="T474" s="1011" t="s">
        <v>701</v>
      </c>
      <c r="U474" s="530">
        <v>0</v>
      </c>
      <c r="V474" s="529">
        <v>0</v>
      </c>
      <c r="W474" s="1011" t="s">
        <v>701</v>
      </c>
      <c r="X474" s="1016" t="s">
        <v>701</v>
      </c>
      <c r="Y474" s="529">
        <v>0</v>
      </c>
      <c r="Z474" s="1011" t="s">
        <v>701</v>
      </c>
      <c r="AA474" s="1102"/>
      <c r="AB474" s="1103"/>
      <c r="AC474" s="1099"/>
      <c r="AD474" s="1100"/>
      <c r="AE474" s="1107"/>
      <c r="AF474" s="1107"/>
      <c r="AG474" s="1107"/>
      <c r="AH474" s="1108"/>
      <c r="AI474" s="1106"/>
      <c r="AJ474" s="1041" t="s">
        <v>596</v>
      </c>
      <c r="AK474" s="906">
        <v>0</v>
      </c>
      <c r="AL474" s="49">
        <f t="shared" si="1316"/>
        <v>1</v>
      </c>
      <c r="AM474" s="907">
        <f t="shared" si="1317"/>
        <v>1.0526158167136324</v>
      </c>
    </row>
    <row r="475" spans="4:39" ht="11.25" customHeight="1" x14ac:dyDescent="0.2">
      <c r="D475" s="1092"/>
      <c r="E475" s="1093"/>
      <c r="F475" s="1093"/>
      <c r="G475" s="1093"/>
      <c r="H475" s="1094"/>
      <c r="I475" s="1095"/>
      <c r="J475" s="1096"/>
      <c r="K475" s="1096"/>
      <c r="L475" s="1096"/>
      <c r="M475" s="1097"/>
      <c r="N475" s="528">
        <v>0</v>
      </c>
      <c r="O475" s="529">
        <v>0</v>
      </c>
      <c r="P475" s="529">
        <v>0</v>
      </c>
      <c r="Q475" s="1019" t="s">
        <v>701</v>
      </c>
      <c r="R475" s="528">
        <v>0</v>
      </c>
      <c r="S475" s="529">
        <v>0</v>
      </c>
      <c r="T475" s="1011" t="s">
        <v>701</v>
      </c>
      <c r="U475" s="530">
        <v>0</v>
      </c>
      <c r="V475" s="529">
        <v>0</v>
      </c>
      <c r="W475" s="1011" t="s">
        <v>701</v>
      </c>
      <c r="X475" s="1016" t="s">
        <v>701</v>
      </c>
      <c r="Y475" s="529">
        <v>0</v>
      </c>
      <c r="Z475" s="1011" t="s">
        <v>701</v>
      </c>
      <c r="AA475" s="1102"/>
      <c r="AB475" s="1103"/>
      <c r="AC475" s="1099"/>
      <c r="AD475" s="1100"/>
      <c r="AE475" s="1107"/>
      <c r="AF475" s="1107"/>
      <c r="AG475" s="1107"/>
      <c r="AH475" s="1108"/>
      <c r="AI475" s="1106"/>
      <c r="AJ475" s="1041" t="s">
        <v>596</v>
      </c>
      <c r="AK475" s="906">
        <v>0</v>
      </c>
      <c r="AL475" s="49">
        <f t="shared" si="1316"/>
        <v>1</v>
      </c>
      <c r="AM475" s="907">
        <f t="shared" si="1317"/>
        <v>1.0526158167136324</v>
      </c>
    </row>
    <row r="476" spans="4:39" ht="11.25" customHeight="1" x14ac:dyDescent="0.2">
      <c r="D476" s="1092"/>
      <c r="E476" s="1093"/>
      <c r="F476" s="1093"/>
      <c r="G476" s="1093"/>
      <c r="H476" s="1094"/>
      <c r="I476" s="1095"/>
      <c r="J476" s="1096"/>
      <c r="K476" s="1096"/>
      <c r="L476" s="1096"/>
      <c r="M476" s="1097"/>
      <c r="N476" s="528">
        <v>0</v>
      </c>
      <c r="O476" s="529">
        <v>0</v>
      </c>
      <c r="P476" s="529">
        <v>0</v>
      </c>
      <c r="Q476" s="1019" t="s">
        <v>701</v>
      </c>
      <c r="R476" s="528">
        <v>0</v>
      </c>
      <c r="S476" s="529">
        <v>0</v>
      </c>
      <c r="T476" s="1011" t="s">
        <v>701</v>
      </c>
      <c r="U476" s="530">
        <v>0</v>
      </c>
      <c r="V476" s="529">
        <v>0</v>
      </c>
      <c r="W476" s="1011" t="s">
        <v>701</v>
      </c>
      <c r="X476" s="1016" t="s">
        <v>701</v>
      </c>
      <c r="Y476" s="529">
        <v>0</v>
      </c>
      <c r="Z476" s="1011" t="s">
        <v>701</v>
      </c>
      <c r="AA476" s="1102"/>
      <c r="AB476" s="1103"/>
      <c r="AC476" s="1099"/>
      <c r="AD476" s="1100"/>
      <c r="AE476" s="1107"/>
      <c r="AF476" s="1107"/>
      <c r="AG476" s="1107"/>
      <c r="AH476" s="1108"/>
      <c r="AI476" s="1106"/>
      <c r="AJ476" s="1041" t="s">
        <v>596</v>
      </c>
      <c r="AK476" s="906">
        <v>0</v>
      </c>
      <c r="AL476" s="49">
        <f t="shared" si="1316"/>
        <v>1</v>
      </c>
      <c r="AM476" s="907">
        <f t="shared" si="1317"/>
        <v>1.0526158167136324</v>
      </c>
    </row>
    <row r="477" spans="4:39" ht="11.25" customHeight="1" thickBot="1" x14ac:dyDescent="0.25">
      <c r="D477" s="532" t="s">
        <v>418</v>
      </c>
      <c r="E477" s="533"/>
      <c r="F477" s="534"/>
      <c r="G477" s="535"/>
      <c r="H477" s="535"/>
      <c r="I477" s="534"/>
      <c r="J477" s="535"/>
      <c r="K477" s="535"/>
      <c r="L477" s="535"/>
      <c r="M477" s="536"/>
      <c r="N477" s="537">
        <f>SUM(N471:N476)</f>
        <v>0</v>
      </c>
      <c r="O477" s="537">
        <f t="shared" ref="O477" si="1342">SUM(O471:O476)</f>
        <v>0</v>
      </c>
      <c r="P477" s="536"/>
      <c r="Q477" s="1020" t="s">
        <v>701</v>
      </c>
      <c r="R477" s="538"/>
      <c r="S477" s="539">
        <f t="shared" ref="S477" si="1343">SUM(S471:S476)</f>
        <v>0</v>
      </c>
      <c r="T477" s="1012" t="s">
        <v>701</v>
      </c>
      <c r="U477" s="538"/>
      <c r="V477" s="539">
        <f t="shared" ref="V477:Y477" si="1344">SUM(V471:V476)</f>
        <v>0</v>
      </c>
      <c r="W477" s="1012" t="s">
        <v>701</v>
      </c>
      <c r="X477" s="1012" t="s">
        <v>701</v>
      </c>
      <c r="Y477" s="539">
        <f t="shared" si="1344"/>
        <v>0</v>
      </c>
      <c r="Z477" s="1012" t="s">
        <v>701</v>
      </c>
      <c r="AA477" s="1012" t="s">
        <v>701</v>
      </c>
      <c r="AB477" s="1007" t="s">
        <v>701</v>
      </c>
      <c r="AC477" s="1013" t="s">
        <v>701</v>
      </c>
      <c r="AD477" s="540"/>
      <c r="AE477" s="1008" t="s">
        <v>701</v>
      </c>
      <c r="AF477" s="1008" t="s">
        <v>701</v>
      </c>
      <c r="AG477" s="1008" t="s">
        <v>701</v>
      </c>
      <c r="AH477" s="1008" t="s">
        <v>701</v>
      </c>
      <c r="AI477" s="1008" t="s">
        <v>701</v>
      </c>
      <c r="AJ477" s="1042" t="s">
        <v>596</v>
      </c>
      <c r="AK477" s="906">
        <v>0</v>
      </c>
      <c r="AL477" s="49">
        <f t="shared" si="1316"/>
        <v>1</v>
      </c>
      <c r="AM477" s="907">
        <f t="shared" si="1317"/>
        <v>1.0526158167136324</v>
      </c>
    </row>
    <row r="478" spans="4:39" ht="11.25" customHeight="1" x14ac:dyDescent="0.25">
      <c r="D478" s="1092" t="s">
        <v>750</v>
      </c>
      <c r="E478" s="1093" t="s">
        <v>718</v>
      </c>
      <c r="F478" s="1093">
        <v>1473</v>
      </c>
      <c r="G478" s="1093" t="s">
        <v>737</v>
      </c>
      <c r="H478" s="1094" t="s">
        <v>726</v>
      </c>
      <c r="I478" s="1095">
        <v>330</v>
      </c>
      <c r="J478" s="1096" t="s">
        <v>34</v>
      </c>
      <c r="K478" s="1096" t="s">
        <v>34</v>
      </c>
      <c r="L478" s="1096" t="s">
        <v>34</v>
      </c>
      <c r="M478" s="1097" t="s">
        <v>34</v>
      </c>
      <c r="N478" s="522">
        <v>0</v>
      </c>
      <c r="O478" s="523">
        <v>0</v>
      </c>
      <c r="P478" s="524">
        <v>0</v>
      </c>
      <c r="Q478" s="1018" t="s">
        <v>701</v>
      </c>
      <c r="R478" s="525">
        <v>0</v>
      </c>
      <c r="S478" s="524">
        <v>0</v>
      </c>
      <c r="T478" s="1017" t="s">
        <v>701</v>
      </c>
      <c r="U478" s="526">
        <v>0</v>
      </c>
      <c r="V478" s="524">
        <v>0</v>
      </c>
      <c r="W478" s="1010" t="s">
        <v>701</v>
      </c>
      <c r="X478" s="1015" t="s">
        <v>701</v>
      </c>
      <c r="Y478" s="527">
        <v>3252.8885714285711</v>
      </c>
      <c r="Z478" s="1010" t="s">
        <v>701</v>
      </c>
      <c r="AA478" s="1102" t="s">
        <v>701</v>
      </c>
      <c r="AB478" s="1103" t="s">
        <v>701</v>
      </c>
      <c r="AC478" s="1099"/>
      <c r="AD478" s="1100">
        <v>0</v>
      </c>
      <c r="AE478" s="1107" t="s">
        <v>701</v>
      </c>
      <c r="AF478" s="1107" t="s">
        <v>701</v>
      </c>
      <c r="AG478" s="1107" t="s">
        <v>701</v>
      </c>
      <c r="AH478" s="1108" t="s">
        <v>701</v>
      </c>
      <c r="AI478" s="1106" t="s">
        <v>701</v>
      </c>
      <c r="AJ478" s="1040" t="s">
        <v>596</v>
      </c>
      <c r="AK478" s="906">
        <v>0</v>
      </c>
      <c r="AL478" s="49">
        <f t="shared" si="1316"/>
        <v>1</v>
      </c>
      <c r="AM478" s="907">
        <f t="shared" si="1317"/>
        <v>1.0526158167136324</v>
      </c>
    </row>
    <row r="479" spans="4:39" ht="11.25" customHeight="1" x14ac:dyDescent="0.2">
      <c r="D479" s="1092"/>
      <c r="E479" s="1093"/>
      <c r="F479" s="1093"/>
      <c r="G479" s="1093"/>
      <c r="H479" s="1094"/>
      <c r="I479" s="1095"/>
      <c r="J479" s="1096"/>
      <c r="K479" s="1096"/>
      <c r="L479" s="1096"/>
      <c r="M479" s="1097"/>
      <c r="N479" s="528">
        <v>0</v>
      </c>
      <c r="O479" s="529">
        <v>0</v>
      </c>
      <c r="P479" s="529">
        <v>0</v>
      </c>
      <c r="Q479" s="1019" t="s">
        <v>701</v>
      </c>
      <c r="R479" s="528">
        <v>0</v>
      </c>
      <c r="S479" s="529">
        <v>0</v>
      </c>
      <c r="T479" s="1011" t="s">
        <v>701</v>
      </c>
      <c r="U479" s="530">
        <v>0</v>
      </c>
      <c r="V479" s="529">
        <v>0</v>
      </c>
      <c r="W479" s="1011" t="s">
        <v>701</v>
      </c>
      <c r="X479" s="1016" t="s">
        <v>701</v>
      </c>
      <c r="Y479" s="531">
        <v>0</v>
      </c>
      <c r="Z479" s="1011" t="s">
        <v>701</v>
      </c>
      <c r="AA479" s="1102"/>
      <c r="AB479" s="1103"/>
      <c r="AC479" s="1099"/>
      <c r="AD479" s="1100"/>
      <c r="AE479" s="1107"/>
      <c r="AF479" s="1107"/>
      <c r="AG479" s="1107"/>
      <c r="AH479" s="1108"/>
      <c r="AI479" s="1106"/>
      <c r="AJ479" s="1041" t="s">
        <v>596</v>
      </c>
      <c r="AK479" s="906">
        <v>0</v>
      </c>
      <c r="AL479" s="49">
        <f t="shared" si="1316"/>
        <v>1</v>
      </c>
      <c r="AM479" s="907">
        <f t="shared" si="1317"/>
        <v>1.0526158167136324</v>
      </c>
    </row>
    <row r="480" spans="4:39" ht="11.25" customHeight="1" x14ac:dyDescent="0.2">
      <c r="D480" s="1092"/>
      <c r="E480" s="1093"/>
      <c r="F480" s="1093"/>
      <c r="G480" s="1093"/>
      <c r="H480" s="1094"/>
      <c r="I480" s="1095"/>
      <c r="J480" s="1096"/>
      <c r="K480" s="1096"/>
      <c r="L480" s="1096"/>
      <c r="M480" s="1097"/>
      <c r="N480" s="528">
        <v>0</v>
      </c>
      <c r="O480" s="529">
        <v>0</v>
      </c>
      <c r="P480" s="529">
        <v>0</v>
      </c>
      <c r="Q480" s="1019" t="s">
        <v>701</v>
      </c>
      <c r="R480" s="528">
        <v>0</v>
      </c>
      <c r="S480" s="529">
        <v>0</v>
      </c>
      <c r="T480" s="1011" t="s">
        <v>701</v>
      </c>
      <c r="U480" s="530">
        <v>0</v>
      </c>
      <c r="V480" s="529">
        <v>0</v>
      </c>
      <c r="W480" s="1011" t="s">
        <v>701</v>
      </c>
      <c r="X480" s="1016" t="s">
        <v>701</v>
      </c>
      <c r="Y480" s="529">
        <v>0</v>
      </c>
      <c r="Z480" s="1011" t="s">
        <v>701</v>
      </c>
      <c r="AA480" s="1102"/>
      <c r="AB480" s="1103"/>
      <c r="AC480" s="1099"/>
      <c r="AD480" s="1100"/>
      <c r="AE480" s="1107"/>
      <c r="AF480" s="1107"/>
      <c r="AG480" s="1107"/>
      <c r="AH480" s="1108"/>
      <c r="AI480" s="1106"/>
      <c r="AJ480" s="1041" t="s">
        <v>596</v>
      </c>
      <c r="AK480" s="906">
        <v>0</v>
      </c>
      <c r="AL480" s="49">
        <f t="shared" si="1316"/>
        <v>1</v>
      </c>
      <c r="AM480" s="907">
        <f t="shared" si="1317"/>
        <v>1.0526158167136324</v>
      </c>
    </row>
    <row r="481" spans="4:39" ht="11.25" customHeight="1" x14ac:dyDescent="0.2">
      <c r="D481" s="1092"/>
      <c r="E481" s="1093"/>
      <c r="F481" s="1093"/>
      <c r="G481" s="1093"/>
      <c r="H481" s="1094"/>
      <c r="I481" s="1095"/>
      <c r="J481" s="1096"/>
      <c r="K481" s="1096"/>
      <c r="L481" s="1096"/>
      <c r="M481" s="1097"/>
      <c r="N481" s="528">
        <v>0</v>
      </c>
      <c r="O481" s="529">
        <v>0</v>
      </c>
      <c r="P481" s="529">
        <v>0</v>
      </c>
      <c r="Q481" s="1019" t="s">
        <v>701</v>
      </c>
      <c r="R481" s="528">
        <v>0</v>
      </c>
      <c r="S481" s="529">
        <v>0</v>
      </c>
      <c r="T481" s="1011" t="s">
        <v>701</v>
      </c>
      <c r="U481" s="530">
        <v>0</v>
      </c>
      <c r="V481" s="529">
        <v>0</v>
      </c>
      <c r="W481" s="1011" t="s">
        <v>701</v>
      </c>
      <c r="X481" s="1016" t="s">
        <v>701</v>
      </c>
      <c r="Y481" s="529">
        <v>0</v>
      </c>
      <c r="Z481" s="1011" t="s">
        <v>701</v>
      </c>
      <c r="AA481" s="1102"/>
      <c r="AB481" s="1103"/>
      <c r="AC481" s="1099"/>
      <c r="AD481" s="1100"/>
      <c r="AE481" s="1107"/>
      <c r="AF481" s="1107"/>
      <c r="AG481" s="1107"/>
      <c r="AH481" s="1108"/>
      <c r="AI481" s="1106"/>
      <c r="AJ481" s="1041" t="s">
        <v>596</v>
      </c>
      <c r="AK481" s="906">
        <v>0</v>
      </c>
      <c r="AL481" s="49">
        <f t="shared" ref="AL481:AL544" si="1345">IF(AK481,0,1)</f>
        <v>1</v>
      </c>
      <c r="AM481" s="907">
        <f t="shared" ref="AM481:AM544" si="1346">AK481*$N$335+AL481*$O$345</f>
        <v>1.0526158167136324</v>
      </c>
    </row>
    <row r="482" spans="4:39" ht="11.25" customHeight="1" x14ac:dyDescent="0.2">
      <c r="D482" s="1092"/>
      <c r="E482" s="1093"/>
      <c r="F482" s="1093"/>
      <c r="G482" s="1093"/>
      <c r="H482" s="1094"/>
      <c r="I482" s="1095"/>
      <c r="J482" s="1096"/>
      <c r="K482" s="1096"/>
      <c r="L482" s="1096"/>
      <c r="M482" s="1097"/>
      <c r="N482" s="528">
        <v>0</v>
      </c>
      <c r="O482" s="529">
        <v>0</v>
      </c>
      <c r="P482" s="529">
        <v>0</v>
      </c>
      <c r="Q482" s="1019" t="s">
        <v>701</v>
      </c>
      <c r="R482" s="528">
        <v>0</v>
      </c>
      <c r="S482" s="529">
        <v>0</v>
      </c>
      <c r="T482" s="1011" t="s">
        <v>701</v>
      </c>
      <c r="U482" s="530">
        <v>0</v>
      </c>
      <c r="V482" s="529">
        <v>0</v>
      </c>
      <c r="W482" s="1011" t="s">
        <v>701</v>
      </c>
      <c r="X482" s="1016" t="s">
        <v>701</v>
      </c>
      <c r="Y482" s="529">
        <v>0</v>
      </c>
      <c r="Z482" s="1011" t="s">
        <v>701</v>
      </c>
      <c r="AA482" s="1102"/>
      <c r="AB482" s="1103"/>
      <c r="AC482" s="1099"/>
      <c r="AD482" s="1100"/>
      <c r="AE482" s="1107"/>
      <c r="AF482" s="1107"/>
      <c r="AG482" s="1107"/>
      <c r="AH482" s="1108"/>
      <c r="AI482" s="1106"/>
      <c r="AJ482" s="1041" t="s">
        <v>596</v>
      </c>
      <c r="AK482" s="906">
        <v>0</v>
      </c>
      <c r="AL482" s="49">
        <f t="shared" si="1345"/>
        <v>1</v>
      </c>
      <c r="AM482" s="907">
        <f t="shared" si="1346"/>
        <v>1.0526158167136324</v>
      </c>
    </row>
    <row r="483" spans="4:39" ht="11.25" customHeight="1" x14ac:dyDescent="0.2">
      <c r="D483" s="1092"/>
      <c r="E483" s="1093"/>
      <c r="F483" s="1093"/>
      <c r="G483" s="1093"/>
      <c r="H483" s="1094"/>
      <c r="I483" s="1095"/>
      <c r="J483" s="1096"/>
      <c r="K483" s="1096"/>
      <c r="L483" s="1096"/>
      <c r="M483" s="1097"/>
      <c r="N483" s="528">
        <v>0</v>
      </c>
      <c r="O483" s="529">
        <v>0</v>
      </c>
      <c r="P483" s="529">
        <v>0</v>
      </c>
      <c r="Q483" s="1019" t="s">
        <v>701</v>
      </c>
      <c r="R483" s="528">
        <v>0</v>
      </c>
      <c r="S483" s="529">
        <v>0</v>
      </c>
      <c r="T483" s="1011" t="s">
        <v>701</v>
      </c>
      <c r="U483" s="530">
        <v>0</v>
      </c>
      <c r="V483" s="529">
        <v>0</v>
      </c>
      <c r="W483" s="1011" t="s">
        <v>701</v>
      </c>
      <c r="X483" s="1016" t="s">
        <v>701</v>
      </c>
      <c r="Y483" s="529">
        <v>0</v>
      </c>
      <c r="Z483" s="1011" t="s">
        <v>701</v>
      </c>
      <c r="AA483" s="1102"/>
      <c r="AB483" s="1103"/>
      <c r="AC483" s="1099"/>
      <c r="AD483" s="1100"/>
      <c r="AE483" s="1107"/>
      <c r="AF483" s="1107"/>
      <c r="AG483" s="1107"/>
      <c r="AH483" s="1108"/>
      <c r="AI483" s="1106"/>
      <c r="AJ483" s="1041" t="s">
        <v>596</v>
      </c>
      <c r="AK483" s="906">
        <v>0</v>
      </c>
      <c r="AL483" s="49">
        <f t="shared" si="1345"/>
        <v>1</v>
      </c>
      <c r="AM483" s="907">
        <f t="shared" si="1346"/>
        <v>1.0526158167136324</v>
      </c>
    </row>
    <row r="484" spans="4:39" ht="11.25" customHeight="1" thickBot="1" x14ac:dyDescent="0.25">
      <c r="D484" s="532" t="s">
        <v>418</v>
      </c>
      <c r="E484" s="533"/>
      <c r="F484" s="534"/>
      <c r="G484" s="535"/>
      <c r="H484" s="535"/>
      <c r="I484" s="534"/>
      <c r="J484" s="535"/>
      <c r="K484" s="535"/>
      <c r="L484" s="535"/>
      <c r="M484" s="536"/>
      <c r="N484" s="537">
        <f>SUM(N478:N483)</f>
        <v>0</v>
      </c>
      <c r="O484" s="537">
        <f t="shared" ref="O484" si="1347">SUM(O478:O483)</f>
        <v>0</v>
      </c>
      <c r="P484" s="536"/>
      <c r="Q484" s="1020" t="s">
        <v>701</v>
      </c>
      <c r="R484" s="538"/>
      <c r="S484" s="539">
        <f t="shared" ref="S484" si="1348">SUM(S478:S483)</f>
        <v>0</v>
      </c>
      <c r="T484" s="1012" t="s">
        <v>701</v>
      </c>
      <c r="U484" s="538"/>
      <c r="V484" s="539">
        <f t="shared" ref="V484:Y484" si="1349">SUM(V478:V483)</f>
        <v>0</v>
      </c>
      <c r="W484" s="1012" t="s">
        <v>701</v>
      </c>
      <c r="X484" s="1012" t="s">
        <v>701</v>
      </c>
      <c r="Y484" s="539">
        <f t="shared" si="1349"/>
        <v>3252.8885714285711</v>
      </c>
      <c r="Z484" s="1012" t="s">
        <v>701</v>
      </c>
      <c r="AA484" s="1012" t="s">
        <v>701</v>
      </c>
      <c r="AB484" s="1007" t="s">
        <v>701</v>
      </c>
      <c r="AC484" s="1013" t="s">
        <v>701</v>
      </c>
      <c r="AD484" s="540"/>
      <c r="AE484" s="1008" t="s">
        <v>701</v>
      </c>
      <c r="AF484" s="1008" t="s">
        <v>701</v>
      </c>
      <c r="AG484" s="1008" t="s">
        <v>701</v>
      </c>
      <c r="AH484" s="1008" t="s">
        <v>701</v>
      </c>
      <c r="AI484" s="1008" t="s">
        <v>701</v>
      </c>
      <c r="AJ484" s="1042" t="s">
        <v>596</v>
      </c>
      <c r="AK484" s="906">
        <v>0</v>
      </c>
      <c r="AL484" s="49">
        <f t="shared" si="1345"/>
        <v>1</v>
      </c>
      <c r="AM484" s="907">
        <f t="shared" si="1346"/>
        <v>1.0526158167136324</v>
      </c>
    </row>
    <row r="485" spans="4:39" ht="11.25" customHeight="1" x14ac:dyDescent="0.25">
      <c r="D485" s="1092" t="s">
        <v>751</v>
      </c>
      <c r="E485" s="1093" t="s">
        <v>718</v>
      </c>
      <c r="F485" s="1093">
        <v>1491</v>
      </c>
      <c r="G485" s="1093" t="s">
        <v>737</v>
      </c>
      <c r="H485" s="1094" t="s">
        <v>726</v>
      </c>
      <c r="I485" s="1095">
        <v>330</v>
      </c>
      <c r="J485" s="1096" t="s">
        <v>34</v>
      </c>
      <c r="K485" s="1096" t="s">
        <v>34</v>
      </c>
      <c r="L485" s="1096" t="s">
        <v>34</v>
      </c>
      <c r="M485" s="1097" t="s">
        <v>34</v>
      </c>
      <c r="N485" s="522">
        <v>0</v>
      </c>
      <c r="O485" s="523">
        <v>0</v>
      </c>
      <c r="P485" s="524">
        <v>0</v>
      </c>
      <c r="Q485" s="1018" t="s">
        <v>701</v>
      </c>
      <c r="R485" s="525">
        <v>0</v>
      </c>
      <c r="S485" s="524">
        <v>0</v>
      </c>
      <c r="T485" s="1017" t="s">
        <v>701</v>
      </c>
      <c r="U485" s="526">
        <v>0</v>
      </c>
      <c r="V485" s="524">
        <v>0</v>
      </c>
      <c r="W485" s="1010" t="s">
        <v>701</v>
      </c>
      <c r="X485" s="1015" t="s">
        <v>701</v>
      </c>
      <c r="Y485" s="527">
        <v>11400.861863354035</v>
      </c>
      <c r="Z485" s="1010" t="s">
        <v>701</v>
      </c>
      <c r="AA485" s="1102" t="s">
        <v>701</v>
      </c>
      <c r="AB485" s="1103" t="s">
        <v>701</v>
      </c>
      <c r="AC485" s="1099"/>
      <c r="AD485" s="1100">
        <v>0</v>
      </c>
      <c r="AE485" s="1107" t="s">
        <v>701</v>
      </c>
      <c r="AF485" s="1107" t="s">
        <v>701</v>
      </c>
      <c r="AG485" s="1107" t="s">
        <v>701</v>
      </c>
      <c r="AH485" s="1108" t="s">
        <v>701</v>
      </c>
      <c r="AI485" s="1106" t="s">
        <v>701</v>
      </c>
      <c r="AJ485" s="1040" t="s">
        <v>596</v>
      </c>
      <c r="AK485" s="906">
        <v>0</v>
      </c>
      <c r="AL485" s="49">
        <f t="shared" si="1345"/>
        <v>1</v>
      </c>
      <c r="AM485" s="907">
        <f t="shared" si="1346"/>
        <v>1.0526158167136324</v>
      </c>
    </row>
    <row r="486" spans="4:39" ht="11.25" customHeight="1" x14ac:dyDescent="0.2">
      <c r="D486" s="1092"/>
      <c r="E486" s="1093"/>
      <c r="F486" s="1093"/>
      <c r="G486" s="1093"/>
      <c r="H486" s="1094"/>
      <c r="I486" s="1095"/>
      <c r="J486" s="1096"/>
      <c r="K486" s="1096"/>
      <c r="L486" s="1096"/>
      <c r="M486" s="1097"/>
      <c r="N486" s="528">
        <v>0</v>
      </c>
      <c r="O486" s="529">
        <v>0</v>
      </c>
      <c r="P486" s="529">
        <v>0</v>
      </c>
      <c r="Q486" s="1019" t="s">
        <v>701</v>
      </c>
      <c r="R486" s="528">
        <v>0</v>
      </c>
      <c r="S486" s="529">
        <v>0</v>
      </c>
      <c r="T486" s="1011" t="s">
        <v>701</v>
      </c>
      <c r="U486" s="530">
        <v>0</v>
      </c>
      <c r="V486" s="529">
        <v>0</v>
      </c>
      <c r="W486" s="1011" t="s">
        <v>701</v>
      </c>
      <c r="X486" s="1016" t="s">
        <v>701</v>
      </c>
      <c r="Y486" s="531">
        <v>0</v>
      </c>
      <c r="Z486" s="1011" t="s">
        <v>701</v>
      </c>
      <c r="AA486" s="1102"/>
      <c r="AB486" s="1103"/>
      <c r="AC486" s="1099"/>
      <c r="AD486" s="1100"/>
      <c r="AE486" s="1107"/>
      <c r="AF486" s="1107"/>
      <c r="AG486" s="1107"/>
      <c r="AH486" s="1108"/>
      <c r="AI486" s="1106"/>
      <c r="AJ486" s="1041" t="s">
        <v>596</v>
      </c>
      <c r="AK486" s="906">
        <v>0</v>
      </c>
      <c r="AL486" s="49">
        <f t="shared" si="1345"/>
        <v>1</v>
      </c>
      <c r="AM486" s="907">
        <f t="shared" si="1346"/>
        <v>1.0526158167136324</v>
      </c>
    </row>
    <row r="487" spans="4:39" ht="11.25" customHeight="1" x14ac:dyDescent="0.2">
      <c r="D487" s="1092"/>
      <c r="E487" s="1093"/>
      <c r="F487" s="1093"/>
      <c r="G487" s="1093"/>
      <c r="H487" s="1094"/>
      <c r="I487" s="1095"/>
      <c r="J487" s="1096"/>
      <c r="K487" s="1096"/>
      <c r="L487" s="1096"/>
      <c r="M487" s="1097"/>
      <c r="N487" s="528">
        <v>0</v>
      </c>
      <c r="O487" s="529">
        <v>0</v>
      </c>
      <c r="P487" s="529">
        <v>0</v>
      </c>
      <c r="Q487" s="1019" t="s">
        <v>701</v>
      </c>
      <c r="R487" s="528">
        <v>0</v>
      </c>
      <c r="S487" s="529">
        <v>0</v>
      </c>
      <c r="T487" s="1011" t="s">
        <v>701</v>
      </c>
      <c r="U487" s="530">
        <v>0</v>
      </c>
      <c r="V487" s="529">
        <v>0</v>
      </c>
      <c r="W487" s="1011" t="s">
        <v>701</v>
      </c>
      <c r="X487" s="1016" t="s">
        <v>701</v>
      </c>
      <c r="Y487" s="529">
        <v>0</v>
      </c>
      <c r="Z487" s="1011" t="s">
        <v>701</v>
      </c>
      <c r="AA487" s="1102"/>
      <c r="AB487" s="1103"/>
      <c r="AC487" s="1099"/>
      <c r="AD487" s="1100"/>
      <c r="AE487" s="1107"/>
      <c r="AF487" s="1107"/>
      <c r="AG487" s="1107"/>
      <c r="AH487" s="1108"/>
      <c r="AI487" s="1106"/>
      <c r="AJ487" s="1041" t="s">
        <v>596</v>
      </c>
      <c r="AK487" s="906">
        <v>0</v>
      </c>
      <c r="AL487" s="49">
        <f t="shared" si="1345"/>
        <v>1</v>
      </c>
      <c r="AM487" s="907">
        <f t="shared" si="1346"/>
        <v>1.0526158167136324</v>
      </c>
    </row>
    <row r="488" spans="4:39" ht="11.25" customHeight="1" x14ac:dyDescent="0.2">
      <c r="D488" s="1092"/>
      <c r="E488" s="1093"/>
      <c r="F488" s="1093"/>
      <c r="G488" s="1093"/>
      <c r="H488" s="1094"/>
      <c r="I488" s="1095"/>
      <c r="J488" s="1096"/>
      <c r="K488" s="1096"/>
      <c r="L488" s="1096"/>
      <c r="M488" s="1097"/>
      <c r="N488" s="528">
        <v>0</v>
      </c>
      <c r="O488" s="529">
        <v>0</v>
      </c>
      <c r="P488" s="529">
        <v>0</v>
      </c>
      <c r="Q488" s="1019" t="s">
        <v>701</v>
      </c>
      <c r="R488" s="528">
        <v>0</v>
      </c>
      <c r="S488" s="529">
        <v>0</v>
      </c>
      <c r="T488" s="1011" t="s">
        <v>701</v>
      </c>
      <c r="U488" s="530">
        <v>0</v>
      </c>
      <c r="V488" s="529">
        <v>0</v>
      </c>
      <c r="W488" s="1011" t="s">
        <v>701</v>
      </c>
      <c r="X488" s="1016" t="s">
        <v>701</v>
      </c>
      <c r="Y488" s="529">
        <v>0</v>
      </c>
      <c r="Z488" s="1011" t="s">
        <v>701</v>
      </c>
      <c r="AA488" s="1102"/>
      <c r="AB488" s="1103"/>
      <c r="AC488" s="1099"/>
      <c r="AD488" s="1100"/>
      <c r="AE488" s="1107"/>
      <c r="AF488" s="1107"/>
      <c r="AG488" s="1107"/>
      <c r="AH488" s="1108"/>
      <c r="AI488" s="1106"/>
      <c r="AJ488" s="1041" t="s">
        <v>596</v>
      </c>
      <c r="AK488" s="906">
        <v>0</v>
      </c>
      <c r="AL488" s="49">
        <f t="shared" si="1345"/>
        <v>1</v>
      </c>
      <c r="AM488" s="907">
        <f t="shared" si="1346"/>
        <v>1.0526158167136324</v>
      </c>
    </row>
    <row r="489" spans="4:39" ht="11.25" customHeight="1" x14ac:dyDescent="0.2">
      <c r="D489" s="1092"/>
      <c r="E489" s="1093"/>
      <c r="F489" s="1093"/>
      <c r="G489" s="1093"/>
      <c r="H489" s="1094"/>
      <c r="I489" s="1095"/>
      <c r="J489" s="1096"/>
      <c r="K489" s="1096"/>
      <c r="L489" s="1096"/>
      <c r="M489" s="1097"/>
      <c r="N489" s="528">
        <v>0</v>
      </c>
      <c r="O489" s="529">
        <v>0</v>
      </c>
      <c r="P489" s="529">
        <v>0</v>
      </c>
      <c r="Q489" s="1019" t="s">
        <v>701</v>
      </c>
      <c r="R489" s="528">
        <v>0</v>
      </c>
      <c r="S489" s="529">
        <v>0</v>
      </c>
      <c r="T489" s="1011" t="s">
        <v>701</v>
      </c>
      <c r="U489" s="530">
        <v>0</v>
      </c>
      <c r="V489" s="529">
        <v>0</v>
      </c>
      <c r="W489" s="1011" t="s">
        <v>701</v>
      </c>
      <c r="X489" s="1016" t="s">
        <v>701</v>
      </c>
      <c r="Y489" s="529">
        <v>0</v>
      </c>
      <c r="Z489" s="1011" t="s">
        <v>701</v>
      </c>
      <c r="AA489" s="1102"/>
      <c r="AB489" s="1103"/>
      <c r="AC489" s="1099"/>
      <c r="AD489" s="1100"/>
      <c r="AE489" s="1107"/>
      <c r="AF489" s="1107"/>
      <c r="AG489" s="1107"/>
      <c r="AH489" s="1108"/>
      <c r="AI489" s="1106"/>
      <c r="AJ489" s="1041" t="s">
        <v>596</v>
      </c>
      <c r="AK489" s="906">
        <v>0</v>
      </c>
      <c r="AL489" s="49">
        <f t="shared" si="1345"/>
        <v>1</v>
      </c>
      <c r="AM489" s="907">
        <f t="shared" si="1346"/>
        <v>1.0526158167136324</v>
      </c>
    </row>
    <row r="490" spans="4:39" ht="11.25" customHeight="1" x14ac:dyDescent="0.2">
      <c r="D490" s="1092"/>
      <c r="E490" s="1093"/>
      <c r="F490" s="1093"/>
      <c r="G490" s="1093"/>
      <c r="H490" s="1094"/>
      <c r="I490" s="1095"/>
      <c r="J490" s="1096"/>
      <c r="K490" s="1096"/>
      <c r="L490" s="1096"/>
      <c r="M490" s="1097"/>
      <c r="N490" s="528">
        <v>0</v>
      </c>
      <c r="O490" s="529">
        <v>0</v>
      </c>
      <c r="P490" s="529">
        <v>0</v>
      </c>
      <c r="Q490" s="1019" t="s">
        <v>701</v>
      </c>
      <c r="R490" s="528">
        <v>0</v>
      </c>
      <c r="S490" s="529">
        <v>0</v>
      </c>
      <c r="T490" s="1011" t="s">
        <v>701</v>
      </c>
      <c r="U490" s="530">
        <v>0</v>
      </c>
      <c r="V490" s="529">
        <v>0</v>
      </c>
      <c r="W490" s="1011" t="s">
        <v>701</v>
      </c>
      <c r="X490" s="1016" t="s">
        <v>701</v>
      </c>
      <c r="Y490" s="529">
        <v>0</v>
      </c>
      <c r="Z490" s="1011" t="s">
        <v>701</v>
      </c>
      <c r="AA490" s="1102"/>
      <c r="AB490" s="1103"/>
      <c r="AC490" s="1099"/>
      <c r="AD490" s="1100"/>
      <c r="AE490" s="1107"/>
      <c r="AF490" s="1107"/>
      <c r="AG490" s="1107"/>
      <c r="AH490" s="1108"/>
      <c r="AI490" s="1106"/>
      <c r="AJ490" s="1041" t="s">
        <v>596</v>
      </c>
      <c r="AK490" s="906">
        <v>0</v>
      </c>
      <c r="AL490" s="49">
        <f t="shared" si="1345"/>
        <v>1</v>
      </c>
      <c r="AM490" s="907">
        <f t="shared" si="1346"/>
        <v>1.0526158167136324</v>
      </c>
    </row>
    <row r="491" spans="4:39" ht="11.25" customHeight="1" thickBot="1" x14ac:dyDescent="0.25">
      <c r="D491" s="532" t="s">
        <v>418</v>
      </c>
      <c r="E491" s="533"/>
      <c r="F491" s="534"/>
      <c r="G491" s="535"/>
      <c r="H491" s="535"/>
      <c r="I491" s="534"/>
      <c r="J491" s="535"/>
      <c r="K491" s="535"/>
      <c r="L491" s="535"/>
      <c r="M491" s="536"/>
      <c r="N491" s="537">
        <f>SUM(N485:N490)</f>
        <v>0</v>
      </c>
      <c r="O491" s="537">
        <f t="shared" ref="O491" si="1350">SUM(O485:O490)</f>
        <v>0</v>
      </c>
      <c r="P491" s="536"/>
      <c r="Q491" s="1020" t="s">
        <v>701</v>
      </c>
      <c r="R491" s="538"/>
      <c r="S491" s="539">
        <f t="shared" ref="S491" si="1351">SUM(S485:S490)</f>
        <v>0</v>
      </c>
      <c r="T491" s="1012" t="s">
        <v>701</v>
      </c>
      <c r="U491" s="538"/>
      <c r="V491" s="539">
        <f t="shared" ref="V491:Y491" si="1352">SUM(V485:V490)</f>
        <v>0</v>
      </c>
      <c r="W491" s="1012" t="s">
        <v>701</v>
      </c>
      <c r="X491" s="1012" t="s">
        <v>701</v>
      </c>
      <c r="Y491" s="539">
        <f t="shared" si="1352"/>
        <v>11400.861863354035</v>
      </c>
      <c r="Z491" s="1012" t="s">
        <v>701</v>
      </c>
      <c r="AA491" s="1012" t="s">
        <v>701</v>
      </c>
      <c r="AB491" s="1007" t="s">
        <v>701</v>
      </c>
      <c r="AC491" s="1013" t="s">
        <v>701</v>
      </c>
      <c r="AD491" s="540"/>
      <c r="AE491" s="1008" t="s">
        <v>701</v>
      </c>
      <c r="AF491" s="1008" t="s">
        <v>701</v>
      </c>
      <c r="AG491" s="1008" t="s">
        <v>701</v>
      </c>
      <c r="AH491" s="1008" t="s">
        <v>701</v>
      </c>
      <c r="AI491" s="1008" t="s">
        <v>701</v>
      </c>
      <c r="AJ491" s="1042" t="s">
        <v>596</v>
      </c>
      <c r="AK491" s="906">
        <v>0</v>
      </c>
      <c r="AL491" s="49">
        <f t="shared" si="1345"/>
        <v>1</v>
      </c>
      <c r="AM491" s="907">
        <f t="shared" si="1346"/>
        <v>1.0526158167136324</v>
      </c>
    </row>
    <row r="492" spans="4:39" ht="11.25" customHeight="1" x14ac:dyDescent="0.25">
      <c r="D492" s="1092" t="s">
        <v>728</v>
      </c>
      <c r="E492" s="1093" t="s">
        <v>718</v>
      </c>
      <c r="F492" s="1093">
        <v>1522</v>
      </c>
      <c r="G492" s="1093" t="s">
        <v>737</v>
      </c>
      <c r="H492" s="1094" t="s">
        <v>726</v>
      </c>
      <c r="I492" s="1095" t="s">
        <v>721</v>
      </c>
      <c r="J492" s="1096">
        <v>1875</v>
      </c>
      <c r="K492" s="1096">
        <v>1875</v>
      </c>
      <c r="L492" s="1096">
        <v>1500</v>
      </c>
      <c r="M492" s="1097">
        <v>1500</v>
      </c>
      <c r="N492" s="522">
        <v>0</v>
      </c>
      <c r="O492" s="523">
        <v>0</v>
      </c>
      <c r="P492" s="524" t="s">
        <v>34</v>
      </c>
      <c r="Q492" s="1018" t="s">
        <v>701</v>
      </c>
      <c r="R492" s="525" t="s">
        <v>34</v>
      </c>
      <c r="S492" s="524">
        <v>0</v>
      </c>
      <c r="T492" s="1017" t="s">
        <v>701</v>
      </c>
      <c r="U492" s="526" t="s">
        <v>34</v>
      </c>
      <c r="V492" s="524">
        <v>0</v>
      </c>
      <c r="W492" s="1010" t="s">
        <v>701</v>
      </c>
      <c r="X492" s="1015" t="s">
        <v>701</v>
      </c>
      <c r="Y492" s="527">
        <v>4379.7018633540374</v>
      </c>
      <c r="Z492" s="1010" t="s">
        <v>701</v>
      </c>
      <c r="AA492" s="1102" t="s">
        <v>701</v>
      </c>
      <c r="AB492" s="1103" t="s">
        <v>701</v>
      </c>
      <c r="AC492" s="1099"/>
      <c r="AD492" s="1100">
        <v>0</v>
      </c>
      <c r="AE492" s="1107" t="s">
        <v>701</v>
      </c>
      <c r="AF492" s="1107" t="s">
        <v>701</v>
      </c>
      <c r="AG492" s="1107" t="s">
        <v>701</v>
      </c>
      <c r="AH492" s="1108" t="s">
        <v>701</v>
      </c>
      <c r="AI492" s="1106" t="s">
        <v>701</v>
      </c>
      <c r="AJ492" s="1040" t="s">
        <v>596</v>
      </c>
      <c r="AK492" s="906">
        <v>0</v>
      </c>
      <c r="AL492" s="49">
        <f t="shared" si="1345"/>
        <v>1</v>
      </c>
      <c r="AM492" s="907">
        <f t="shared" si="1346"/>
        <v>1.0526158167136324</v>
      </c>
    </row>
    <row r="493" spans="4:39" ht="11.25" customHeight="1" x14ac:dyDescent="0.2">
      <c r="D493" s="1092"/>
      <c r="E493" s="1093"/>
      <c r="F493" s="1093"/>
      <c r="G493" s="1093"/>
      <c r="H493" s="1094"/>
      <c r="I493" s="1095"/>
      <c r="J493" s="1096"/>
      <c r="K493" s="1096"/>
      <c r="L493" s="1096"/>
      <c r="M493" s="1097"/>
      <c r="N493" s="528">
        <v>0</v>
      </c>
      <c r="O493" s="529">
        <v>0</v>
      </c>
      <c r="P493" s="529">
        <v>0</v>
      </c>
      <c r="Q493" s="1019" t="s">
        <v>701</v>
      </c>
      <c r="R493" s="528">
        <v>0</v>
      </c>
      <c r="S493" s="529">
        <v>0</v>
      </c>
      <c r="T493" s="1011" t="s">
        <v>701</v>
      </c>
      <c r="U493" s="530">
        <v>0</v>
      </c>
      <c r="V493" s="529">
        <v>0</v>
      </c>
      <c r="W493" s="1011" t="s">
        <v>701</v>
      </c>
      <c r="X493" s="1016" t="s">
        <v>701</v>
      </c>
      <c r="Y493" s="531">
        <v>0</v>
      </c>
      <c r="Z493" s="1011" t="s">
        <v>701</v>
      </c>
      <c r="AA493" s="1102"/>
      <c r="AB493" s="1103"/>
      <c r="AC493" s="1099"/>
      <c r="AD493" s="1100"/>
      <c r="AE493" s="1107"/>
      <c r="AF493" s="1107"/>
      <c r="AG493" s="1107"/>
      <c r="AH493" s="1108"/>
      <c r="AI493" s="1106"/>
      <c r="AJ493" s="1041" t="s">
        <v>596</v>
      </c>
      <c r="AK493" s="906">
        <v>0</v>
      </c>
      <c r="AL493" s="49">
        <f t="shared" si="1345"/>
        <v>1</v>
      </c>
      <c r="AM493" s="907">
        <f t="shared" si="1346"/>
        <v>1.0526158167136324</v>
      </c>
    </row>
    <row r="494" spans="4:39" ht="11.25" customHeight="1" x14ac:dyDescent="0.2">
      <c r="D494" s="1092"/>
      <c r="E494" s="1093"/>
      <c r="F494" s="1093"/>
      <c r="G494" s="1093"/>
      <c r="H494" s="1094"/>
      <c r="I494" s="1095"/>
      <c r="J494" s="1096"/>
      <c r="K494" s="1096"/>
      <c r="L494" s="1096"/>
      <c r="M494" s="1097"/>
      <c r="N494" s="528">
        <v>0</v>
      </c>
      <c r="O494" s="529">
        <v>0</v>
      </c>
      <c r="P494" s="529">
        <v>0</v>
      </c>
      <c r="Q494" s="1019" t="s">
        <v>701</v>
      </c>
      <c r="R494" s="528">
        <v>0</v>
      </c>
      <c r="S494" s="529">
        <v>0</v>
      </c>
      <c r="T494" s="1011" t="s">
        <v>701</v>
      </c>
      <c r="U494" s="530">
        <v>0</v>
      </c>
      <c r="V494" s="529">
        <v>0</v>
      </c>
      <c r="W494" s="1011" t="s">
        <v>701</v>
      </c>
      <c r="X494" s="1016" t="s">
        <v>701</v>
      </c>
      <c r="Y494" s="529">
        <v>0</v>
      </c>
      <c r="Z494" s="1011" t="s">
        <v>701</v>
      </c>
      <c r="AA494" s="1102"/>
      <c r="AB494" s="1103"/>
      <c r="AC494" s="1099"/>
      <c r="AD494" s="1100"/>
      <c r="AE494" s="1107"/>
      <c r="AF494" s="1107"/>
      <c r="AG494" s="1107"/>
      <c r="AH494" s="1108"/>
      <c r="AI494" s="1106"/>
      <c r="AJ494" s="1041" t="s">
        <v>596</v>
      </c>
      <c r="AK494" s="906">
        <v>0</v>
      </c>
      <c r="AL494" s="49">
        <f t="shared" si="1345"/>
        <v>1</v>
      </c>
      <c r="AM494" s="907">
        <f t="shared" si="1346"/>
        <v>1.0526158167136324</v>
      </c>
    </row>
    <row r="495" spans="4:39" ht="11.25" customHeight="1" x14ac:dyDescent="0.2">
      <c r="D495" s="1092"/>
      <c r="E495" s="1093"/>
      <c r="F495" s="1093"/>
      <c r="G495" s="1093"/>
      <c r="H495" s="1094"/>
      <c r="I495" s="1095"/>
      <c r="J495" s="1096"/>
      <c r="K495" s="1096"/>
      <c r="L495" s="1096"/>
      <c r="M495" s="1097"/>
      <c r="N495" s="528">
        <v>0</v>
      </c>
      <c r="O495" s="529">
        <v>0</v>
      </c>
      <c r="P495" s="529">
        <v>0</v>
      </c>
      <c r="Q495" s="1019" t="s">
        <v>701</v>
      </c>
      <c r="R495" s="528">
        <v>0</v>
      </c>
      <c r="S495" s="529">
        <v>0</v>
      </c>
      <c r="T495" s="1011" t="s">
        <v>701</v>
      </c>
      <c r="U495" s="530">
        <v>0</v>
      </c>
      <c r="V495" s="529">
        <v>0</v>
      </c>
      <c r="W495" s="1011" t="s">
        <v>701</v>
      </c>
      <c r="X495" s="1016" t="s">
        <v>701</v>
      </c>
      <c r="Y495" s="529">
        <v>0</v>
      </c>
      <c r="Z495" s="1011" t="s">
        <v>701</v>
      </c>
      <c r="AA495" s="1102"/>
      <c r="AB495" s="1103"/>
      <c r="AC495" s="1099"/>
      <c r="AD495" s="1100"/>
      <c r="AE495" s="1107"/>
      <c r="AF495" s="1107"/>
      <c r="AG495" s="1107"/>
      <c r="AH495" s="1108"/>
      <c r="AI495" s="1106"/>
      <c r="AJ495" s="1041" t="s">
        <v>596</v>
      </c>
      <c r="AK495" s="906">
        <v>0</v>
      </c>
      <c r="AL495" s="49">
        <f t="shared" si="1345"/>
        <v>1</v>
      </c>
      <c r="AM495" s="907">
        <f t="shared" si="1346"/>
        <v>1.0526158167136324</v>
      </c>
    </row>
    <row r="496" spans="4:39" ht="11.25" customHeight="1" x14ac:dyDescent="0.2">
      <c r="D496" s="1092"/>
      <c r="E496" s="1093"/>
      <c r="F496" s="1093"/>
      <c r="G496" s="1093"/>
      <c r="H496" s="1094"/>
      <c r="I496" s="1095"/>
      <c r="J496" s="1096"/>
      <c r="K496" s="1096"/>
      <c r="L496" s="1096"/>
      <c r="M496" s="1097"/>
      <c r="N496" s="528">
        <v>0</v>
      </c>
      <c r="O496" s="529">
        <v>0</v>
      </c>
      <c r="P496" s="529">
        <v>0</v>
      </c>
      <c r="Q496" s="1019" t="s">
        <v>701</v>
      </c>
      <c r="R496" s="528">
        <v>0</v>
      </c>
      <c r="S496" s="529">
        <v>0</v>
      </c>
      <c r="T496" s="1011" t="s">
        <v>701</v>
      </c>
      <c r="U496" s="530">
        <v>0</v>
      </c>
      <c r="V496" s="529">
        <v>0</v>
      </c>
      <c r="W496" s="1011" t="s">
        <v>701</v>
      </c>
      <c r="X496" s="1016" t="s">
        <v>701</v>
      </c>
      <c r="Y496" s="529">
        <v>0</v>
      </c>
      <c r="Z496" s="1011" t="s">
        <v>701</v>
      </c>
      <c r="AA496" s="1102"/>
      <c r="AB496" s="1103"/>
      <c r="AC496" s="1099"/>
      <c r="AD496" s="1100"/>
      <c r="AE496" s="1107"/>
      <c r="AF496" s="1107"/>
      <c r="AG496" s="1107"/>
      <c r="AH496" s="1108"/>
      <c r="AI496" s="1106"/>
      <c r="AJ496" s="1041" t="s">
        <v>596</v>
      </c>
      <c r="AK496" s="906">
        <v>0</v>
      </c>
      <c r="AL496" s="49">
        <f t="shared" si="1345"/>
        <v>1</v>
      </c>
      <c r="AM496" s="907">
        <f t="shared" si="1346"/>
        <v>1.0526158167136324</v>
      </c>
    </row>
    <row r="497" spans="4:39" ht="11.25" customHeight="1" x14ac:dyDescent="0.2">
      <c r="D497" s="1092"/>
      <c r="E497" s="1093"/>
      <c r="F497" s="1093"/>
      <c r="G497" s="1093"/>
      <c r="H497" s="1094"/>
      <c r="I497" s="1095"/>
      <c r="J497" s="1096"/>
      <c r="K497" s="1096"/>
      <c r="L497" s="1096"/>
      <c r="M497" s="1097"/>
      <c r="N497" s="528">
        <v>0</v>
      </c>
      <c r="O497" s="529">
        <v>0</v>
      </c>
      <c r="P497" s="529">
        <v>0</v>
      </c>
      <c r="Q497" s="1019" t="s">
        <v>701</v>
      </c>
      <c r="R497" s="528">
        <v>0</v>
      </c>
      <c r="S497" s="529">
        <v>0</v>
      </c>
      <c r="T497" s="1011" t="s">
        <v>701</v>
      </c>
      <c r="U497" s="530">
        <v>0</v>
      </c>
      <c r="V497" s="529">
        <v>0</v>
      </c>
      <c r="W497" s="1011" t="s">
        <v>701</v>
      </c>
      <c r="X497" s="1016" t="s">
        <v>701</v>
      </c>
      <c r="Y497" s="529">
        <v>0</v>
      </c>
      <c r="Z497" s="1011" t="s">
        <v>701</v>
      </c>
      <c r="AA497" s="1102"/>
      <c r="AB497" s="1103"/>
      <c r="AC497" s="1099"/>
      <c r="AD497" s="1100"/>
      <c r="AE497" s="1107"/>
      <c r="AF497" s="1107"/>
      <c r="AG497" s="1107"/>
      <c r="AH497" s="1108"/>
      <c r="AI497" s="1106"/>
      <c r="AJ497" s="1041" t="s">
        <v>596</v>
      </c>
      <c r="AK497" s="906">
        <v>0</v>
      </c>
      <c r="AL497" s="49">
        <f t="shared" si="1345"/>
        <v>1</v>
      </c>
      <c r="AM497" s="907">
        <f t="shared" si="1346"/>
        <v>1.0526158167136324</v>
      </c>
    </row>
    <row r="498" spans="4:39" ht="11.25" customHeight="1" thickBot="1" x14ac:dyDescent="0.25">
      <c r="D498" s="532" t="s">
        <v>418</v>
      </c>
      <c r="E498" s="533"/>
      <c r="F498" s="534"/>
      <c r="G498" s="535"/>
      <c r="H498" s="535"/>
      <c r="I498" s="534"/>
      <c r="J498" s="535"/>
      <c r="K498" s="535"/>
      <c r="L498" s="535"/>
      <c r="M498" s="536"/>
      <c r="N498" s="537">
        <f>SUM(N492:N497)</f>
        <v>0</v>
      </c>
      <c r="O498" s="537">
        <f t="shared" ref="O498" si="1353">SUM(O492:O497)</f>
        <v>0</v>
      </c>
      <c r="P498" s="536"/>
      <c r="Q498" s="1020" t="s">
        <v>701</v>
      </c>
      <c r="R498" s="538"/>
      <c r="S498" s="539">
        <f t="shared" ref="S498" si="1354">SUM(S492:S497)</f>
        <v>0</v>
      </c>
      <c r="T498" s="1012" t="s">
        <v>701</v>
      </c>
      <c r="U498" s="538"/>
      <c r="V498" s="539">
        <f t="shared" ref="V498:Y498" si="1355">SUM(V492:V497)</f>
        <v>0</v>
      </c>
      <c r="W498" s="1012" t="s">
        <v>701</v>
      </c>
      <c r="X498" s="1012" t="s">
        <v>701</v>
      </c>
      <c r="Y498" s="539">
        <f t="shared" si="1355"/>
        <v>4379.7018633540374</v>
      </c>
      <c r="Z498" s="1012" t="s">
        <v>701</v>
      </c>
      <c r="AA498" s="1012" t="s">
        <v>701</v>
      </c>
      <c r="AB498" s="1007" t="s">
        <v>701</v>
      </c>
      <c r="AC498" s="1013" t="s">
        <v>701</v>
      </c>
      <c r="AD498" s="540"/>
      <c r="AE498" s="1008" t="s">
        <v>701</v>
      </c>
      <c r="AF498" s="1008" t="s">
        <v>701</v>
      </c>
      <c r="AG498" s="1008" t="s">
        <v>701</v>
      </c>
      <c r="AH498" s="1008" t="s">
        <v>701</v>
      </c>
      <c r="AI498" s="1008" t="s">
        <v>701</v>
      </c>
      <c r="AJ498" s="1042" t="s">
        <v>596</v>
      </c>
      <c r="AK498" s="906">
        <v>0</v>
      </c>
      <c r="AL498" s="49">
        <f t="shared" si="1345"/>
        <v>1</v>
      </c>
      <c r="AM498" s="907">
        <f t="shared" si="1346"/>
        <v>1.0526158167136324</v>
      </c>
    </row>
    <row r="499" spans="4:39" ht="11.25" customHeight="1" x14ac:dyDescent="0.25">
      <c r="D499" s="1092" t="s">
        <v>752</v>
      </c>
      <c r="E499" s="1093" t="s">
        <v>718</v>
      </c>
      <c r="F499" s="1093">
        <v>1522</v>
      </c>
      <c r="G499" s="1093" t="s">
        <v>737</v>
      </c>
      <c r="H499" s="1094" t="s">
        <v>726</v>
      </c>
      <c r="I499" s="1095" t="s">
        <v>753</v>
      </c>
      <c r="J499" s="1096">
        <v>3000</v>
      </c>
      <c r="K499" s="1096">
        <v>3000</v>
      </c>
      <c r="L499" s="1096">
        <v>1500</v>
      </c>
      <c r="M499" s="1097">
        <v>1500</v>
      </c>
      <c r="N499" s="522">
        <v>0</v>
      </c>
      <c r="O499" s="523">
        <v>0</v>
      </c>
      <c r="P499" s="524" t="s">
        <v>34</v>
      </c>
      <c r="Q499" s="1018" t="s">
        <v>701</v>
      </c>
      <c r="R499" s="525" t="s">
        <v>34</v>
      </c>
      <c r="S499" s="524">
        <v>0</v>
      </c>
      <c r="T499" s="1017" t="s">
        <v>701</v>
      </c>
      <c r="U499" s="526" t="s">
        <v>34</v>
      </c>
      <c r="V499" s="524">
        <v>0</v>
      </c>
      <c r="W499" s="1010" t="s">
        <v>701</v>
      </c>
      <c r="X499" s="1015" t="s">
        <v>701</v>
      </c>
      <c r="Y499" s="527">
        <v>4379.7018633540374</v>
      </c>
      <c r="Z499" s="1010" t="s">
        <v>701</v>
      </c>
      <c r="AA499" s="1102" t="s">
        <v>701</v>
      </c>
      <c r="AB499" s="1103" t="s">
        <v>701</v>
      </c>
      <c r="AC499" s="1099"/>
      <c r="AD499" s="1100">
        <v>0</v>
      </c>
      <c r="AE499" s="1107" t="s">
        <v>701</v>
      </c>
      <c r="AF499" s="1107" t="s">
        <v>701</v>
      </c>
      <c r="AG499" s="1107" t="s">
        <v>701</v>
      </c>
      <c r="AH499" s="1108" t="s">
        <v>701</v>
      </c>
      <c r="AI499" s="1106" t="s">
        <v>701</v>
      </c>
      <c r="AJ499" s="1040" t="s">
        <v>596</v>
      </c>
      <c r="AK499" s="906">
        <v>0</v>
      </c>
      <c r="AL499" s="49">
        <f t="shared" si="1345"/>
        <v>1</v>
      </c>
      <c r="AM499" s="907">
        <f t="shared" si="1346"/>
        <v>1.0526158167136324</v>
      </c>
    </row>
    <row r="500" spans="4:39" ht="11.25" customHeight="1" x14ac:dyDescent="0.2">
      <c r="D500" s="1092"/>
      <c r="E500" s="1093"/>
      <c r="F500" s="1093"/>
      <c r="G500" s="1093"/>
      <c r="H500" s="1094"/>
      <c r="I500" s="1095"/>
      <c r="J500" s="1096"/>
      <c r="K500" s="1096"/>
      <c r="L500" s="1096"/>
      <c r="M500" s="1097"/>
      <c r="N500" s="528">
        <v>0</v>
      </c>
      <c r="O500" s="529">
        <v>0</v>
      </c>
      <c r="P500" s="529">
        <v>0</v>
      </c>
      <c r="Q500" s="1019" t="s">
        <v>701</v>
      </c>
      <c r="R500" s="528">
        <v>0</v>
      </c>
      <c r="S500" s="529">
        <v>0</v>
      </c>
      <c r="T500" s="1011" t="s">
        <v>701</v>
      </c>
      <c r="U500" s="530">
        <v>0</v>
      </c>
      <c r="V500" s="529">
        <v>0</v>
      </c>
      <c r="W500" s="1011" t="s">
        <v>701</v>
      </c>
      <c r="X500" s="1016" t="s">
        <v>701</v>
      </c>
      <c r="Y500" s="531">
        <v>0</v>
      </c>
      <c r="Z500" s="1011" t="s">
        <v>701</v>
      </c>
      <c r="AA500" s="1102"/>
      <c r="AB500" s="1103"/>
      <c r="AC500" s="1099"/>
      <c r="AD500" s="1100"/>
      <c r="AE500" s="1107"/>
      <c r="AF500" s="1107"/>
      <c r="AG500" s="1107"/>
      <c r="AH500" s="1108"/>
      <c r="AI500" s="1106"/>
      <c r="AJ500" s="1041" t="s">
        <v>596</v>
      </c>
      <c r="AK500" s="906">
        <v>0</v>
      </c>
      <c r="AL500" s="49">
        <f t="shared" si="1345"/>
        <v>1</v>
      </c>
      <c r="AM500" s="907">
        <f t="shared" si="1346"/>
        <v>1.0526158167136324</v>
      </c>
    </row>
    <row r="501" spans="4:39" ht="11.25" customHeight="1" x14ac:dyDescent="0.2">
      <c r="D501" s="1092"/>
      <c r="E501" s="1093"/>
      <c r="F501" s="1093"/>
      <c r="G501" s="1093"/>
      <c r="H501" s="1094"/>
      <c r="I501" s="1095"/>
      <c r="J501" s="1096"/>
      <c r="K501" s="1096"/>
      <c r="L501" s="1096"/>
      <c r="M501" s="1097"/>
      <c r="N501" s="528">
        <v>0</v>
      </c>
      <c r="O501" s="529">
        <v>0</v>
      </c>
      <c r="P501" s="529">
        <v>0</v>
      </c>
      <c r="Q501" s="1019" t="s">
        <v>701</v>
      </c>
      <c r="R501" s="528">
        <v>0</v>
      </c>
      <c r="S501" s="529">
        <v>0</v>
      </c>
      <c r="T501" s="1011" t="s">
        <v>701</v>
      </c>
      <c r="U501" s="530">
        <v>0</v>
      </c>
      <c r="V501" s="529">
        <v>0</v>
      </c>
      <c r="W501" s="1011" t="s">
        <v>701</v>
      </c>
      <c r="X501" s="1016" t="s">
        <v>701</v>
      </c>
      <c r="Y501" s="529">
        <v>0</v>
      </c>
      <c r="Z501" s="1011" t="s">
        <v>701</v>
      </c>
      <c r="AA501" s="1102"/>
      <c r="AB501" s="1103"/>
      <c r="AC501" s="1099"/>
      <c r="AD501" s="1100"/>
      <c r="AE501" s="1107"/>
      <c r="AF501" s="1107"/>
      <c r="AG501" s="1107"/>
      <c r="AH501" s="1108"/>
      <c r="AI501" s="1106"/>
      <c r="AJ501" s="1041" t="s">
        <v>596</v>
      </c>
      <c r="AK501" s="906">
        <v>0</v>
      </c>
      <c r="AL501" s="49">
        <f t="shared" si="1345"/>
        <v>1</v>
      </c>
      <c r="AM501" s="907">
        <f t="shared" si="1346"/>
        <v>1.0526158167136324</v>
      </c>
    </row>
    <row r="502" spans="4:39" ht="11.25" customHeight="1" x14ac:dyDescent="0.2">
      <c r="D502" s="1092"/>
      <c r="E502" s="1093"/>
      <c r="F502" s="1093"/>
      <c r="G502" s="1093"/>
      <c r="H502" s="1094"/>
      <c r="I502" s="1095"/>
      <c r="J502" s="1096"/>
      <c r="K502" s="1096"/>
      <c r="L502" s="1096"/>
      <c r="M502" s="1097"/>
      <c r="N502" s="528">
        <v>0</v>
      </c>
      <c r="O502" s="529">
        <v>0</v>
      </c>
      <c r="P502" s="529">
        <v>0</v>
      </c>
      <c r="Q502" s="1019" t="s">
        <v>701</v>
      </c>
      <c r="R502" s="528">
        <v>0</v>
      </c>
      <c r="S502" s="529">
        <v>0</v>
      </c>
      <c r="T502" s="1011" t="s">
        <v>701</v>
      </c>
      <c r="U502" s="530">
        <v>0</v>
      </c>
      <c r="V502" s="529">
        <v>0</v>
      </c>
      <c r="W502" s="1011" t="s">
        <v>701</v>
      </c>
      <c r="X502" s="1016" t="s">
        <v>701</v>
      </c>
      <c r="Y502" s="529">
        <v>0</v>
      </c>
      <c r="Z502" s="1011" t="s">
        <v>701</v>
      </c>
      <c r="AA502" s="1102"/>
      <c r="AB502" s="1103"/>
      <c r="AC502" s="1099"/>
      <c r="AD502" s="1100"/>
      <c r="AE502" s="1107"/>
      <c r="AF502" s="1107"/>
      <c r="AG502" s="1107"/>
      <c r="AH502" s="1108"/>
      <c r="AI502" s="1106"/>
      <c r="AJ502" s="1041" t="s">
        <v>596</v>
      </c>
      <c r="AK502" s="906">
        <v>0</v>
      </c>
      <c r="AL502" s="49">
        <f t="shared" si="1345"/>
        <v>1</v>
      </c>
      <c r="AM502" s="907">
        <f t="shared" si="1346"/>
        <v>1.0526158167136324</v>
      </c>
    </row>
    <row r="503" spans="4:39" ht="11.25" customHeight="1" x14ac:dyDescent="0.2">
      <c r="D503" s="1092"/>
      <c r="E503" s="1093"/>
      <c r="F503" s="1093"/>
      <c r="G503" s="1093"/>
      <c r="H503" s="1094"/>
      <c r="I503" s="1095"/>
      <c r="J503" s="1096"/>
      <c r="K503" s="1096"/>
      <c r="L503" s="1096"/>
      <c r="M503" s="1097"/>
      <c r="N503" s="528">
        <v>0</v>
      </c>
      <c r="O503" s="529">
        <v>0</v>
      </c>
      <c r="P503" s="529">
        <v>0</v>
      </c>
      <c r="Q503" s="1019" t="s">
        <v>701</v>
      </c>
      <c r="R503" s="528">
        <v>0</v>
      </c>
      <c r="S503" s="529">
        <v>0</v>
      </c>
      <c r="T503" s="1011" t="s">
        <v>701</v>
      </c>
      <c r="U503" s="530">
        <v>0</v>
      </c>
      <c r="V503" s="529">
        <v>0</v>
      </c>
      <c r="W503" s="1011" t="s">
        <v>701</v>
      </c>
      <c r="X503" s="1016" t="s">
        <v>701</v>
      </c>
      <c r="Y503" s="529">
        <v>0</v>
      </c>
      <c r="Z503" s="1011" t="s">
        <v>701</v>
      </c>
      <c r="AA503" s="1102"/>
      <c r="AB503" s="1103"/>
      <c r="AC503" s="1099"/>
      <c r="AD503" s="1100"/>
      <c r="AE503" s="1107"/>
      <c r="AF503" s="1107"/>
      <c r="AG503" s="1107"/>
      <c r="AH503" s="1108"/>
      <c r="AI503" s="1106"/>
      <c r="AJ503" s="1041" t="s">
        <v>596</v>
      </c>
      <c r="AK503" s="906">
        <v>0</v>
      </c>
      <c r="AL503" s="49">
        <f t="shared" si="1345"/>
        <v>1</v>
      </c>
      <c r="AM503" s="907">
        <f t="shared" si="1346"/>
        <v>1.0526158167136324</v>
      </c>
    </row>
    <row r="504" spans="4:39" ht="11.25" customHeight="1" x14ac:dyDescent="0.2">
      <c r="D504" s="1092"/>
      <c r="E504" s="1093"/>
      <c r="F504" s="1093"/>
      <c r="G504" s="1093"/>
      <c r="H504" s="1094"/>
      <c r="I504" s="1095"/>
      <c r="J504" s="1096"/>
      <c r="K504" s="1096"/>
      <c r="L504" s="1096"/>
      <c r="M504" s="1097"/>
      <c r="N504" s="528">
        <v>0</v>
      </c>
      <c r="O504" s="529">
        <v>0</v>
      </c>
      <c r="P504" s="529">
        <v>0</v>
      </c>
      <c r="Q504" s="1019" t="s">
        <v>701</v>
      </c>
      <c r="R504" s="528">
        <v>0</v>
      </c>
      <c r="S504" s="529">
        <v>0</v>
      </c>
      <c r="T504" s="1011" t="s">
        <v>701</v>
      </c>
      <c r="U504" s="530">
        <v>0</v>
      </c>
      <c r="V504" s="529">
        <v>0</v>
      </c>
      <c r="W504" s="1011" t="s">
        <v>701</v>
      </c>
      <c r="X504" s="1016" t="s">
        <v>701</v>
      </c>
      <c r="Y504" s="529">
        <v>0</v>
      </c>
      <c r="Z504" s="1011" t="s">
        <v>701</v>
      </c>
      <c r="AA504" s="1102"/>
      <c r="AB504" s="1103"/>
      <c r="AC504" s="1099"/>
      <c r="AD504" s="1100"/>
      <c r="AE504" s="1107"/>
      <c r="AF504" s="1107"/>
      <c r="AG504" s="1107"/>
      <c r="AH504" s="1108"/>
      <c r="AI504" s="1106"/>
      <c r="AJ504" s="1041" t="s">
        <v>596</v>
      </c>
      <c r="AK504" s="906">
        <v>0</v>
      </c>
      <c r="AL504" s="49">
        <f t="shared" si="1345"/>
        <v>1</v>
      </c>
      <c r="AM504" s="907">
        <f t="shared" si="1346"/>
        <v>1.0526158167136324</v>
      </c>
    </row>
    <row r="505" spans="4:39" ht="11.25" customHeight="1" thickBot="1" x14ac:dyDescent="0.25">
      <c r="D505" s="532" t="s">
        <v>418</v>
      </c>
      <c r="E505" s="533"/>
      <c r="F505" s="534"/>
      <c r="G505" s="535"/>
      <c r="H505" s="535"/>
      <c r="I505" s="534"/>
      <c r="J505" s="535"/>
      <c r="K505" s="535"/>
      <c r="L505" s="535"/>
      <c r="M505" s="536"/>
      <c r="N505" s="537">
        <f>SUM(N499:N504)</f>
        <v>0</v>
      </c>
      <c r="O505" s="537">
        <f t="shared" ref="O505" si="1356">SUM(O499:O504)</f>
        <v>0</v>
      </c>
      <c r="P505" s="536"/>
      <c r="Q505" s="1020" t="s">
        <v>701</v>
      </c>
      <c r="R505" s="538"/>
      <c r="S505" s="539">
        <f t="shared" ref="S505" si="1357">SUM(S499:S504)</f>
        <v>0</v>
      </c>
      <c r="T505" s="1012" t="s">
        <v>701</v>
      </c>
      <c r="U505" s="538"/>
      <c r="V505" s="539">
        <f t="shared" ref="V505:Y505" si="1358">SUM(V499:V504)</f>
        <v>0</v>
      </c>
      <c r="W505" s="1012" t="s">
        <v>701</v>
      </c>
      <c r="X505" s="1012" t="s">
        <v>701</v>
      </c>
      <c r="Y505" s="539">
        <f t="shared" si="1358"/>
        <v>4379.7018633540374</v>
      </c>
      <c r="Z505" s="1012" t="s">
        <v>701</v>
      </c>
      <c r="AA505" s="1012" t="s">
        <v>701</v>
      </c>
      <c r="AB505" s="1007" t="s">
        <v>701</v>
      </c>
      <c r="AC505" s="1013" t="s">
        <v>701</v>
      </c>
      <c r="AD505" s="540"/>
      <c r="AE505" s="1008" t="s">
        <v>701</v>
      </c>
      <c r="AF505" s="1008" t="s">
        <v>701</v>
      </c>
      <c r="AG505" s="1008" t="s">
        <v>701</v>
      </c>
      <c r="AH505" s="1008" t="s">
        <v>701</v>
      </c>
      <c r="AI505" s="1008" t="s">
        <v>701</v>
      </c>
      <c r="AJ505" s="1042" t="s">
        <v>596</v>
      </c>
      <c r="AK505" s="906">
        <v>0</v>
      </c>
      <c r="AL505" s="49">
        <f t="shared" si="1345"/>
        <v>1</v>
      </c>
      <c r="AM505" s="907">
        <f t="shared" si="1346"/>
        <v>1.0526158167136324</v>
      </c>
    </row>
    <row r="506" spans="4:39" ht="11.25" customHeight="1" x14ac:dyDescent="0.25">
      <c r="D506" s="1092" t="s">
        <v>754</v>
      </c>
      <c r="E506" s="1093" t="s">
        <v>718</v>
      </c>
      <c r="F506" s="1093">
        <v>1522</v>
      </c>
      <c r="G506" s="1093" t="s">
        <v>737</v>
      </c>
      <c r="H506" s="1094" t="s">
        <v>726</v>
      </c>
      <c r="I506" s="1095" t="s">
        <v>721</v>
      </c>
      <c r="J506" s="1096">
        <v>750</v>
      </c>
      <c r="K506" s="1096">
        <v>750</v>
      </c>
      <c r="L506" s="1096">
        <v>375</v>
      </c>
      <c r="M506" s="1097">
        <v>375</v>
      </c>
      <c r="N506" s="522">
        <v>0</v>
      </c>
      <c r="O506" s="523">
        <v>0</v>
      </c>
      <c r="P506" s="524" t="s">
        <v>34</v>
      </c>
      <c r="Q506" s="1018" t="s">
        <v>701</v>
      </c>
      <c r="R506" s="525" t="s">
        <v>34</v>
      </c>
      <c r="S506" s="524">
        <v>0</v>
      </c>
      <c r="T506" s="1017" t="s">
        <v>701</v>
      </c>
      <c r="U506" s="526" t="s">
        <v>34</v>
      </c>
      <c r="V506" s="524">
        <v>0</v>
      </c>
      <c r="W506" s="1010" t="s">
        <v>701</v>
      </c>
      <c r="X506" s="1015" t="s">
        <v>701</v>
      </c>
      <c r="Y506" s="527">
        <v>4379.7018633540374</v>
      </c>
      <c r="Z506" s="1010" t="s">
        <v>701</v>
      </c>
      <c r="AA506" s="1102" t="s">
        <v>701</v>
      </c>
      <c r="AB506" s="1103" t="s">
        <v>701</v>
      </c>
      <c r="AC506" s="1099"/>
      <c r="AD506" s="1100">
        <v>0</v>
      </c>
      <c r="AE506" s="1107" t="s">
        <v>701</v>
      </c>
      <c r="AF506" s="1107" t="s">
        <v>701</v>
      </c>
      <c r="AG506" s="1107" t="s">
        <v>701</v>
      </c>
      <c r="AH506" s="1108" t="s">
        <v>701</v>
      </c>
      <c r="AI506" s="1106" t="s">
        <v>701</v>
      </c>
      <c r="AJ506" s="1040" t="s">
        <v>596</v>
      </c>
      <c r="AK506" s="906">
        <v>0</v>
      </c>
      <c r="AL506" s="49">
        <f t="shared" si="1345"/>
        <v>1</v>
      </c>
      <c r="AM506" s="907">
        <f t="shared" si="1346"/>
        <v>1.0526158167136324</v>
      </c>
    </row>
    <row r="507" spans="4:39" ht="11.25" customHeight="1" x14ac:dyDescent="0.2">
      <c r="D507" s="1092"/>
      <c r="E507" s="1093"/>
      <c r="F507" s="1093"/>
      <c r="G507" s="1093"/>
      <c r="H507" s="1094"/>
      <c r="I507" s="1095"/>
      <c r="J507" s="1096"/>
      <c r="K507" s="1096"/>
      <c r="L507" s="1096"/>
      <c r="M507" s="1097"/>
      <c r="N507" s="528">
        <v>0</v>
      </c>
      <c r="O507" s="529">
        <v>0</v>
      </c>
      <c r="P507" s="529">
        <v>0</v>
      </c>
      <c r="Q507" s="1019" t="s">
        <v>701</v>
      </c>
      <c r="R507" s="528">
        <v>0</v>
      </c>
      <c r="S507" s="529">
        <v>0</v>
      </c>
      <c r="T507" s="1011" t="s">
        <v>701</v>
      </c>
      <c r="U507" s="530">
        <v>0</v>
      </c>
      <c r="V507" s="529">
        <v>0</v>
      </c>
      <c r="W507" s="1011" t="s">
        <v>701</v>
      </c>
      <c r="X507" s="1016" t="s">
        <v>701</v>
      </c>
      <c r="Y507" s="531">
        <v>0</v>
      </c>
      <c r="Z507" s="1011" t="s">
        <v>701</v>
      </c>
      <c r="AA507" s="1102"/>
      <c r="AB507" s="1103"/>
      <c r="AC507" s="1099"/>
      <c r="AD507" s="1100"/>
      <c r="AE507" s="1107"/>
      <c r="AF507" s="1107"/>
      <c r="AG507" s="1107"/>
      <c r="AH507" s="1108"/>
      <c r="AI507" s="1106"/>
      <c r="AJ507" s="1041" t="s">
        <v>596</v>
      </c>
      <c r="AK507" s="906">
        <v>0</v>
      </c>
      <c r="AL507" s="49">
        <f t="shared" si="1345"/>
        <v>1</v>
      </c>
      <c r="AM507" s="907">
        <f t="shared" si="1346"/>
        <v>1.0526158167136324</v>
      </c>
    </row>
    <row r="508" spans="4:39" ht="11.25" customHeight="1" x14ac:dyDescent="0.2">
      <c r="D508" s="1092"/>
      <c r="E508" s="1093"/>
      <c r="F508" s="1093"/>
      <c r="G508" s="1093"/>
      <c r="H508" s="1094"/>
      <c r="I508" s="1095"/>
      <c r="J508" s="1096"/>
      <c r="K508" s="1096"/>
      <c r="L508" s="1096"/>
      <c r="M508" s="1097"/>
      <c r="N508" s="528">
        <v>0</v>
      </c>
      <c r="O508" s="529">
        <v>0</v>
      </c>
      <c r="P508" s="529">
        <v>0</v>
      </c>
      <c r="Q508" s="1019" t="s">
        <v>701</v>
      </c>
      <c r="R508" s="528">
        <v>0</v>
      </c>
      <c r="S508" s="529">
        <v>0</v>
      </c>
      <c r="T508" s="1011" t="s">
        <v>701</v>
      </c>
      <c r="U508" s="530">
        <v>0</v>
      </c>
      <c r="V508" s="529">
        <v>0</v>
      </c>
      <c r="W508" s="1011" t="s">
        <v>701</v>
      </c>
      <c r="X508" s="1016" t="s">
        <v>701</v>
      </c>
      <c r="Y508" s="529">
        <v>0</v>
      </c>
      <c r="Z508" s="1011" t="s">
        <v>701</v>
      </c>
      <c r="AA508" s="1102"/>
      <c r="AB508" s="1103"/>
      <c r="AC508" s="1099"/>
      <c r="AD508" s="1100"/>
      <c r="AE508" s="1107"/>
      <c r="AF508" s="1107"/>
      <c r="AG508" s="1107"/>
      <c r="AH508" s="1108"/>
      <c r="AI508" s="1106"/>
      <c r="AJ508" s="1041" t="s">
        <v>596</v>
      </c>
      <c r="AK508" s="906">
        <v>0</v>
      </c>
      <c r="AL508" s="49">
        <f t="shared" si="1345"/>
        <v>1</v>
      </c>
      <c r="AM508" s="907">
        <f t="shared" si="1346"/>
        <v>1.0526158167136324</v>
      </c>
    </row>
    <row r="509" spans="4:39" ht="11.25" customHeight="1" x14ac:dyDescent="0.2">
      <c r="D509" s="1092"/>
      <c r="E509" s="1093"/>
      <c r="F509" s="1093"/>
      <c r="G509" s="1093"/>
      <c r="H509" s="1094"/>
      <c r="I509" s="1095"/>
      <c r="J509" s="1096"/>
      <c r="K509" s="1096"/>
      <c r="L509" s="1096"/>
      <c r="M509" s="1097"/>
      <c r="N509" s="528">
        <v>0</v>
      </c>
      <c r="O509" s="529">
        <v>0</v>
      </c>
      <c r="P509" s="529">
        <v>0</v>
      </c>
      <c r="Q509" s="1019" t="s">
        <v>701</v>
      </c>
      <c r="R509" s="528">
        <v>0</v>
      </c>
      <c r="S509" s="529">
        <v>0</v>
      </c>
      <c r="T509" s="1011" t="s">
        <v>701</v>
      </c>
      <c r="U509" s="530">
        <v>0</v>
      </c>
      <c r="V509" s="529">
        <v>0</v>
      </c>
      <c r="W509" s="1011" t="s">
        <v>701</v>
      </c>
      <c r="X509" s="1016" t="s">
        <v>701</v>
      </c>
      <c r="Y509" s="529">
        <v>0</v>
      </c>
      <c r="Z509" s="1011" t="s">
        <v>701</v>
      </c>
      <c r="AA509" s="1102"/>
      <c r="AB509" s="1103"/>
      <c r="AC509" s="1099"/>
      <c r="AD509" s="1100"/>
      <c r="AE509" s="1107"/>
      <c r="AF509" s="1107"/>
      <c r="AG509" s="1107"/>
      <c r="AH509" s="1108"/>
      <c r="AI509" s="1106"/>
      <c r="AJ509" s="1041" t="s">
        <v>596</v>
      </c>
      <c r="AK509" s="906">
        <v>0</v>
      </c>
      <c r="AL509" s="49">
        <f t="shared" si="1345"/>
        <v>1</v>
      </c>
      <c r="AM509" s="907">
        <f t="shared" si="1346"/>
        <v>1.0526158167136324</v>
      </c>
    </row>
    <row r="510" spans="4:39" ht="11.25" customHeight="1" x14ac:dyDescent="0.2">
      <c r="D510" s="1092"/>
      <c r="E510" s="1093"/>
      <c r="F510" s="1093"/>
      <c r="G510" s="1093"/>
      <c r="H510" s="1094"/>
      <c r="I510" s="1095"/>
      <c r="J510" s="1096"/>
      <c r="K510" s="1096"/>
      <c r="L510" s="1096"/>
      <c r="M510" s="1097"/>
      <c r="N510" s="528">
        <v>0</v>
      </c>
      <c r="O510" s="529">
        <v>0</v>
      </c>
      <c r="P510" s="529">
        <v>0</v>
      </c>
      <c r="Q510" s="1019" t="s">
        <v>701</v>
      </c>
      <c r="R510" s="528">
        <v>0</v>
      </c>
      <c r="S510" s="529">
        <v>0</v>
      </c>
      <c r="T510" s="1011" t="s">
        <v>701</v>
      </c>
      <c r="U510" s="530">
        <v>0</v>
      </c>
      <c r="V510" s="529">
        <v>0</v>
      </c>
      <c r="W510" s="1011" t="s">
        <v>701</v>
      </c>
      <c r="X510" s="1016" t="s">
        <v>701</v>
      </c>
      <c r="Y510" s="529">
        <v>0</v>
      </c>
      <c r="Z510" s="1011" t="s">
        <v>701</v>
      </c>
      <c r="AA510" s="1102"/>
      <c r="AB510" s="1103"/>
      <c r="AC510" s="1099"/>
      <c r="AD510" s="1100"/>
      <c r="AE510" s="1107"/>
      <c r="AF510" s="1107"/>
      <c r="AG510" s="1107"/>
      <c r="AH510" s="1108"/>
      <c r="AI510" s="1106"/>
      <c r="AJ510" s="1041" t="s">
        <v>596</v>
      </c>
      <c r="AK510" s="906">
        <v>0</v>
      </c>
      <c r="AL510" s="49">
        <f t="shared" si="1345"/>
        <v>1</v>
      </c>
      <c r="AM510" s="907">
        <f t="shared" si="1346"/>
        <v>1.0526158167136324</v>
      </c>
    </row>
    <row r="511" spans="4:39" ht="11.25" customHeight="1" x14ac:dyDescent="0.2">
      <c r="D511" s="1092"/>
      <c r="E511" s="1093"/>
      <c r="F511" s="1093"/>
      <c r="G511" s="1093"/>
      <c r="H511" s="1094"/>
      <c r="I511" s="1095"/>
      <c r="J511" s="1096"/>
      <c r="K511" s="1096"/>
      <c r="L511" s="1096"/>
      <c r="M511" s="1097"/>
      <c r="N511" s="528">
        <v>0</v>
      </c>
      <c r="O511" s="529">
        <v>0</v>
      </c>
      <c r="P511" s="529">
        <v>0</v>
      </c>
      <c r="Q511" s="1019" t="s">
        <v>701</v>
      </c>
      <c r="R511" s="528">
        <v>0</v>
      </c>
      <c r="S511" s="529">
        <v>0</v>
      </c>
      <c r="T511" s="1011" t="s">
        <v>701</v>
      </c>
      <c r="U511" s="530">
        <v>0</v>
      </c>
      <c r="V511" s="529">
        <v>0</v>
      </c>
      <c r="W511" s="1011" t="s">
        <v>701</v>
      </c>
      <c r="X511" s="1016" t="s">
        <v>701</v>
      </c>
      <c r="Y511" s="529">
        <v>0</v>
      </c>
      <c r="Z511" s="1011" t="s">
        <v>701</v>
      </c>
      <c r="AA511" s="1102"/>
      <c r="AB511" s="1103"/>
      <c r="AC511" s="1099"/>
      <c r="AD511" s="1100"/>
      <c r="AE511" s="1107"/>
      <c r="AF511" s="1107"/>
      <c r="AG511" s="1107"/>
      <c r="AH511" s="1108"/>
      <c r="AI511" s="1106"/>
      <c r="AJ511" s="1041" t="s">
        <v>596</v>
      </c>
      <c r="AK511" s="906">
        <v>0</v>
      </c>
      <c r="AL511" s="49">
        <f t="shared" si="1345"/>
        <v>1</v>
      </c>
      <c r="AM511" s="907">
        <f t="shared" si="1346"/>
        <v>1.0526158167136324</v>
      </c>
    </row>
    <row r="512" spans="4:39" ht="11.25" customHeight="1" thickBot="1" x14ac:dyDescent="0.25">
      <c r="D512" s="532" t="s">
        <v>418</v>
      </c>
      <c r="E512" s="533"/>
      <c r="F512" s="534"/>
      <c r="G512" s="535"/>
      <c r="H512" s="535"/>
      <c r="I512" s="534"/>
      <c r="J512" s="535"/>
      <c r="K512" s="535"/>
      <c r="L512" s="535"/>
      <c r="M512" s="536"/>
      <c r="N512" s="537">
        <f>SUM(N506:N511)</f>
        <v>0</v>
      </c>
      <c r="O512" s="537">
        <f t="shared" ref="O512" si="1359">SUM(O506:O511)</f>
        <v>0</v>
      </c>
      <c r="P512" s="536"/>
      <c r="Q512" s="1020" t="s">
        <v>701</v>
      </c>
      <c r="R512" s="538"/>
      <c r="S512" s="539">
        <f t="shared" ref="S512" si="1360">SUM(S506:S511)</f>
        <v>0</v>
      </c>
      <c r="T512" s="1012" t="s">
        <v>701</v>
      </c>
      <c r="U512" s="538"/>
      <c r="V512" s="539">
        <f t="shared" ref="V512:Y512" si="1361">SUM(V506:V511)</f>
        <v>0</v>
      </c>
      <c r="W512" s="1012" t="s">
        <v>701</v>
      </c>
      <c r="X512" s="1012" t="s">
        <v>701</v>
      </c>
      <c r="Y512" s="539">
        <f t="shared" si="1361"/>
        <v>4379.7018633540374</v>
      </c>
      <c r="Z512" s="1012" t="s">
        <v>701</v>
      </c>
      <c r="AA512" s="1012" t="s">
        <v>701</v>
      </c>
      <c r="AB512" s="1007" t="s">
        <v>701</v>
      </c>
      <c r="AC512" s="1013" t="s">
        <v>701</v>
      </c>
      <c r="AD512" s="540"/>
      <c r="AE512" s="1008" t="s">
        <v>701</v>
      </c>
      <c r="AF512" s="1008" t="s">
        <v>701</v>
      </c>
      <c r="AG512" s="1008" t="s">
        <v>701</v>
      </c>
      <c r="AH512" s="1008" t="s">
        <v>701</v>
      </c>
      <c r="AI512" s="1008" t="s">
        <v>701</v>
      </c>
      <c r="AJ512" s="1042" t="s">
        <v>596</v>
      </c>
      <c r="AK512" s="906">
        <v>0</v>
      </c>
      <c r="AL512" s="49">
        <f t="shared" si="1345"/>
        <v>1</v>
      </c>
      <c r="AM512" s="907">
        <f t="shared" si="1346"/>
        <v>1.0526158167136324</v>
      </c>
    </row>
    <row r="513" spans="4:39" ht="11.25" customHeight="1" x14ac:dyDescent="0.25">
      <c r="D513" s="1092" t="s">
        <v>738</v>
      </c>
      <c r="E513" s="1093" t="s">
        <v>755</v>
      </c>
      <c r="F513" s="1093" t="s">
        <v>756</v>
      </c>
      <c r="G513" s="1093" t="s">
        <v>723</v>
      </c>
      <c r="H513" s="1094" t="s">
        <v>720</v>
      </c>
      <c r="I513" s="1095" t="s">
        <v>721</v>
      </c>
      <c r="J513" s="1096">
        <v>750</v>
      </c>
      <c r="K513" s="1096">
        <v>750</v>
      </c>
      <c r="L513" s="1096">
        <v>375</v>
      </c>
      <c r="M513" s="1097">
        <v>375</v>
      </c>
      <c r="N513" s="522">
        <v>0</v>
      </c>
      <c r="O513" s="523">
        <v>0</v>
      </c>
      <c r="P513" s="524">
        <v>0</v>
      </c>
      <c r="Q513" s="1018" t="s">
        <v>701</v>
      </c>
      <c r="R513" s="525">
        <v>0</v>
      </c>
      <c r="S513" s="524">
        <v>9</v>
      </c>
      <c r="T513" s="1017" t="s">
        <v>701</v>
      </c>
      <c r="U513" s="526">
        <v>0</v>
      </c>
      <c r="V513" s="524">
        <v>0</v>
      </c>
      <c r="W513" s="1010" t="s">
        <v>701</v>
      </c>
      <c r="X513" s="1015" t="s">
        <v>701</v>
      </c>
      <c r="Y513" s="527">
        <v>26129.214295891368</v>
      </c>
      <c r="Z513" s="1010" t="s">
        <v>701</v>
      </c>
      <c r="AA513" s="1102" t="s">
        <v>701</v>
      </c>
      <c r="AB513" s="1103" t="s">
        <v>701</v>
      </c>
      <c r="AC513" s="1099"/>
      <c r="AD513" s="1100">
        <v>0</v>
      </c>
      <c r="AE513" s="1107" t="s">
        <v>701</v>
      </c>
      <c r="AF513" s="1107" t="s">
        <v>701</v>
      </c>
      <c r="AG513" s="1107" t="s">
        <v>701</v>
      </c>
      <c r="AH513" s="1108" t="s">
        <v>701</v>
      </c>
      <c r="AI513" s="1106" t="s">
        <v>701</v>
      </c>
      <c r="AJ513" s="1040" t="s">
        <v>596</v>
      </c>
      <c r="AK513" s="906">
        <v>1</v>
      </c>
      <c r="AL513" s="49">
        <f t="shared" si="1345"/>
        <v>0</v>
      </c>
      <c r="AM513" s="907">
        <f t="shared" si="1346"/>
        <v>1.0506187499999999</v>
      </c>
    </row>
    <row r="514" spans="4:39" ht="11.25" customHeight="1" x14ac:dyDescent="0.2">
      <c r="D514" s="1092"/>
      <c r="E514" s="1093"/>
      <c r="F514" s="1093"/>
      <c r="G514" s="1093"/>
      <c r="H514" s="1094"/>
      <c r="I514" s="1095"/>
      <c r="J514" s="1096"/>
      <c r="K514" s="1096"/>
      <c r="L514" s="1096"/>
      <c r="M514" s="1097"/>
      <c r="N514" s="528">
        <v>0</v>
      </c>
      <c r="O514" s="529">
        <v>0</v>
      </c>
      <c r="P514" s="529">
        <v>0</v>
      </c>
      <c r="Q514" s="1019" t="s">
        <v>701</v>
      </c>
      <c r="R514" s="528">
        <v>0</v>
      </c>
      <c r="S514" s="529">
        <v>0</v>
      </c>
      <c r="T514" s="1011" t="s">
        <v>701</v>
      </c>
      <c r="U514" s="530">
        <v>0</v>
      </c>
      <c r="V514" s="529">
        <v>0</v>
      </c>
      <c r="W514" s="1011" t="s">
        <v>701</v>
      </c>
      <c r="X514" s="1016" t="s">
        <v>701</v>
      </c>
      <c r="Y514" s="531">
        <v>0</v>
      </c>
      <c r="Z514" s="1011" t="s">
        <v>701</v>
      </c>
      <c r="AA514" s="1102"/>
      <c r="AB514" s="1103"/>
      <c r="AC514" s="1099"/>
      <c r="AD514" s="1100"/>
      <c r="AE514" s="1107"/>
      <c r="AF514" s="1107"/>
      <c r="AG514" s="1107"/>
      <c r="AH514" s="1108"/>
      <c r="AI514" s="1106"/>
      <c r="AJ514" s="1041" t="s">
        <v>596</v>
      </c>
      <c r="AK514" s="906">
        <v>1</v>
      </c>
      <c r="AL514" s="49">
        <f t="shared" si="1345"/>
        <v>0</v>
      </c>
      <c r="AM514" s="907">
        <f t="shared" si="1346"/>
        <v>1.0506187499999999</v>
      </c>
    </row>
    <row r="515" spans="4:39" ht="11.25" customHeight="1" x14ac:dyDescent="0.2">
      <c r="D515" s="1092"/>
      <c r="E515" s="1093"/>
      <c r="F515" s="1093"/>
      <c r="G515" s="1093"/>
      <c r="H515" s="1094"/>
      <c r="I515" s="1095"/>
      <c r="J515" s="1096"/>
      <c r="K515" s="1096"/>
      <c r="L515" s="1096"/>
      <c r="M515" s="1097"/>
      <c r="N515" s="528">
        <v>0</v>
      </c>
      <c r="O515" s="529">
        <v>0</v>
      </c>
      <c r="P515" s="529">
        <v>0</v>
      </c>
      <c r="Q515" s="1019" t="s">
        <v>701</v>
      </c>
      <c r="R515" s="528">
        <v>0</v>
      </c>
      <c r="S515" s="529">
        <v>0</v>
      </c>
      <c r="T515" s="1011" t="s">
        <v>701</v>
      </c>
      <c r="U515" s="530">
        <v>0</v>
      </c>
      <c r="V515" s="529">
        <v>0</v>
      </c>
      <c r="W515" s="1011" t="s">
        <v>701</v>
      </c>
      <c r="X515" s="1016" t="s">
        <v>701</v>
      </c>
      <c r="Y515" s="529">
        <v>0</v>
      </c>
      <c r="Z515" s="1011" t="s">
        <v>701</v>
      </c>
      <c r="AA515" s="1102"/>
      <c r="AB515" s="1103"/>
      <c r="AC515" s="1099"/>
      <c r="AD515" s="1100"/>
      <c r="AE515" s="1107"/>
      <c r="AF515" s="1107"/>
      <c r="AG515" s="1107"/>
      <c r="AH515" s="1108"/>
      <c r="AI515" s="1106"/>
      <c r="AJ515" s="1041" t="s">
        <v>596</v>
      </c>
      <c r="AK515" s="906">
        <v>1</v>
      </c>
      <c r="AL515" s="49">
        <f t="shared" si="1345"/>
        <v>0</v>
      </c>
      <c r="AM515" s="907">
        <f t="shared" si="1346"/>
        <v>1.0506187499999999</v>
      </c>
    </row>
    <row r="516" spans="4:39" ht="11.25" customHeight="1" x14ac:dyDescent="0.2">
      <c r="D516" s="1092"/>
      <c r="E516" s="1093"/>
      <c r="F516" s="1093"/>
      <c r="G516" s="1093"/>
      <c r="H516" s="1094"/>
      <c r="I516" s="1095"/>
      <c r="J516" s="1096"/>
      <c r="K516" s="1096"/>
      <c r="L516" s="1096"/>
      <c r="M516" s="1097"/>
      <c r="N516" s="528">
        <v>0</v>
      </c>
      <c r="O516" s="529">
        <v>0</v>
      </c>
      <c r="P516" s="529">
        <v>0</v>
      </c>
      <c r="Q516" s="1019" t="s">
        <v>701</v>
      </c>
      <c r="R516" s="528">
        <v>0</v>
      </c>
      <c r="S516" s="529">
        <v>0</v>
      </c>
      <c r="T516" s="1011" t="s">
        <v>701</v>
      </c>
      <c r="U516" s="530">
        <v>0</v>
      </c>
      <c r="V516" s="529">
        <v>0</v>
      </c>
      <c r="W516" s="1011" t="s">
        <v>701</v>
      </c>
      <c r="X516" s="1016" t="s">
        <v>701</v>
      </c>
      <c r="Y516" s="529">
        <v>0</v>
      </c>
      <c r="Z516" s="1011" t="s">
        <v>701</v>
      </c>
      <c r="AA516" s="1102"/>
      <c r="AB516" s="1103"/>
      <c r="AC516" s="1099"/>
      <c r="AD516" s="1100"/>
      <c r="AE516" s="1107"/>
      <c r="AF516" s="1107"/>
      <c r="AG516" s="1107"/>
      <c r="AH516" s="1108"/>
      <c r="AI516" s="1106"/>
      <c r="AJ516" s="1041" t="s">
        <v>596</v>
      </c>
      <c r="AK516" s="906">
        <v>1</v>
      </c>
      <c r="AL516" s="49">
        <f t="shared" si="1345"/>
        <v>0</v>
      </c>
      <c r="AM516" s="907">
        <f t="shared" si="1346"/>
        <v>1.0506187499999999</v>
      </c>
    </row>
    <row r="517" spans="4:39" ht="11.25" customHeight="1" x14ac:dyDescent="0.2">
      <c r="D517" s="1092"/>
      <c r="E517" s="1093"/>
      <c r="F517" s="1093"/>
      <c r="G517" s="1093"/>
      <c r="H517" s="1094"/>
      <c r="I517" s="1095"/>
      <c r="J517" s="1096"/>
      <c r="K517" s="1096"/>
      <c r="L517" s="1096"/>
      <c r="M517" s="1097"/>
      <c r="N517" s="528">
        <v>0</v>
      </c>
      <c r="O517" s="529">
        <v>0</v>
      </c>
      <c r="P517" s="529">
        <v>0</v>
      </c>
      <c r="Q517" s="1019" t="s">
        <v>701</v>
      </c>
      <c r="R517" s="528">
        <v>0</v>
      </c>
      <c r="S517" s="529">
        <v>0</v>
      </c>
      <c r="T517" s="1011" t="s">
        <v>701</v>
      </c>
      <c r="U517" s="530">
        <v>0</v>
      </c>
      <c r="V517" s="529">
        <v>0</v>
      </c>
      <c r="W517" s="1011" t="s">
        <v>701</v>
      </c>
      <c r="X517" s="1016" t="s">
        <v>701</v>
      </c>
      <c r="Y517" s="529">
        <v>0</v>
      </c>
      <c r="Z517" s="1011" t="s">
        <v>701</v>
      </c>
      <c r="AA517" s="1102"/>
      <c r="AB517" s="1103"/>
      <c r="AC517" s="1099"/>
      <c r="AD517" s="1100"/>
      <c r="AE517" s="1107"/>
      <c r="AF517" s="1107"/>
      <c r="AG517" s="1107"/>
      <c r="AH517" s="1108"/>
      <c r="AI517" s="1106"/>
      <c r="AJ517" s="1041" t="s">
        <v>596</v>
      </c>
      <c r="AK517" s="906">
        <v>1</v>
      </c>
      <c r="AL517" s="49">
        <f t="shared" si="1345"/>
        <v>0</v>
      </c>
      <c r="AM517" s="907">
        <f t="shared" si="1346"/>
        <v>1.0506187499999999</v>
      </c>
    </row>
    <row r="518" spans="4:39" ht="11.25" customHeight="1" x14ac:dyDescent="0.2">
      <c r="D518" s="1092"/>
      <c r="E518" s="1093"/>
      <c r="F518" s="1093"/>
      <c r="G518" s="1093"/>
      <c r="H518" s="1094"/>
      <c r="I518" s="1095"/>
      <c r="J518" s="1096"/>
      <c r="K518" s="1096"/>
      <c r="L518" s="1096"/>
      <c r="M518" s="1097"/>
      <c r="N518" s="528">
        <v>0</v>
      </c>
      <c r="O518" s="529">
        <v>0</v>
      </c>
      <c r="P518" s="529">
        <v>0</v>
      </c>
      <c r="Q518" s="1019" t="s">
        <v>701</v>
      </c>
      <c r="R518" s="528">
        <v>0</v>
      </c>
      <c r="S518" s="529">
        <v>0</v>
      </c>
      <c r="T518" s="1011" t="s">
        <v>701</v>
      </c>
      <c r="U518" s="530">
        <v>0</v>
      </c>
      <c r="V518" s="529">
        <v>0</v>
      </c>
      <c r="W518" s="1011" t="s">
        <v>701</v>
      </c>
      <c r="X518" s="1016" t="s">
        <v>701</v>
      </c>
      <c r="Y518" s="529">
        <v>0</v>
      </c>
      <c r="Z518" s="1011" t="s">
        <v>701</v>
      </c>
      <c r="AA518" s="1102"/>
      <c r="AB518" s="1103"/>
      <c r="AC518" s="1099"/>
      <c r="AD518" s="1100"/>
      <c r="AE518" s="1107"/>
      <c r="AF518" s="1107"/>
      <c r="AG518" s="1107"/>
      <c r="AH518" s="1108"/>
      <c r="AI518" s="1106"/>
      <c r="AJ518" s="1041" t="s">
        <v>596</v>
      </c>
      <c r="AK518" s="906">
        <v>1</v>
      </c>
      <c r="AL518" s="49">
        <f t="shared" si="1345"/>
        <v>0</v>
      </c>
      <c r="AM518" s="907">
        <f t="shared" si="1346"/>
        <v>1.0506187499999999</v>
      </c>
    </row>
    <row r="519" spans="4:39" ht="11.25" customHeight="1" thickBot="1" x14ac:dyDescent="0.25">
      <c r="D519" s="532" t="s">
        <v>418</v>
      </c>
      <c r="E519" s="533"/>
      <c r="F519" s="534"/>
      <c r="G519" s="535"/>
      <c r="H519" s="535"/>
      <c r="I519" s="534"/>
      <c r="J519" s="535"/>
      <c r="K519" s="535"/>
      <c r="L519" s="535"/>
      <c r="M519" s="536"/>
      <c r="N519" s="537">
        <f>SUM(N513:N518)</f>
        <v>0</v>
      </c>
      <c r="O519" s="537">
        <f t="shared" ref="O519" si="1362">SUM(O513:O518)</f>
        <v>0</v>
      </c>
      <c r="P519" s="536"/>
      <c r="Q519" s="1020" t="s">
        <v>701</v>
      </c>
      <c r="R519" s="538"/>
      <c r="S519" s="539">
        <f t="shared" ref="S519" si="1363">SUM(S513:S518)</f>
        <v>9</v>
      </c>
      <c r="T519" s="1012" t="s">
        <v>701</v>
      </c>
      <c r="U519" s="538"/>
      <c r="V519" s="539">
        <f t="shared" ref="V519:Y519" si="1364">SUM(V513:V518)</f>
        <v>0</v>
      </c>
      <c r="W519" s="1012" t="s">
        <v>701</v>
      </c>
      <c r="X519" s="1012" t="s">
        <v>701</v>
      </c>
      <c r="Y519" s="539">
        <f t="shared" si="1364"/>
        <v>26129.214295891368</v>
      </c>
      <c r="Z519" s="1012" t="s">
        <v>701</v>
      </c>
      <c r="AA519" s="1012" t="s">
        <v>701</v>
      </c>
      <c r="AB519" s="1007" t="s">
        <v>701</v>
      </c>
      <c r="AC519" s="1013" t="s">
        <v>701</v>
      </c>
      <c r="AD519" s="540"/>
      <c r="AE519" s="1008" t="s">
        <v>701</v>
      </c>
      <c r="AF519" s="1008" t="s">
        <v>701</v>
      </c>
      <c r="AG519" s="1008" t="s">
        <v>701</v>
      </c>
      <c r="AH519" s="1008" t="s">
        <v>701</v>
      </c>
      <c r="AI519" s="1008" t="s">
        <v>701</v>
      </c>
      <c r="AJ519" s="1042" t="s">
        <v>596</v>
      </c>
      <c r="AK519" s="906">
        <v>1</v>
      </c>
      <c r="AL519" s="49">
        <f t="shared" si="1345"/>
        <v>0</v>
      </c>
      <c r="AM519" s="907">
        <f t="shared" si="1346"/>
        <v>1.0506187499999999</v>
      </c>
    </row>
    <row r="520" spans="4:39" ht="11.25" customHeight="1" x14ac:dyDescent="0.25">
      <c r="D520" s="1092" t="s">
        <v>757</v>
      </c>
      <c r="E520" s="1093" t="s">
        <v>755</v>
      </c>
      <c r="F520" s="1093" t="s">
        <v>756</v>
      </c>
      <c r="G520" s="1093" t="s">
        <v>723</v>
      </c>
      <c r="H520" s="1094" t="s">
        <v>720</v>
      </c>
      <c r="I520" s="1095" t="s">
        <v>721</v>
      </c>
      <c r="J520" s="1096">
        <v>750</v>
      </c>
      <c r="K520" s="1096">
        <v>750</v>
      </c>
      <c r="L520" s="1096">
        <v>375</v>
      </c>
      <c r="M520" s="1097">
        <v>375</v>
      </c>
      <c r="N520" s="522">
        <v>0</v>
      </c>
      <c r="O520" s="523">
        <v>0</v>
      </c>
      <c r="P520" s="524">
        <v>0</v>
      </c>
      <c r="Q520" s="1018" t="s">
        <v>701</v>
      </c>
      <c r="R520" s="525">
        <v>0</v>
      </c>
      <c r="S520" s="524">
        <v>9</v>
      </c>
      <c r="T520" s="1017" t="s">
        <v>701</v>
      </c>
      <c r="U520" s="526">
        <v>0</v>
      </c>
      <c r="V520" s="524">
        <v>0</v>
      </c>
      <c r="W520" s="1010" t="s">
        <v>701</v>
      </c>
      <c r="X520" s="1015" t="s">
        <v>701</v>
      </c>
      <c r="Y520" s="527">
        <v>12604.327828427127</v>
      </c>
      <c r="Z520" s="1010" t="s">
        <v>701</v>
      </c>
      <c r="AA520" s="1102" t="s">
        <v>701</v>
      </c>
      <c r="AB520" s="1103" t="s">
        <v>701</v>
      </c>
      <c r="AC520" s="1099"/>
      <c r="AD520" s="1100">
        <v>0</v>
      </c>
      <c r="AE520" s="1107" t="s">
        <v>701</v>
      </c>
      <c r="AF520" s="1107" t="s">
        <v>701</v>
      </c>
      <c r="AG520" s="1107" t="s">
        <v>701</v>
      </c>
      <c r="AH520" s="1108" t="s">
        <v>701</v>
      </c>
      <c r="AI520" s="1106" t="s">
        <v>701</v>
      </c>
      <c r="AJ520" s="1040" t="s">
        <v>596</v>
      </c>
      <c r="AK520" s="906">
        <v>1</v>
      </c>
      <c r="AL520" s="49">
        <f t="shared" si="1345"/>
        <v>0</v>
      </c>
      <c r="AM520" s="907">
        <f t="shared" si="1346"/>
        <v>1.0506187499999999</v>
      </c>
    </row>
    <row r="521" spans="4:39" ht="11.25" customHeight="1" x14ac:dyDescent="0.2">
      <c r="D521" s="1092"/>
      <c r="E521" s="1093"/>
      <c r="F521" s="1093"/>
      <c r="G521" s="1093"/>
      <c r="H521" s="1094"/>
      <c r="I521" s="1095"/>
      <c r="J521" s="1096"/>
      <c r="K521" s="1096"/>
      <c r="L521" s="1096"/>
      <c r="M521" s="1097"/>
      <c r="N521" s="528">
        <v>0</v>
      </c>
      <c r="O521" s="529">
        <v>0</v>
      </c>
      <c r="P521" s="529">
        <v>0</v>
      </c>
      <c r="Q521" s="1019" t="s">
        <v>701</v>
      </c>
      <c r="R521" s="528">
        <v>0</v>
      </c>
      <c r="S521" s="529">
        <v>0</v>
      </c>
      <c r="T521" s="1011" t="s">
        <v>701</v>
      </c>
      <c r="U521" s="530">
        <v>0</v>
      </c>
      <c r="V521" s="529">
        <v>0</v>
      </c>
      <c r="W521" s="1011" t="s">
        <v>701</v>
      </c>
      <c r="X521" s="1016" t="s">
        <v>701</v>
      </c>
      <c r="Y521" s="531">
        <v>0</v>
      </c>
      <c r="Z521" s="1011" t="s">
        <v>701</v>
      </c>
      <c r="AA521" s="1102"/>
      <c r="AB521" s="1103"/>
      <c r="AC521" s="1099"/>
      <c r="AD521" s="1100"/>
      <c r="AE521" s="1107"/>
      <c r="AF521" s="1107"/>
      <c r="AG521" s="1107"/>
      <c r="AH521" s="1108"/>
      <c r="AI521" s="1106"/>
      <c r="AJ521" s="1041" t="s">
        <v>596</v>
      </c>
      <c r="AK521" s="906">
        <v>1</v>
      </c>
      <c r="AL521" s="49">
        <f t="shared" si="1345"/>
        <v>0</v>
      </c>
      <c r="AM521" s="907">
        <f t="shared" si="1346"/>
        <v>1.0506187499999999</v>
      </c>
    </row>
    <row r="522" spans="4:39" ht="11.25" customHeight="1" x14ac:dyDescent="0.2">
      <c r="D522" s="1092"/>
      <c r="E522" s="1093"/>
      <c r="F522" s="1093"/>
      <c r="G522" s="1093"/>
      <c r="H522" s="1094"/>
      <c r="I522" s="1095"/>
      <c r="J522" s="1096"/>
      <c r="K522" s="1096"/>
      <c r="L522" s="1096"/>
      <c r="M522" s="1097"/>
      <c r="N522" s="528">
        <v>0</v>
      </c>
      <c r="O522" s="529">
        <v>0</v>
      </c>
      <c r="P522" s="529">
        <v>0</v>
      </c>
      <c r="Q522" s="1019" t="s">
        <v>701</v>
      </c>
      <c r="R522" s="528">
        <v>0</v>
      </c>
      <c r="S522" s="529">
        <v>0</v>
      </c>
      <c r="T522" s="1011" t="s">
        <v>701</v>
      </c>
      <c r="U522" s="530">
        <v>0</v>
      </c>
      <c r="V522" s="529">
        <v>0</v>
      </c>
      <c r="W522" s="1011" t="s">
        <v>701</v>
      </c>
      <c r="X522" s="1016" t="s">
        <v>701</v>
      </c>
      <c r="Y522" s="529">
        <v>0</v>
      </c>
      <c r="Z522" s="1011" t="s">
        <v>701</v>
      </c>
      <c r="AA522" s="1102"/>
      <c r="AB522" s="1103"/>
      <c r="AC522" s="1099"/>
      <c r="AD522" s="1100"/>
      <c r="AE522" s="1107"/>
      <c r="AF522" s="1107"/>
      <c r="AG522" s="1107"/>
      <c r="AH522" s="1108"/>
      <c r="AI522" s="1106"/>
      <c r="AJ522" s="1041" t="s">
        <v>596</v>
      </c>
      <c r="AK522" s="906">
        <v>1</v>
      </c>
      <c r="AL522" s="49">
        <f t="shared" si="1345"/>
        <v>0</v>
      </c>
      <c r="AM522" s="907">
        <f t="shared" si="1346"/>
        <v>1.0506187499999999</v>
      </c>
    </row>
    <row r="523" spans="4:39" ht="11.25" customHeight="1" x14ac:dyDescent="0.2">
      <c r="D523" s="1092"/>
      <c r="E523" s="1093"/>
      <c r="F523" s="1093"/>
      <c r="G523" s="1093"/>
      <c r="H523" s="1094"/>
      <c r="I523" s="1095"/>
      <c r="J523" s="1096"/>
      <c r="K523" s="1096"/>
      <c r="L523" s="1096"/>
      <c r="M523" s="1097"/>
      <c r="N523" s="528">
        <v>0</v>
      </c>
      <c r="O523" s="529">
        <v>0</v>
      </c>
      <c r="P523" s="529">
        <v>0</v>
      </c>
      <c r="Q523" s="1019" t="s">
        <v>701</v>
      </c>
      <c r="R523" s="528">
        <v>0</v>
      </c>
      <c r="S523" s="529">
        <v>0</v>
      </c>
      <c r="T523" s="1011" t="s">
        <v>701</v>
      </c>
      <c r="U523" s="530">
        <v>0</v>
      </c>
      <c r="V523" s="529">
        <v>0</v>
      </c>
      <c r="W523" s="1011" t="s">
        <v>701</v>
      </c>
      <c r="X523" s="1016" t="s">
        <v>701</v>
      </c>
      <c r="Y523" s="529">
        <v>0</v>
      </c>
      <c r="Z523" s="1011" t="s">
        <v>701</v>
      </c>
      <c r="AA523" s="1102"/>
      <c r="AB523" s="1103"/>
      <c r="AC523" s="1099"/>
      <c r="AD523" s="1100"/>
      <c r="AE523" s="1107"/>
      <c r="AF523" s="1107"/>
      <c r="AG523" s="1107"/>
      <c r="AH523" s="1108"/>
      <c r="AI523" s="1106"/>
      <c r="AJ523" s="1041" t="s">
        <v>596</v>
      </c>
      <c r="AK523" s="906">
        <v>1</v>
      </c>
      <c r="AL523" s="49">
        <f t="shared" si="1345"/>
        <v>0</v>
      </c>
      <c r="AM523" s="907">
        <f t="shared" si="1346"/>
        <v>1.0506187499999999</v>
      </c>
    </row>
    <row r="524" spans="4:39" ht="11.25" customHeight="1" x14ac:dyDescent="0.2">
      <c r="D524" s="1092"/>
      <c r="E524" s="1093"/>
      <c r="F524" s="1093"/>
      <c r="G524" s="1093"/>
      <c r="H524" s="1094"/>
      <c r="I524" s="1095"/>
      <c r="J524" s="1096"/>
      <c r="K524" s="1096"/>
      <c r="L524" s="1096"/>
      <c r="M524" s="1097"/>
      <c r="N524" s="528">
        <v>0</v>
      </c>
      <c r="O524" s="529">
        <v>0</v>
      </c>
      <c r="P524" s="529">
        <v>0</v>
      </c>
      <c r="Q524" s="1019" t="s">
        <v>701</v>
      </c>
      <c r="R524" s="528">
        <v>0</v>
      </c>
      <c r="S524" s="529">
        <v>0</v>
      </c>
      <c r="T524" s="1011" t="s">
        <v>701</v>
      </c>
      <c r="U524" s="530">
        <v>0</v>
      </c>
      <c r="V524" s="529">
        <v>0</v>
      </c>
      <c r="W524" s="1011" t="s">
        <v>701</v>
      </c>
      <c r="X524" s="1016" t="s">
        <v>701</v>
      </c>
      <c r="Y524" s="529">
        <v>0</v>
      </c>
      <c r="Z524" s="1011" t="s">
        <v>701</v>
      </c>
      <c r="AA524" s="1102"/>
      <c r="AB524" s="1103"/>
      <c r="AC524" s="1099"/>
      <c r="AD524" s="1100"/>
      <c r="AE524" s="1107"/>
      <c r="AF524" s="1107"/>
      <c r="AG524" s="1107"/>
      <c r="AH524" s="1108"/>
      <c r="AI524" s="1106"/>
      <c r="AJ524" s="1041" t="s">
        <v>596</v>
      </c>
      <c r="AK524" s="906">
        <v>1</v>
      </c>
      <c r="AL524" s="49">
        <f t="shared" si="1345"/>
        <v>0</v>
      </c>
      <c r="AM524" s="907">
        <f t="shared" si="1346"/>
        <v>1.0506187499999999</v>
      </c>
    </row>
    <row r="525" spans="4:39" ht="11.25" customHeight="1" x14ac:dyDescent="0.2">
      <c r="D525" s="1092"/>
      <c r="E525" s="1093"/>
      <c r="F525" s="1093"/>
      <c r="G525" s="1093"/>
      <c r="H525" s="1094"/>
      <c r="I525" s="1095"/>
      <c r="J525" s="1096"/>
      <c r="K525" s="1096"/>
      <c r="L525" s="1096"/>
      <c r="M525" s="1097"/>
      <c r="N525" s="528">
        <v>0</v>
      </c>
      <c r="O525" s="529">
        <v>0</v>
      </c>
      <c r="P525" s="529">
        <v>0</v>
      </c>
      <c r="Q525" s="1019" t="s">
        <v>701</v>
      </c>
      <c r="R525" s="528">
        <v>0</v>
      </c>
      <c r="S525" s="529">
        <v>0</v>
      </c>
      <c r="T525" s="1011" t="s">
        <v>701</v>
      </c>
      <c r="U525" s="530">
        <v>0</v>
      </c>
      <c r="V525" s="529">
        <v>0</v>
      </c>
      <c r="W525" s="1011" t="s">
        <v>701</v>
      </c>
      <c r="X525" s="1016" t="s">
        <v>701</v>
      </c>
      <c r="Y525" s="529">
        <v>0</v>
      </c>
      <c r="Z525" s="1011" t="s">
        <v>701</v>
      </c>
      <c r="AA525" s="1102"/>
      <c r="AB525" s="1103"/>
      <c r="AC525" s="1099"/>
      <c r="AD525" s="1100"/>
      <c r="AE525" s="1107"/>
      <c r="AF525" s="1107"/>
      <c r="AG525" s="1107"/>
      <c r="AH525" s="1108"/>
      <c r="AI525" s="1106"/>
      <c r="AJ525" s="1041" t="s">
        <v>596</v>
      </c>
      <c r="AK525" s="906">
        <v>1</v>
      </c>
      <c r="AL525" s="49">
        <f t="shared" si="1345"/>
        <v>0</v>
      </c>
      <c r="AM525" s="907">
        <f t="shared" si="1346"/>
        <v>1.0506187499999999</v>
      </c>
    </row>
    <row r="526" spans="4:39" ht="11.25" customHeight="1" thickBot="1" x14ac:dyDescent="0.25">
      <c r="D526" s="532" t="s">
        <v>418</v>
      </c>
      <c r="E526" s="533"/>
      <c r="F526" s="534"/>
      <c r="G526" s="535"/>
      <c r="H526" s="535"/>
      <c r="I526" s="534"/>
      <c r="J526" s="535"/>
      <c r="K526" s="535"/>
      <c r="L526" s="535"/>
      <c r="M526" s="536"/>
      <c r="N526" s="537">
        <f>SUM(N520:N525)</f>
        <v>0</v>
      </c>
      <c r="O526" s="537">
        <f t="shared" ref="O526" si="1365">SUM(O520:O525)</f>
        <v>0</v>
      </c>
      <c r="P526" s="536"/>
      <c r="Q526" s="1020" t="s">
        <v>701</v>
      </c>
      <c r="R526" s="538"/>
      <c r="S526" s="539">
        <f t="shared" ref="S526" si="1366">SUM(S520:S525)</f>
        <v>9</v>
      </c>
      <c r="T526" s="1012" t="s">
        <v>701</v>
      </c>
      <c r="U526" s="538"/>
      <c r="V526" s="539">
        <f t="shared" ref="V526:Y526" si="1367">SUM(V520:V525)</f>
        <v>0</v>
      </c>
      <c r="W526" s="1012" t="s">
        <v>701</v>
      </c>
      <c r="X526" s="1012" t="s">
        <v>701</v>
      </c>
      <c r="Y526" s="539">
        <f t="shared" si="1367"/>
        <v>12604.327828427127</v>
      </c>
      <c r="Z526" s="1012" t="s">
        <v>701</v>
      </c>
      <c r="AA526" s="1012" t="s">
        <v>701</v>
      </c>
      <c r="AB526" s="1007" t="s">
        <v>701</v>
      </c>
      <c r="AC526" s="1013" t="s">
        <v>701</v>
      </c>
      <c r="AD526" s="540"/>
      <c r="AE526" s="1008" t="s">
        <v>701</v>
      </c>
      <c r="AF526" s="1008" t="s">
        <v>701</v>
      </c>
      <c r="AG526" s="1008" t="s">
        <v>701</v>
      </c>
      <c r="AH526" s="1008" t="s">
        <v>701</v>
      </c>
      <c r="AI526" s="1008" t="s">
        <v>701</v>
      </c>
      <c r="AJ526" s="1042" t="s">
        <v>596</v>
      </c>
      <c r="AK526" s="906">
        <v>1</v>
      </c>
      <c r="AL526" s="49">
        <f t="shared" si="1345"/>
        <v>0</v>
      </c>
      <c r="AM526" s="907">
        <f t="shared" si="1346"/>
        <v>1.0506187499999999</v>
      </c>
    </row>
    <row r="527" spans="4:39" ht="11.25" customHeight="1" x14ac:dyDescent="0.25">
      <c r="D527" s="1092" t="s">
        <v>758</v>
      </c>
      <c r="E527" s="1093" t="s">
        <v>755</v>
      </c>
      <c r="F527" s="1093" t="s">
        <v>756</v>
      </c>
      <c r="G527" s="1093" t="s">
        <v>723</v>
      </c>
      <c r="H527" s="1094" t="s">
        <v>720</v>
      </c>
      <c r="I527" s="1095" t="s">
        <v>721</v>
      </c>
      <c r="J527" s="1096">
        <v>2250</v>
      </c>
      <c r="K527" s="1096">
        <v>2250</v>
      </c>
      <c r="L527" s="1096">
        <v>1875</v>
      </c>
      <c r="M527" s="1097">
        <v>1875</v>
      </c>
      <c r="N527" s="522">
        <v>0</v>
      </c>
      <c r="O527" s="523">
        <v>0</v>
      </c>
      <c r="P527" s="524">
        <v>0</v>
      </c>
      <c r="Q527" s="1018" t="s">
        <v>701</v>
      </c>
      <c r="R527" s="525">
        <v>0</v>
      </c>
      <c r="S527" s="524">
        <v>21</v>
      </c>
      <c r="T527" s="1017" t="s">
        <v>701</v>
      </c>
      <c r="U527" s="526">
        <v>0</v>
      </c>
      <c r="V527" s="524">
        <v>0</v>
      </c>
      <c r="W527" s="1010" t="s">
        <v>701</v>
      </c>
      <c r="X527" s="1015" t="s">
        <v>701</v>
      </c>
      <c r="Y527" s="527">
        <v>16903.953293769639</v>
      </c>
      <c r="Z527" s="1010" t="s">
        <v>701</v>
      </c>
      <c r="AA527" s="1102" t="s">
        <v>701</v>
      </c>
      <c r="AB527" s="1103" t="s">
        <v>701</v>
      </c>
      <c r="AC527" s="1099"/>
      <c r="AD527" s="1100">
        <v>0</v>
      </c>
      <c r="AE527" s="1107" t="s">
        <v>701</v>
      </c>
      <c r="AF527" s="1107" t="s">
        <v>701</v>
      </c>
      <c r="AG527" s="1107" t="s">
        <v>701</v>
      </c>
      <c r="AH527" s="1108" t="s">
        <v>701</v>
      </c>
      <c r="AI527" s="1106" t="s">
        <v>701</v>
      </c>
      <c r="AJ527" s="1040" t="s">
        <v>596</v>
      </c>
      <c r="AK527" s="906">
        <v>1</v>
      </c>
      <c r="AL527" s="49">
        <f t="shared" si="1345"/>
        <v>0</v>
      </c>
      <c r="AM527" s="907">
        <f t="shared" si="1346"/>
        <v>1.0506187499999999</v>
      </c>
    </row>
    <row r="528" spans="4:39" ht="11.25" customHeight="1" x14ac:dyDescent="0.2">
      <c r="D528" s="1092"/>
      <c r="E528" s="1093"/>
      <c r="F528" s="1093"/>
      <c r="G528" s="1093"/>
      <c r="H528" s="1094"/>
      <c r="I528" s="1095"/>
      <c r="J528" s="1096"/>
      <c r="K528" s="1096"/>
      <c r="L528" s="1096"/>
      <c r="M528" s="1097"/>
      <c r="N528" s="528">
        <v>0</v>
      </c>
      <c r="O528" s="529">
        <v>0</v>
      </c>
      <c r="P528" s="529">
        <v>0</v>
      </c>
      <c r="Q528" s="1019" t="s">
        <v>701</v>
      </c>
      <c r="R528" s="528">
        <v>0</v>
      </c>
      <c r="S528" s="529">
        <v>0</v>
      </c>
      <c r="T528" s="1011" t="s">
        <v>701</v>
      </c>
      <c r="U528" s="530">
        <v>0</v>
      </c>
      <c r="V528" s="529">
        <v>0</v>
      </c>
      <c r="W528" s="1011" t="s">
        <v>701</v>
      </c>
      <c r="X528" s="1016" t="s">
        <v>701</v>
      </c>
      <c r="Y528" s="531">
        <v>0</v>
      </c>
      <c r="Z528" s="1011" t="s">
        <v>701</v>
      </c>
      <c r="AA528" s="1102"/>
      <c r="AB528" s="1103"/>
      <c r="AC528" s="1099"/>
      <c r="AD528" s="1100"/>
      <c r="AE528" s="1107"/>
      <c r="AF528" s="1107"/>
      <c r="AG528" s="1107"/>
      <c r="AH528" s="1108"/>
      <c r="AI528" s="1106"/>
      <c r="AJ528" s="1041" t="s">
        <v>596</v>
      </c>
      <c r="AK528" s="906">
        <v>1</v>
      </c>
      <c r="AL528" s="49">
        <f t="shared" si="1345"/>
        <v>0</v>
      </c>
      <c r="AM528" s="907">
        <f t="shared" si="1346"/>
        <v>1.0506187499999999</v>
      </c>
    </row>
    <row r="529" spans="4:39" ht="11.25" customHeight="1" x14ac:dyDescent="0.2">
      <c r="D529" s="1092"/>
      <c r="E529" s="1093"/>
      <c r="F529" s="1093"/>
      <c r="G529" s="1093"/>
      <c r="H529" s="1094"/>
      <c r="I529" s="1095"/>
      <c r="J529" s="1096"/>
      <c r="K529" s="1096"/>
      <c r="L529" s="1096"/>
      <c r="M529" s="1097"/>
      <c r="N529" s="528">
        <v>0</v>
      </c>
      <c r="O529" s="529">
        <v>0</v>
      </c>
      <c r="P529" s="529">
        <v>0</v>
      </c>
      <c r="Q529" s="1019" t="s">
        <v>701</v>
      </c>
      <c r="R529" s="528">
        <v>0</v>
      </c>
      <c r="S529" s="529">
        <v>0</v>
      </c>
      <c r="T529" s="1011" t="s">
        <v>701</v>
      </c>
      <c r="U529" s="530">
        <v>0</v>
      </c>
      <c r="V529" s="529">
        <v>0</v>
      </c>
      <c r="W529" s="1011" t="s">
        <v>701</v>
      </c>
      <c r="X529" s="1016" t="s">
        <v>701</v>
      </c>
      <c r="Y529" s="529">
        <v>0</v>
      </c>
      <c r="Z529" s="1011" t="s">
        <v>701</v>
      </c>
      <c r="AA529" s="1102"/>
      <c r="AB529" s="1103"/>
      <c r="AC529" s="1099"/>
      <c r="AD529" s="1100"/>
      <c r="AE529" s="1107"/>
      <c r="AF529" s="1107"/>
      <c r="AG529" s="1107"/>
      <c r="AH529" s="1108"/>
      <c r="AI529" s="1106"/>
      <c r="AJ529" s="1041" t="s">
        <v>596</v>
      </c>
      <c r="AK529" s="906">
        <v>1</v>
      </c>
      <c r="AL529" s="49">
        <f t="shared" si="1345"/>
        <v>0</v>
      </c>
      <c r="AM529" s="907">
        <f t="shared" si="1346"/>
        <v>1.0506187499999999</v>
      </c>
    </row>
    <row r="530" spans="4:39" ht="11.25" customHeight="1" x14ac:dyDescent="0.2">
      <c r="D530" s="1092"/>
      <c r="E530" s="1093"/>
      <c r="F530" s="1093"/>
      <c r="G530" s="1093"/>
      <c r="H530" s="1094"/>
      <c r="I530" s="1095"/>
      <c r="J530" s="1096"/>
      <c r="K530" s="1096"/>
      <c r="L530" s="1096"/>
      <c r="M530" s="1097"/>
      <c r="N530" s="528">
        <v>0</v>
      </c>
      <c r="O530" s="529">
        <v>0</v>
      </c>
      <c r="P530" s="529">
        <v>0</v>
      </c>
      <c r="Q530" s="1019" t="s">
        <v>701</v>
      </c>
      <c r="R530" s="528">
        <v>0</v>
      </c>
      <c r="S530" s="529">
        <v>0</v>
      </c>
      <c r="T530" s="1011" t="s">
        <v>701</v>
      </c>
      <c r="U530" s="530">
        <v>0</v>
      </c>
      <c r="V530" s="529">
        <v>0</v>
      </c>
      <c r="W530" s="1011" t="s">
        <v>701</v>
      </c>
      <c r="X530" s="1016" t="s">
        <v>701</v>
      </c>
      <c r="Y530" s="529">
        <v>0</v>
      </c>
      <c r="Z530" s="1011" t="s">
        <v>701</v>
      </c>
      <c r="AA530" s="1102"/>
      <c r="AB530" s="1103"/>
      <c r="AC530" s="1099"/>
      <c r="AD530" s="1100"/>
      <c r="AE530" s="1107"/>
      <c r="AF530" s="1107"/>
      <c r="AG530" s="1107"/>
      <c r="AH530" s="1108"/>
      <c r="AI530" s="1106"/>
      <c r="AJ530" s="1041" t="s">
        <v>596</v>
      </c>
      <c r="AK530" s="906">
        <v>1</v>
      </c>
      <c r="AL530" s="49">
        <f t="shared" si="1345"/>
        <v>0</v>
      </c>
      <c r="AM530" s="907">
        <f t="shared" si="1346"/>
        <v>1.0506187499999999</v>
      </c>
    </row>
    <row r="531" spans="4:39" ht="11.25" customHeight="1" x14ac:dyDescent="0.2">
      <c r="D531" s="1092"/>
      <c r="E531" s="1093"/>
      <c r="F531" s="1093"/>
      <c r="G531" s="1093"/>
      <c r="H531" s="1094"/>
      <c r="I531" s="1095"/>
      <c r="J531" s="1096"/>
      <c r="K531" s="1096"/>
      <c r="L531" s="1096"/>
      <c r="M531" s="1097"/>
      <c r="N531" s="528">
        <v>0</v>
      </c>
      <c r="O531" s="529">
        <v>0</v>
      </c>
      <c r="P531" s="529">
        <v>0</v>
      </c>
      <c r="Q531" s="1019" t="s">
        <v>701</v>
      </c>
      <c r="R531" s="528">
        <v>0</v>
      </c>
      <c r="S531" s="529">
        <v>0</v>
      </c>
      <c r="T531" s="1011" t="s">
        <v>701</v>
      </c>
      <c r="U531" s="530">
        <v>0</v>
      </c>
      <c r="V531" s="529">
        <v>0</v>
      </c>
      <c r="W531" s="1011" t="s">
        <v>701</v>
      </c>
      <c r="X531" s="1016" t="s">
        <v>701</v>
      </c>
      <c r="Y531" s="529">
        <v>0</v>
      </c>
      <c r="Z531" s="1011" t="s">
        <v>701</v>
      </c>
      <c r="AA531" s="1102"/>
      <c r="AB531" s="1103"/>
      <c r="AC531" s="1099"/>
      <c r="AD531" s="1100"/>
      <c r="AE531" s="1107"/>
      <c r="AF531" s="1107"/>
      <c r="AG531" s="1107"/>
      <c r="AH531" s="1108"/>
      <c r="AI531" s="1106"/>
      <c r="AJ531" s="1041" t="s">
        <v>596</v>
      </c>
      <c r="AK531" s="906">
        <v>1</v>
      </c>
      <c r="AL531" s="49">
        <f t="shared" si="1345"/>
        <v>0</v>
      </c>
      <c r="AM531" s="907">
        <f t="shared" si="1346"/>
        <v>1.0506187499999999</v>
      </c>
    </row>
    <row r="532" spans="4:39" ht="11.25" customHeight="1" x14ac:dyDescent="0.2">
      <c r="D532" s="1092"/>
      <c r="E532" s="1093"/>
      <c r="F532" s="1093"/>
      <c r="G532" s="1093"/>
      <c r="H532" s="1094"/>
      <c r="I532" s="1095"/>
      <c r="J532" s="1096"/>
      <c r="K532" s="1096"/>
      <c r="L532" s="1096"/>
      <c r="M532" s="1097"/>
      <c r="N532" s="528">
        <v>0</v>
      </c>
      <c r="O532" s="529">
        <v>0</v>
      </c>
      <c r="P532" s="529">
        <v>0</v>
      </c>
      <c r="Q532" s="1019" t="s">
        <v>701</v>
      </c>
      <c r="R532" s="528">
        <v>0</v>
      </c>
      <c r="S532" s="529">
        <v>0</v>
      </c>
      <c r="T532" s="1011" t="s">
        <v>701</v>
      </c>
      <c r="U532" s="530">
        <v>0</v>
      </c>
      <c r="V532" s="529">
        <v>0</v>
      </c>
      <c r="W532" s="1011" t="s">
        <v>701</v>
      </c>
      <c r="X532" s="1016" t="s">
        <v>701</v>
      </c>
      <c r="Y532" s="529">
        <v>0</v>
      </c>
      <c r="Z532" s="1011" t="s">
        <v>701</v>
      </c>
      <c r="AA532" s="1102"/>
      <c r="AB532" s="1103"/>
      <c r="AC532" s="1099"/>
      <c r="AD532" s="1100"/>
      <c r="AE532" s="1107"/>
      <c r="AF532" s="1107"/>
      <c r="AG532" s="1107"/>
      <c r="AH532" s="1108"/>
      <c r="AI532" s="1106"/>
      <c r="AJ532" s="1041" t="s">
        <v>596</v>
      </c>
      <c r="AK532" s="906">
        <v>1</v>
      </c>
      <c r="AL532" s="49">
        <f t="shared" si="1345"/>
        <v>0</v>
      </c>
      <c r="AM532" s="907">
        <f t="shared" si="1346"/>
        <v>1.0506187499999999</v>
      </c>
    </row>
    <row r="533" spans="4:39" ht="11.25" customHeight="1" thickBot="1" x14ac:dyDescent="0.25">
      <c r="D533" s="532" t="s">
        <v>418</v>
      </c>
      <c r="E533" s="533"/>
      <c r="F533" s="534"/>
      <c r="G533" s="535"/>
      <c r="H533" s="535"/>
      <c r="I533" s="534"/>
      <c r="J533" s="535"/>
      <c r="K533" s="535"/>
      <c r="L533" s="535"/>
      <c r="M533" s="536"/>
      <c r="N533" s="537">
        <f>SUM(N527:N532)</f>
        <v>0</v>
      </c>
      <c r="O533" s="537">
        <f t="shared" ref="O533" si="1368">SUM(O527:O532)</f>
        <v>0</v>
      </c>
      <c r="P533" s="536"/>
      <c r="Q533" s="1020" t="s">
        <v>701</v>
      </c>
      <c r="R533" s="538"/>
      <c r="S533" s="539">
        <f t="shared" ref="S533" si="1369">SUM(S527:S532)</f>
        <v>21</v>
      </c>
      <c r="T533" s="1012" t="s">
        <v>701</v>
      </c>
      <c r="U533" s="538"/>
      <c r="V533" s="539">
        <f t="shared" ref="V533:Y533" si="1370">SUM(V527:V532)</f>
        <v>0</v>
      </c>
      <c r="W533" s="1012" t="s">
        <v>701</v>
      </c>
      <c r="X533" s="1012" t="s">
        <v>701</v>
      </c>
      <c r="Y533" s="539">
        <f t="shared" si="1370"/>
        <v>16903.953293769639</v>
      </c>
      <c r="Z533" s="1012" t="s">
        <v>701</v>
      </c>
      <c r="AA533" s="1012" t="s">
        <v>701</v>
      </c>
      <c r="AB533" s="1007" t="s">
        <v>701</v>
      </c>
      <c r="AC533" s="1013" t="s">
        <v>701</v>
      </c>
      <c r="AD533" s="540"/>
      <c r="AE533" s="1008" t="s">
        <v>701</v>
      </c>
      <c r="AF533" s="1008" t="s">
        <v>701</v>
      </c>
      <c r="AG533" s="1008" t="s">
        <v>701</v>
      </c>
      <c r="AH533" s="1008" t="s">
        <v>701</v>
      </c>
      <c r="AI533" s="1008" t="s">
        <v>701</v>
      </c>
      <c r="AJ533" s="1042" t="s">
        <v>596</v>
      </c>
      <c r="AK533" s="906">
        <v>1</v>
      </c>
      <c r="AL533" s="49">
        <f t="shared" si="1345"/>
        <v>0</v>
      </c>
      <c r="AM533" s="907">
        <f t="shared" si="1346"/>
        <v>1.0506187499999999</v>
      </c>
    </row>
    <row r="534" spans="4:39" ht="11.25" customHeight="1" x14ac:dyDescent="0.25">
      <c r="D534" s="1092" t="s">
        <v>759</v>
      </c>
      <c r="E534" s="1093" t="s">
        <v>718</v>
      </c>
      <c r="F534" s="1093">
        <v>1570</v>
      </c>
      <c r="G534" s="1093" t="s">
        <v>723</v>
      </c>
      <c r="H534" s="1094" t="s">
        <v>726</v>
      </c>
      <c r="I534" s="1095" t="s">
        <v>760</v>
      </c>
      <c r="J534" s="1096">
        <v>0</v>
      </c>
      <c r="K534" s="1096">
        <v>600</v>
      </c>
      <c r="L534" s="1096">
        <v>0</v>
      </c>
      <c r="M534" s="1097">
        <v>400</v>
      </c>
      <c r="N534" s="522">
        <v>3</v>
      </c>
      <c r="O534" s="523">
        <v>600</v>
      </c>
      <c r="P534" s="524">
        <v>0</v>
      </c>
      <c r="Q534" s="1018" t="s">
        <v>701</v>
      </c>
      <c r="R534" s="525">
        <v>0</v>
      </c>
      <c r="S534" s="524">
        <v>0</v>
      </c>
      <c r="T534" s="1017" t="s">
        <v>701</v>
      </c>
      <c r="U534" s="526" t="s">
        <v>784</v>
      </c>
      <c r="V534" s="524">
        <v>0</v>
      </c>
      <c r="W534" s="1010" t="s">
        <v>701</v>
      </c>
      <c r="X534" s="1015" t="s">
        <v>701</v>
      </c>
      <c r="Y534" s="527">
        <v>0</v>
      </c>
      <c r="Z534" s="1010" t="s">
        <v>701</v>
      </c>
      <c r="AA534" s="1102" t="s">
        <v>701</v>
      </c>
      <c r="AB534" s="1103" t="s">
        <v>701</v>
      </c>
      <c r="AC534" s="1099"/>
      <c r="AD534" s="1100">
        <v>0</v>
      </c>
      <c r="AE534" s="1107" t="s">
        <v>701</v>
      </c>
      <c r="AF534" s="1107" t="s">
        <v>701</v>
      </c>
      <c r="AG534" s="1107" t="s">
        <v>701</v>
      </c>
      <c r="AH534" s="1108" t="s">
        <v>701</v>
      </c>
      <c r="AI534" s="1106" t="s">
        <v>701</v>
      </c>
      <c r="AJ534" s="1040" t="s">
        <v>596</v>
      </c>
      <c r="AK534" s="906">
        <v>1</v>
      </c>
      <c r="AL534" s="49">
        <f t="shared" si="1345"/>
        <v>0</v>
      </c>
      <c r="AM534" s="907">
        <f t="shared" si="1346"/>
        <v>1.0506187499999999</v>
      </c>
    </row>
    <row r="535" spans="4:39" ht="11.25" customHeight="1" x14ac:dyDescent="0.2">
      <c r="D535" s="1092"/>
      <c r="E535" s="1093"/>
      <c r="F535" s="1093"/>
      <c r="G535" s="1093"/>
      <c r="H535" s="1094"/>
      <c r="I535" s="1095"/>
      <c r="J535" s="1096"/>
      <c r="K535" s="1096"/>
      <c r="L535" s="1096"/>
      <c r="M535" s="1097"/>
      <c r="N535" s="528">
        <v>0</v>
      </c>
      <c r="O535" s="529">
        <v>0</v>
      </c>
      <c r="P535" s="529">
        <v>0</v>
      </c>
      <c r="Q535" s="1019" t="s">
        <v>701</v>
      </c>
      <c r="R535" s="528">
        <v>0</v>
      </c>
      <c r="S535" s="529">
        <v>0</v>
      </c>
      <c r="T535" s="1011" t="s">
        <v>701</v>
      </c>
      <c r="U535" s="530">
        <v>0</v>
      </c>
      <c r="V535" s="529">
        <v>0</v>
      </c>
      <c r="W535" s="1011" t="s">
        <v>701</v>
      </c>
      <c r="X535" s="1016" t="s">
        <v>701</v>
      </c>
      <c r="Y535" s="531">
        <v>0</v>
      </c>
      <c r="Z535" s="1011" t="s">
        <v>701</v>
      </c>
      <c r="AA535" s="1102"/>
      <c r="AB535" s="1103"/>
      <c r="AC535" s="1099"/>
      <c r="AD535" s="1100"/>
      <c r="AE535" s="1107"/>
      <c r="AF535" s="1107"/>
      <c r="AG535" s="1107"/>
      <c r="AH535" s="1108"/>
      <c r="AI535" s="1106"/>
      <c r="AJ535" s="1041" t="s">
        <v>596</v>
      </c>
      <c r="AK535" s="906">
        <v>1</v>
      </c>
      <c r="AL535" s="49">
        <f t="shared" si="1345"/>
        <v>0</v>
      </c>
      <c r="AM535" s="907">
        <f t="shared" si="1346"/>
        <v>1.0506187499999999</v>
      </c>
    </row>
    <row r="536" spans="4:39" ht="11.25" customHeight="1" x14ac:dyDescent="0.2">
      <c r="D536" s="1092"/>
      <c r="E536" s="1093"/>
      <c r="F536" s="1093"/>
      <c r="G536" s="1093"/>
      <c r="H536" s="1094"/>
      <c r="I536" s="1095"/>
      <c r="J536" s="1096"/>
      <c r="K536" s="1096"/>
      <c r="L536" s="1096"/>
      <c r="M536" s="1097"/>
      <c r="N536" s="528">
        <v>0</v>
      </c>
      <c r="O536" s="529">
        <v>0</v>
      </c>
      <c r="P536" s="529">
        <v>0</v>
      </c>
      <c r="Q536" s="1019" t="s">
        <v>701</v>
      </c>
      <c r="R536" s="528">
        <v>0</v>
      </c>
      <c r="S536" s="529">
        <v>0</v>
      </c>
      <c r="T536" s="1011" t="s">
        <v>701</v>
      </c>
      <c r="U536" s="530">
        <v>0</v>
      </c>
      <c r="V536" s="529">
        <v>0</v>
      </c>
      <c r="W536" s="1011" t="s">
        <v>701</v>
      </c>
      <c r="X536" s="1016" t="s">
        <v>701</v>
      </c>
      <c r="Y536" s="529">
        <v>0</v>
      </c>
      <c r="Z536" s="1011" t="s">
        <v>701</v>
      </c>
      <c r="AA536" s="1102"/>
      <c r="AB536" s="1103"/>
      <c r="AC536" s="1099"/>
      <c r="AD536" s="1100"/>
      <c r="AE536" s="1107"/>
      <c r="AF536" s="1107"/>
      <c r="AG536" s="1107"/>
      <c r="AH536" s="1108"/>
      <c r="AI536" s="1106"/>
      <c r="AJ536" s="1041" t="s">
        <v>596</v>
      </c>
      <c r="AK536" s="906">
        <v>1</v>
      </c>
      <c r="AL536" s="49">
        <f t="shared" si="1345"/>
        <v>0</v>
      </c>
      <c r="AM536" s="907">
        <f t="shared" si="1346"/>
        <v>1.0506187499999999</v>
      </c>
    </row>
    <row r="537" spans="4:39" ht="11.25" customHeight="1" x14ac:dyDescent="0.2">
      <c r="D537" s="1092"/>
      <c r="E537" s="1093"/>
      <c r="F537" s="1093"/>
      <c r="G537" s="1093"/>
      <c r="H537" s="1094"/>
      <c r="I537" s="1095"/>
      <c r="J537" s="1096"/>
      <c r="K537" s="1096"/>
      <c r="L537" s="1096"/>
      <c r="M537" s="1097"/>
      <c r="N537" s="528">
        <v>0</v>
      </c>
      <c r="O537" s="529">
        <v>0</v>
      </c>
      <c r="P537" s="529">
        <v>0</v>
      </c>
      <c r="Q537" s="1019" t="s">
        <v>701</v>
      </c>
      <c r="R537" s="528">
        <v>0</v>
      </c>
      <c r="S537" s="529">
        <v>0</v>
      </c>
      <c r="T537" s="1011" t="s">
        <v>701</v>
      </c>
      <c r="U537" s="530">
        <v>0</v>
      </c>
      <c r="V537" s="529">
        <v>0</v>
      </c>
      <c r="W537" s="1011" t="s">
        <v>701</v>
      </c>
      <c r="X537" s="1016" t="s">
        <v>701</v>
      </c>
      <c r="Y537" s="529">
        <v>0</v>
      </c>
      <c r="Z537" s="1011" t="s">
        <v>701</v>
      </c>
      <c r="AA537" s="1102"/>
      <c r="AB537" s="1103"/>
      <c r="AC537" s="1099"/>
      <c r="AD537" s="1100"/>
      <c r="AE537" s="1107"/>
      <c r="AF537" s="1107"/>
      <c r="AG537" s="1107"/>
      <c r="AH537" s="1108"/>
      <c r="AI537" s="1106"/>
      <c r="AJ537" s="1041" t="s">
        <v>596</v>
      </c>
      <c r="AK537" s="906">
        <v>1</v>
      </c>
      <c r="AL537" s="49">
        <f t="shared" si="1345"/>
        <v>0</v>
      </c>
      <c r="AM537" s="907">
        <f t="shared" si="1346"/>
        <v>1.0506187499999999</v>
      </c>
    </row>
    <row r="538" spans="4:39" ht="11.25" customHeight="1" x14ac:dyDescent="0.2">
      <c r="D538" s="1092"/>
      <c r="E538" s="1093"/>
      <c r="F538" s="1093"/>
      <c r="G538" s="1093"/>
      <c r="H538" s="1094"/>
      <c r="I538" s="1095"/>
      <c r="J538" s="1096"/>
      <c r="K538" s="1096"/>
      <c r="L538" s="1096"/>
      <c r="M538" s="1097"/>
      <c r="N538" s="528">
        <v>0</v>
      </c>
      <c r="O538" s="529">
        <v>0</v>
      </c>
      <c r="P538" s="529">
        <v>0</v>
      </c>
      <c r="Q538" s="1019" t="s">
        <v>701</v>
      </c>
      <c r="R538" s="528">
        <v>0</v>
      </c>
      <c r="S538" s="529">
        <v>0</v>
      </c>
      <c r="T538" s="1011" t="s">
        <v>701</v>
      </c>
      <c r="U538" s="530">
        <v>0</v>
      </c>
      <c r="V538" s="529">
        <v>0</v>
      </c>
      <c r="W538" s="1011" t="s">
        <v>701</v>
      </c>
      <c r="X538" s="1016" t="s">
        <v>701</v>
      </c>
      <c r="Y538" s="529">
        <v>0</v>
      </c>
      <c r="Z538" s="1011" t="s">
        <v>701</v>
      </c>
      <c r="AA538" s="1102"/>
      <c r="AB538" s="1103"/>
      <c r="AC538" s="1099"/>
      <c r="AD538" s="1100"/>
      <c r="AE538" s="1107"/>
      <c r="AF538" s="1107"/>
      <c r="AG538" s="1107"/>
      <c r="AH538" s="1108"/>
      <c r="AI538" s="1106"/>
      <c r="AJ538" s="1041" t="s">
        <v>596</v>
      </c>
      <c r="AK538" s="906">
        <v>1</v>
      </c>
      <c r="AL538" s="49">
        <f t="shared" si="1345"/>
        <v>0</v>
      </c>
      <c r="AM538" s="907">
        <f t="shared" si="1346"/>
        <v>1.0506187499999999</v>
      </c>
    </row>
    <row r="539" spans="4:39" ht="11.25" customHeight="1" x14ac:dyDescent="0.2">
      <c r="D539" s="1092"/>
      <c r="E539" s="1093"/>
      <c r="F539" s="1093"/>
      <c r="G539" s="1093"/>
      <c r="H539" s="1094"/>
      <c r="I539" s="1095"/>
      <c r="J539" s="1096"/>
      <c r="K539" s="1096"/>
      <c r="L539" s="1096"/>
      <c r="M539" s="1097"/>
      <c r="N539" s="528">
        <v>0</v>
      </c>
      <c r="O539" s="529">
        <v>0</v>
      </c>
      <c r="P539" s="529">
        <v>0</v>
      </c>
      <c r="Q539" s="1019" t="s">
        <v>701</v>
      </c>
      <c r="R539" s="528">
        <v>0</v>
      </c>
      <c r="S539" s="529">
        <v>0</v>
      </c>
      <c r="T539" s="1011" t="s">
        <v>701</v>
      </c>
      <c r="U539" s="530">
        <v>0</v>
      </c>
      <c r="V539" s="529">
        <v>0</v>
      </c>
      <c r="W539" s="1011" t="s">
        <v>701</v>
      </c>
      <c r="X539" s="1016" t="s">
        <v>701</v>
      </c>
      <c r="Y539" s="529">
        <v>0</v>
      </c>
      <c r="Z539" s="1011" t="s">
        <v>701</v>
      </c>
      <c r="AA539" s="1102"/>
      <c r="AB539" s="1103"/>
      <c r="AC539" s="1099"/>
      <c r="AD539" s="1100"/>
      <c r="AE539" s="1107"/>
      <c r="AF539" s="1107"/>
      <c r="AG539" s="1107"/>
      <c r="AH539" s="1108"/>
      <c r="AI539" s="1106"/>
      <c r="AJ539" s="1041" t="s">
        <v>596</v>
      </c>
      <c r="AK539" s="906">
        <v>1</v>
      </c>
      <c r="AL539" s="49">
        <f t="shared" si="1345"/>
        <v>0</v>
      </c>
      <c r="AM539" s="907">
        <f t="shared" si="1346"/>
        <v>1.0506187499999999</v>
      </c>
    </row>
    <row r="540" spans="4:39" ht="11.25" customHeight="1" thickBot="1" x14ac:dyDescent="0.25">
      <c r="D540" s="532" t="s">
        <v>418</v>
      </c>
      <c r="E540" s="533"/>
      <c r="F540" s="534"/>
      <c r="G540" s="535"/>
      <c r="H540" s="535"/>
      <c r="I540" s="534"/>
      <c r="J540" s="535"/>
      <c r="K540" s="535"/>
      <c r="L540" s="535"/>
      <c r="M540" s="536"/>
      <c r="N540" s="537">
        <f>SUM(N534:N539)</f>
        <v>3</v>
      </c>
      <c r="O540" s="537">
        <f t="shared" ref="O540" si="1371">SUM(O534:O539)</f>
        <v>600</v>
      </c>
      <c r="P540" s="536"/>
      <c r="Q540" s="1020" t="s">
        <v>701</v>
      </c>
      <c r="R540" s="538"/>
      <c r="S540" s="539">
        <f t="shared" ref="S540" si="1372">SUM(S534:S539)</f>
        <v>0</v>
      </c>
      <c r="T540" s="1012" t="s">
        <v>701</v>
      </c>
      <c r="U540" s="538"/>
      <c r="V540" s="539">
        <f t="shared" ref="V540:Y540" si="1373">SUM(V534:V539)</f>
        <v>0</v>
      </c>
      <c r="W540" s="1012" t="s">
        <v>701</v>
      </c>
      <c r="X540" s="1012" t="s">
        <v>701</v>
      </c>
      <c r="Y540" s="539">
        <f t="shared" si="1373"/>
        <v>0</v>
      </c>
      <c r="Z540" s="1012" t="s">
        <v>701</v>
      </c>
      <c r="AA540" s="1012" t="s">
        <v>701</v>
      </c>
      <c r="AB540" s="1007" t="s">
        <v>701</v>
      </c>
      <c r="AC540" s="1013" t="s">
        <v>701</v>
      </c>
      <c r="AD540" s="540"/>
      <c r="AE540" s="1008" t="s">
        <v>701</v>
      </c>
      <c r="AF540" s="1008" t="s">
        <v>701</v>
      </c>
      <c r="AG540" s="1008" t="s">
        <v>701</v>
      </c>
      <c r="AH540" s="1008" t="s">
        <v>701</v>
      </c>
      <c r="AI540" s="1008" t="s">
        <v>701</v>
      </c>
      <c r="AJ540" s="1042" t="s">
        <v>596</v>
      </c>
      <c r="AK540" s="906">
        <v>1</v>
      </c>
      <c r="AL540" s="49">
        <f t="shared" si="1345"/>
        <v>0</v>
      </c>
      <c r="AM540" s="907">
        <f t="shared" si="1346"/>
        <v>1.0506187499999999</v>
      </c>
    </row>
    <row r="541" spans="4:39" ht="11.25" customHeight="1" x14ac:dyDescent="0.25">
      <c r="D541" s="1092" t="s">
        <v>761</v>
      </c>
      <c r="E541" s="1093" t="s">
        <v>733</v>
      </c>
      <c r="F541" s="1093">
        <v>1570</v>
      </c>
      <c r="G541" s="1093" t="s">
        <v>719</v>
      </c>
      <c r="H541" s="1094" t="s">
        <v>726</v>
      </c>
      <c r="I541" s="1095">
        <v>330</v>
      </c>
      <c r="J541" s="1096" t="s">
        <v>34</v>
      </c>
      <c r="K541" s="1096" t="s">
        <v>34</v>
      </c>
      <c r="L541" s="1096" t="s">
        <v>34</v>
      </c>
      <c r="M541" s="1097" t="s">
        <v>34</v>
      </c>
      <c r="N541" s="522">
        <v>0</v>
      </c>
      <c r="O541" s="523">
        <v>0</v>
      </c>
      <c r="P541" s="524">
        <v>0</v>
      </c>
      <c r="Q541" s="1018" t="s">
        <v>701</v>
      </c>
      <c r="R541" s="525">
        <v>0</v>
      </c>
      <c r="S541" s="524">
        <v>0</v>
      </c>
      <c r="T541" s="1017" t="s">
        <v>701</v>
      </c>
      <c r="U541" s="526" t="s">
        <v>784</v>
      </c>
      <c r="V541" s="524">
        <v>0</v>
      </c>
      <c r="W541" s="1010" t="s">
        <v>701</v>
      </c>
      <c r="X541" s="1015" t="s">
        <v>701</v>
      </c>
      <c r="Y541" s="527">
        <v>0</v>
      </c>
      <c r="Z541" s="1010" t="s">
        <v>701</v>
      </c>
      <c r="AA541" s="1102" t="s">
        <v>701</v>
      </c>
      <c r="AB541" s="1103" t="s">
        <v>701</v>
      </c>
      <c r="AC541" s="1099"/>
      <c r="AD541" s="1100">
        <v>0</v>
      </c>
      <c r="AE541" s="1107" t="s">
        <v>701</v>
      </c>
      <c r="AF541" s="1107" t="s">
        <v>701</v>
      </c>
      <c r="AG541" s="1107" t="s">
        <v>701</v>
      </c>
      <c r="AH541" s="1108" t="s">
        <v>701</v>
      </c>
      <c r="AI541" s="1106" t="s">
        <v>701</v>
      </c>
      <c r="AJ541" s="1040" t="s">
        <v>596</v>
      </c>
      <c r="AK541" s="906">
        <v>1</v>
      </c>
      <c r="AL541" s="49">
        <f t="shared" si="1345"/>
        <v>0</v>
      </c>
      <c r="AM541" s="907">
        <f t="shared" si="1346"/>
        <v>1.0506187499999999</v>
      </c>
    </row>
    <row r="542" spans="4:39" ht="11.25" customHeight="1" x14ac:dyDescent="0.2">
      <c r="D542" s="1092"/>
      <c r="E542" s="1093"/>
      <c r="F542" s="1093"/>
      <c r="G542" s="1093"/>
      <c r="H542" s="1094"/>
      <c r="I542" s="1095"/>
      <c r="J542" s="1096"/>
      <c r="K542" s="1096"/>
      <c r="L542" s="1096"/>
      <c r="M542" s="1097"/>
      <c r="N542" s="528">
        <v>0</v>
      </c>
      <c r="O542" s="529">
        <v>0</v>
      </c>
      <c r="P542" s="529">
        <v>0</v>
      </c>
      <c r="Q542" s="1019" t="s">
        <v>701</v>
      </c>
      <c r="R542" s="528">
        <v>0</v>
      </c>
      <c r="S542" s="529">
        <v>0</v>
      </c>
      <c r="T542" s="1011" t="s">
        <v>701</v>
      </c>
      <c r="U542" s="530">
        <v>0</v>
      </c>
      <c r="V542" s="529">
        <v>0</v>
      </c>
      <c r="W542" s="1011" t="s">
        <v>701</v>
      </c>
      <c r="X542" s="1016" t="s">
        <v>701</v>
      </c>
      <c r="Y542" s="531">
        <v>0</v>
      </c>
      <c r="Z542" s="1011" t="s">
        <v>701</v>
      </c>
      <c r="AA542" s="1102"/>
      <c r="AB542" s="1103"/>
      <c r="AC542" s="1099"/>
      <c r="AD542" s="1100"/>
      <c r="AE542" s="1107"/>
      <c r="AF542" s="1107"/>
      <c r="AG542" s="1107"/>
      <c r="AH542" s="1108"/>
      <c r="AI542" s="1106"/>
      <c r="AJ542" s="1041" t="s">
        <v>596</v>
      </c>
      <c r="AK542" s="906">
        <v>1</v>
      </c>
      <c r="AL542" s="49">
        <f t="shared" si="1345"/>
        <v>0</v>
      </c>
      <c r="AM542" s="907">
        <f t="shared" si="1346"/>
        <v>1.0506187499999999</v>
      </c>
    </row>
    <row r="543" spans="4:39" ht="11.25" customHeight="1" x14ac:dyDescent="0.2">
      <c r="D543" s="1092"/>
      <c r="E543" s="1093"/>
      <c r="F543" s="1093"/>
      <c r="G543" s="1093"/>
      <c r="H543" s="1094"/>
      <c r="I543" s="1095"/>
      <c r="J543" s="1096"/>
      <c r="K543" s="1096"/>
      <c r="L543" s="1096"/>
      <c r="M543" s="1097"/>
      <c r="N543" s="528">
        <v>0</v>
      </c>
      <c r="O543" s="529">
        <v>0</v>
      </c>
      <c r="P543" s="529">
        <v>0</v>
      </c>
      <c r="Q543" s="1019" t="s">
        <v>701</v>
      </c>
      <c r="R543" s="528">
        <v>0</v>
      </c>
      <c r="S543" s="529">
        <v>0</v>
      </c>
      <c r="T543" s="1011" t="s">
        <v>701</v>
      </c>
      <c r="U543" s="530">
        <v>0</v>
      </c>
      <c r="V543" s="529">
        <v>0</v>
      </c>
      <c r="W543" s="1011" t="s">
        <v>701</v>
      </c>
      <c r="X543" s="1016" t="s">
        <v>701</v>
      </c>
      <c r="Y543" s="529">
        <v>0</v>
      </c>
      <c r="Z543" s="1011" t="s">
        <v>701</v>
      </c>
      <c r="AA543" s="1102"/>
      <c r="AB543" s="1103"/>
      <c r="AC543" s="1099"/>
      <c r="AD543" s="1100"/>
      <c r="AE543" s="1107"/>
      <c r="AF543" s="1107"/>
      <c r="AG543" s="1107"/>
      <c r="AH543" s="1108"/>
      <c r="AI543" s="1106"/>
      <c r="AJ543" s="1041" t="s">
        <v>596</v>
      </c>
      <c r="AK543" s="906">
        <v>1</v>
      </c>
      <c r="AL543" s="49">
        <f t="shared" si="1345"/>
        <v>0</v>
      </c>
      <c r="AM543" s="907">
        <f t="shared" si="1346"/>
        <v>1.0506187499999999</v>
      </c>
    </row>
    <row r="544" spans="4:39" ht="11.25" customHeight="1" x14ac:dyDescent="0.2">
      <c r="D544" s="1092"/>
      <c r="E544" s="1093"/>
      <c r="F544" s="1093"/>
      <c r="G544" s="1093"/>
      <c r="H544" s="1094"/>
      <c r="I544" s="1095"/>
      <c r="J544" s="1096"/>
      <c r="K544" s="1096"/>
      <c r="L544" s="1096"/>
      <c r="M544" s="1097"/>
      <c r="N544" s="528">
        <v>0</v>
      </c>
      <c r="O544" s="529">
        <v>0</v>
      </c>
      <c r="P544" s="529">
        <v>0</v>
      </c>
      <c r="Q544" s="1019" t="s">
        <v>701</v>
      </c>
      <c r="R544" s="528">
        <v>0</v>
      </c>
      <c r="S544" s="529">
        <v>0</v>
      </c>
      <c r="T544" s="1011" t="s">
        <v>701</v>
      </c>
      <c r="U544" s="530">
        <v>0</v>
      </c>
      <c r="V544" s="529">
        <v>0</v>
      </c>
      <c r="W544" s="1011" t="s">
        <v>701</v>
      </c>
      <c r="X544" s="1016" t="s">
        <v>701</v>
      </c>
      <c r="Y544" s="529">
        <v>0</v>
      </c>
      <c r="Z544" s="1011" t="s">
        <v>701</v>
      </c>
      <c r="AA544" s="1102"/>
      <c r="AB544" s="1103"/>
      <c r="AC544" s="1099"/>
      <c r="AD544" s="1100"/>
      <c r="AE544" s="1107"/>
      <c r="AF544" s="1107"/>
      <c r="AG544" s="1107"/>
      <c r="AH544" s="1108"/>
      <c r="AI544" s="1106"/>
      <c r="AJ544" s="1041" t="s">
        <v>596</v>
      </c>
      <c r="AK544" s="906">
        <v>1</v>
      </c>
      <c r="AL544" s="49">
        <f t="shared" si="1345"/>
        <v>0</v>
      </c>
      <c r="AM544" s="907">
        <f t="shared" si="1346"/>
        <v>1.0506187499999999</v>
      </c>
    </row>
    <row r="545" spans="4:39" ht="11.25" customHeight="1" x14ac:dyDescent="0.2">
      <c r="D545" s="1092"/>
      <c r="E545" s="1093"/>
      <c r="F545" s="1093"/>
      <c r="G545" s="1093"/>
      <c r="H545" s="1094"/>
      <c r="I545" s="1095"/>
      <c r="J545" s="1096"/>
      <c r="K545" s="1096"/>
      <c r="L545" s="1096"/>
      <c r="M545" s="1097"/>
      <c r="N545" s="528">
        <v>0</v>
      </c>
      <c r="O545" s="529">
        <v>0</v>
      </c>
      <c r="P545" s="529">
        <v>0</v>
      </c>
      <c r="Q545" s="1019" t="s">
        <v>701</v>
      </c>
      <c r="R545" s="528">
        <v>0</v>
      </c>
      <c r="S545" s="529">
        <v>0</v>
      </c>
      <c r="T545" s="1011" t="s">
        <v>701</v>
      </c>
      <c r="U545" s="530">
        <v>0</v>
      </c>
      <c r="V545" s="529">
        <v>0</v>
      </c>
      <c r="W545" s="1011" t="s">
        <v>701</v>
      </c>
      <c r="X545" s="1016" t="s">
        <v>701</v>
      </c>
      <c r="Y545" s="529">
        <v>0</v>
      </c>
      <c r="Z545" s="1011" t="s">
        <v>701</v>
      </c>
      <c r="AA545" s="1102"/>
      <c r="AB545" s="1103"/>
      <c r="AC545" s="1099"/>
      <c r="AD545" s="1100"/>
      <c r="AE545" s="1107"/>
      <c r="AF545" s="1107"/>
      <c r="AG545" s="1107"/>
      <c r="AH545" s="1108"/>
      <c r="AI545" s="1106"/>
      <c r="AJ545" s="1041" t="s">
        <v>596</v>
      </c>
      <c r="AK545" s="906">
        <v>1</v>
      </c>
      <c r="AL545" s="49">
        <f t="shared" ref="AL545:AL608" si="1374">IF(AK545,0,1)</f>
        <v>0</v>
      </c>
      <c r="AM545" s="907">
        <f t="shared" ref="AM545:AM608" si="1375">AK545*$N$335+AL545*$O$345</f>
        <v>1.0506187499999999</v>
      </c>
    </row>
    <row r="546" spans="4:39" ht="11.25" customHeight="1" x14ac:dyDescent="0.2">
      <c r="D546" s="1092"/>
      <c r="E546" s="1093"/>
      <c r="F546" s="1093"/>
      <c r="G546" s="1093"/>
      <c r="H546" s="1094"/>
      <c r="I546" s="1095"/>
      <c r="J546" s="1096"/>
      <c r="K546" s="1096"/>
      <c r="L546" s="1096"/>
      <c r="M546" s="1097"/>
      <c r="N546" s="528">
        <v>0</v>
      </c>
      <c r="O546" s="529">
        <v>0</v>
      </c>
      <c r="P546" s="529">
        <v>0</v>
      </c>
      <c r="Q546" s="1019" t="s">
        <v>701</v>
      </c>
      <c r="R546" s="528">
        <v>0</v>
      </c>
      <c r="S546" s="529">
        <v>0</v>
      </c>
      <c r="T546" s="1011" t="s">
        <v>701</v>
      </c>
      <c r="U546" s="530">
        <v>0</v>
      </c>
      <c r="V546" s="529">
        <v>0</v>
      </c>
      <c r="W546" s="1011" t="s">
        <v>701</v>
      </c>
      <c r="X546" s="1016" t="s">
        <v>701</v>
      </c>
      <c r="Y546" s="529">
        <v>0</v>
      </c>
      <c r="Z546" s="1011" t="s">
        <v>701</v>
      </c>
      <c r="AA546" s="1102"/>
      <c r="AB546" s="1103"/>
      <c r="AC546" s="1099"/>
      <c r="AD546" s="1100"/>
      <c r="AE546" s="1107"/>
      <c r="AF546" s="1107"/>
      <c r="AG546" s="1107"/>
      <c r="AH546" s="1108"/>
      <c r="AI546" s="1106"/>
      <c r="AJ546" s="1041" t="s">
        <v>596</v>
      </c>
      <c r="AK546" s="906">
        <v>1</v>
      </c>
      <c r="AL546" s="49">
        <f t="shared" si="1374"/>
        <v>0</v>
      </c>
      <c r="AM546" s="907">
        <f t="shared" si="1375"/>
        <v>1.0506187499999999</v>
      </c>
    </row>
    <row r="547" spans="4:39" ht="11.25" customHeight="1" thickBot="1" x14ac:dyDescent="0.25">
      <c r="D547" s="532" t="s">
        <v>418</v>
      </c>
      <c r="E547" s="533"/>
      <c r="F547" s="534"/>
      <c r="G547" s="535"/>
      <c r="H547" s="535"/>
      <c r="I547" s="534"/>
      <c r="J547" s="535"/>
      <c r="K547" s="535"/>
      <c r="L547" s="535"/>
      <c r="M547" s="536"/>
      <c r="N547" s="537">
        <f>SUM(N541:N546)</f>
        <v>0</v>
      </c>
      <c r="O547" s="537">
        <f t="shared" ref="O547" si="1376">SUM(O541:O546)</f>
        <v>0</v>
      </c>
      <c r="P547" s="536"/>
      <c r="Q547" s="1020" t="s">
        <v>701</v>
      </c>
      <c r="R547" s="538"/>
      <c r="S547" s="539">
        <f t="shared" ref="S547" si="1377">SUM(S541:S546)</f>
        <v>0</v>
      </c>
      <c r="T547" s="1012" t="s">
        <v>701</v>
      </c>
      <c r="U547" s="538"/>
      <c r="V547" s="539">
        <f t="shared" ref="V547:Y547" si="1378">SUM(V541:V546)</f>
        <v>0</v>
      </c>
      <c r="W547" s="1012" t="s">
        <v>701</v>
      </c>
      <c r="X547" s="1012" t="s">
        <v>701</v>
      </c>
      <c r="Y547" s="539">
        <f t="shared" si="1378"/>
        <v>0</v>
      </c>
      <c r="Z547" s="1012" t="s">
        <v>701</v>
      </c>
      <c r="AA547" s="1012" t="s">
        <v>701</v>
      </c>
      <c r="AB547" s="1007" t="s">
        <v>701</v>
      </c>
      <c r="AC547" s="1013" t="s">
        <v>701</v>
      </c>
      <c r="AD547" s="540"/>
      <c r="AE547" s="1008" t="s">
        <v>701</v>
      </c>
      <c r="AF547" s="1008" t="s">
        <v>701</v>
      </c>
      <c r="AG547" s="1008" t="s">
        <v>701</v>
      </c>
      <c r="AH547" s="1008" t="s">
        <v>701</v>
      </c>
      <c r="AI547" s="1008" t="s">
        <v>701</v>
      </c>
      <c r="AJ547" s="1042" t="s">
        <v>596</v>
      </c>
      <c r="AK547" s="906">
        <v>1</v>
      </c>
      <c r="AL547" s="49">
        <f t="shared" si="1374"/>
        <v>0</v>
      </c>
      <c r="AM547" s="907">
        <f t="shared" si="1375"/>
        <v>1.0506187499999999</v>
      </c>
    </row>
    <row r="548" spans="4:39" ht="11.25" customHeight="1" x14ac:dyDescent="0.25">
      <c r="D548" s="1092" t="s">
        <v>762</v>
      </c>
      <c r="E548" s="1093" t="s">
        <v>718</v>
      </c>
      <c r="F548" s="1093">
        <v>1570</v>
      </c>
      <c r="G548" s="1093" t="s">
        <v>737</v>
      </c>
      <c r="H548" s="1094" t="s">
        <v>726</v>
      </c>
      <c r="I548" s="1095" t="s">
        <v>721</v>
      </c>
      <c r="J548" s="1096">
        <v>750</v>
      </c>
      <c r="K548" s="1096">
        <v>750</v>
      </c>
      <c r="L548" s="1096">
        <v>375</v>
      </c>
      <c r="M548" s="1097">
        <v>375</v>
      </c>
      <c r="N548" s="522">
        <v>0</v>
      </c>
      <c r="O548" s="523">
        <v>0</v>
      </c>
      <c r="P548" s="524">
        <v>0</v>
      </c>
      <c r="Q548" s="1018" t="s">
        <v>701</v>
      </c>
      <c r="R548" s="525">
        <v>0</v>
      </c>
      <c r="S548" s="524">
        <v>0</v>
      </c>
      <c r="T548" s="1017" t="s">
        <v>701</v>
      </c>
      <c r="U548" s="526">
        <v>0</v>
      </c>
      <c r="V548" s="524">
        <v>0</v>
      </c>
      <c r="W548" s="1010" t="s">
        <v>701</v>
      </c>
      <c r="X548" s="1015" t="s">
        <v>701</v>
      </c>
      <c r="Y548" s="527">
        <v>0</v>
      </c>
      <c r="Z548" s="1010" t="s">
        <v>701</v>
      </c>
      <c r="AA548" s="1102" t="s">
        <v>701</v>
      </c>
      <c r="AB548" s="1103" t="s">
        <v>701</v>
      </c>
      <c r="AC548" s="1099"/>
      <c r="AD548" s="1100">
        <v>0</v>
      </c>
      <c r="AE548" s="1107" t="s">
        <v>701</v>
      </c>
      <c r="AF548" s="1107" t="s">
        <v>701</v>
      </c>
      <c r="AG548" s="1107" t="s">
        <v>701</v>
      </c>
      <c r="AH548" s="1108" t="s">
        <v>701</v>
      </c>
      <c r="AI548" s="1106" t="s">
        <v>701</v>
      </c>
      <c r="AJ548" s="1040" t="s">
        <v>596</v>
      </c>
      <c r="AK548" s="906">
        <v>1</v>
      </c>
      <c r="AL548" s="49">
        <f t="shared" si="1374"/>
        <v>0</v>
      </c>
      <c r="AM548" s="907">
        <f t="shared" si="1375"/>
        <v>1.0506187499999999</v>
      </c>
    </row>
    <row r="549" spans="4:39" ht="11.25" customHeight="1" x14ac:dyDescent="0.2">
      <c r="D549" s="1092"/>
      <c r="E549" s="1093"/>
      <c r="F549" s="1093"/>
      <c r="G549" s="1093"/>
      <c r="H549" s="1094"/>
      <c r="I549" s="1095"/>
      <c r="J549" s="1096"/>
      <c r="K549" s="1096"/>
      <c r="L549" s="1096"/>
      <c r="M549" s="1097"/>
      <c r="N549" s="528">
        <v>0</v>
      </c>
      <c r="O549" s="529">
        <v>0</v>
      </c>
      <c r="P549" s="529">
        <v>0</v>
      </c>
      <c r="Q549" s="1019" t="s">
        <v>701</v>
      </c>
      <c r="R549" s="528">
        <v>0</v>
      </c>
      <c r="S549" s="529">
        <v>0</v>
      </c>
      <c r="T549" s="1011" t="s">
        <v>701</v>
      </c>
      <c r="U549" s="530">
        <v>0</v>
      </c>
      <c r="V549" s="529">
        <v>0</v>
      </c>
      <c r="W549" s="1011" t="s">
        <v>701</v>
      </c>
      <c r="X549" s="1016" t="s">
        <v>701</v>
      </c>
      <c r="Y549" s="531">
        <v>0</v>
      </c>
      <c r="Z549" s="1011" t="s">
        <v>701</v>
      </c>
      <c r="AA549" s="1102"/>
      <c r="AB549" s="1103"/>
      <c r="AC549" s="1099"/>
      <c r="AD549" s="1100"/>
      <c r="AE549" s="1107"/>
      <c r="AF549" s="1107"/>
      <c r="AG549" s="1107"/>
      <c r="AH549" s="1108"/>
      <c r="AI549" s="1106"/>
      <c r="AJ549" s="1041" t="s">
        <v>596</v>
      </c>
      <c r="AK549" s="906">
        <v>1</v>
      </c>
      <c r="AL549" s="49">
        <f t="shared" si="1374"/>
        <v>0</v>
      </c>
      <c r="AM549" s="907">
        <f t="shared" si="1375"/>
        <v>1.0506187499999999</v>
      </c>
    </row>
    <row r="550" spans="4:39" ht="11.25" customHeight="1" x14ac:dyDescent="0.2">
      <c r="D550" s="1092"/>
      <c r="E550" s="1093"/>
      <c r="F550" s="1093"/>
      <c r="G550" s="1093"/>
      <c r="H550" s="1094"/>
      <c r="I550" s="1095"/>
      <c r="J550" s="1096"/>
      <c r="K550" s="1096"/>
      <c r="L550" s="1096"/>
      <c r="M550" s="1097"/>
      <c r="N550" s="528">
        <v>0</v>
      </c>
      <c r="O550" s="529">
        <v>0</v>
      </c>
      <c r="P550" s="529">
        <v>0</v>
      </c>
      <c r="Q550" s="1019" t="s">
        <v>701</v>
      </c>
      <c r="R550" s="528">
        <v>0</v>
      </c>
      <c r="S550" s="529">
        <v>0</v>
      </c>
      <c r="T550" s="1011" t="s">
        <v>701</v>
      </c>
      <c r="U550" s="530">
        <v>0</v>
      </c>
      <c r="V550" s="529">
        <v>0</v>
      </c>
      <c r="W550" s="1011" t="s">
        <v>701</v>
      </c>
      <c r="X550" s="1016" t="s">
        <v>701</v>
      </c>
      <c r="Y550" s="529">
        <v>0</v>
      </c>
      <c r="Z550" s="1011" t="s">
        <v>701</v>
      </c>
      <c r="AA550" s="1102"/>
      <c r="AB550" s="1103"/>
      <c r="AC550" s="1099"/>
      <c r="AD550" s="1100"/>
      <c r="AE550" s="1107"/>
      <c r="AF550" s="1107"/>
      <c r="AG550" s="1107"/>
      <c r="AH550" s="1108"/>
      <c r="AI550" s="1106"/>
      <c r="AJ550" s="1041" t="s">
        <v>596</v>
      </c>
      <c r="AK550" s="906">
        <v>1</v>
      </c>
      <c r="AL550" s="49">
        <f t="shared" si="1374"/>
        <v>0</v>
      </c>
      <c r="AM550" s="907">
        <f t="shared" si="1375"/>
        <v>1.0506187499999999</v>
      </c>
    </row>
    <row r="551" spans="4:39" ht="11.25" customHeight="1" x14ac:dyDescent="0.2">
      <c r="D551" s="1092"/>
      <c r="E551" s="1093"/>
      <c r="F551" s="1093"/>
      <c r="G551" s="1093"/>
      <c r="H551" s="1094"/>
      <c r="I551" s="1095"/>
      <c r="J551" s="1096"/>
      <c r="K551" s="1096"/>
      <c r="L551" s="1096"/>
      <c r="M551" s="1097"/>
      <c r="N551" s="528">
        <v>0</v>
      </c>
      <c r="O551" s="529">
        <v>0</v>
      </c>
      <c r="P551" s="529">
        <v>0</v>
      </c>
      <c r="Q551" s="1019" t="s">
        <v>701</v>
      </c>
      <c r="R551" s="528">
        <v>0</v>
      </c>
      <c r="S551" s="529">
        <v>0</v>
      </c>
      <c r="T551" s="1011" t="s">
        <v>701</v>
      </c>
      <c r="U551" s="530">
        <v>0</v>
      </c>
      <c r="V551" s="529">
        <v>0</v>
      </c>
      <c r="W551" s="1011" t="s">
        <v>701</v>
      </c>
      <c r="X551" s="1016" t="s">
        <v>701</v>
      </c>
      <c r="Y551" s="529">
        <v>0</v>
      </c>
      <c r="Z551" s="1011" t="s">
        <v>701</v>
      </c>
      <c r="AA551" s="1102"/>
      <c r="AB551" s="1103"/>
      <c r="AC551" s="1099"/>
      <c r="AD551" s="1100"/>
      <c r="AE551" s="1107"/>
      <c r="AF551" s="1107"/>
      <c r="AG551" s="1107"/>
      <c r="AH551" s="1108"/>
      <c r="AI551" s="1106"/>
      <c r="AJ551" s="1041" t="s">
        <v>596</v>
      </c>
      <c r="AK551" s="906">
        <v>1</v>
      </c>
      <c r="AL551" s="49">
        <f t="shared" si="1374"/>
        <v>0</v>
      </c>
      <c r="AM551" s="907">
        <f t="shared" si="1375"/>
        <v>1.0506187499999999</v>
      </c>
    </row>
    <row r="552" spans="4:39" ht="11.25" customHeight="1" x14ac:dyDescent="0.2">
      <c r="D552" s="1092"/>
      <c r="E552" s="1093"/>
      <c r="F552" s="1093"/>
      <c r="G552" s="1093"/>
      <c r="H552" s="1094"/>
      <c r="I552" s="1095"/>
      <c r="J552" s="1096"/>
      <c r="K552" s="1096"/>
      <c r="L552" s="1096"/>
      <c r="M552" s="1097"/>
      <c r="N552" s="528">
        <v>0</v>
      </c>
      <c r="O552" s="529">
        <v>0</v>
      </c>
      <c r="P552" s="529">
        <v>0</v>
      </c>
      <c r="Q552" s="1019" t="s">
        <v>701</v>
      </c>
      <c r="R552" s="528">
        <v>0</v>
      </c>
      <c r="S552" s="529">
        <v>0</v>
      </c>
      <c r="T552" s="1011" t="s">
        <v>701</v>
      </c>
      <c r="U552" s="530">
        <v>0</v>
      </c>
      <c r="V552" s="529">
        <v>0</v>
      </c>
      <c r="W552" s="1011" t="s">
        <v>701</v>
      </c>
      <c r="X552" s="1016" t="s">
        <v>701</v>
      </c>
      <c r="Y552" s="529">
        <v>0</v>
      </c>
      <c r="Z552" s="1011" t="s">
        <v>701</v>
      </c>
      <c r="AA552" s="1102"/>
      <c r="AB552" s="1103"/>
      <c r="AC552" s="1099"/>
      <c r="AD552" s="1100"/>
      <c r="AE552" s="1107"/>
      <c r="AF552" s="1107"/>
      <c r="AG552" s="1107"/>
      <c r="AH552" s="1108"/>
      <c r="AI552" s="1106"/>
      <c r="AJ552" s="1041" t="s">
        <v>596</v>
      </c>
      <c r="AK552" s="906">
        <v>1</v>
      </c>
      <c r="AL552" s="49">
        <f t="shared" si="1374"/>
        <v>0</v>
      </c>
      <c r="AM552" s="907">
        <f t="shared" si="1375"/>
        <v>1.0506187499999999</v>
      </c>
    </row>
    <row r="553" spans="4:39" ht="11.25" customHeight="1" x14ac:dyDescent="0.2">
      <c r="D553" s="1092"/>
      <c r="E553" s="1093"/>
      <c r="F553" s="1093"/>
      <c r="G553" s="1093"/>
      <c r="H553" s="1094"/>
      <c r="I553" s="1095"/>
      <c r="J553" s="1096"/>
      <c r="K553" s="1096"/>
      <c r="L553" s="1096"/>
      <c r="M553" s="1097"/>
      <c r="N553" s="528">
        <v>0</v>
      </c>
      <c r="O553" s="529">
        <v>0</v>
      </c>
      <c r="P553" s="529">
        <v>0</v>
      </c>
      <c r="Q553" s="1019" t="s">
        <v>701</v>
      </c>
      <c r="R553" s="528">
        <v>0</v>
      </c>
      <c r="S553" s="529">
        <v>0</v>
      </c>
      <c r="T553" s="1011" t="s">
        <v>701</v>
      </c>
      <c r="U553" s="530">
        <v>0</v>
      </c>
      <c r="V553" s="529">
        <v>0</v>
      </c>
      <c r="W553" s="1011" t="s">
        <v>701</v>
      </c>
      <c r="X553" s="1016" t="s">
        <v>701</v>
      </c>
      <c r="Y553" s="529">
        <v>0</v>
      </c>
      <c r="Z553" s="1011" t="s">
        <v>701</v>
      </c>
      <c r="AA553" s="1102"/>
      <c r="AB553" s="1103"/>
      <c r="AC553" s="1099"/>
      <c r="AD553" s="1100"/>
      <c r="AE553" s="1107"/>
      <c r="AF553" s="1107"/>
      <c r="AG553" s="1107"/>
      <c r="AH553" s="1108"/>
      <c r="AI553" s="1106"/>
      <c r="AJ553" s="1041" t="s">
        <v>596</v>
      </c>
      <c r="AK553" s="906">
        <v>1</v>
      </c>
      <c r="AL553" s="49">
        <f t="shared" si="1374"/>
        <v>0</v>
      </c>
      <c r="AM553" s="907">
        <f t="shared" si="1375"/>
        <v>1.0506187499999999</v>
      </c>
    </row>
    <row r="554" spans="4:39" ht="11.25" customHeight="1" thickBot="1" x14ac:dyDescent="0.25">
      <c r="D554" s="532" t="s">
        <v>418</v>
      </c>
      <c r="E554" s="533"/>
      <c r="F554" s="534"/>
      <c r="G554" s="535"/>
      <c r="H554" s="535"/>
      <c r="I554" s="534"/>
      <c r="J554" s="535"/>
      <c r="K554" s="535"/>
      <c r="L554" s="535"/>
      <c r="M554" s="536"/>
      <c r="N554" s="537">
        <f>SUM(N548:N553)</f>
        <v>0</v>
      </c>
      <c r="O554" s="537">
        <f t="shared" ref="O554" si="1379">SUM(O548:O553)</f>
        <v>0</v>
      </c>
      <c r="P554" s="536"/>
      <c r="Q554" s="1020" t="s">
        <v>701</v>
      </c>
      <c r="R554" s="538"/>
      <c r="S554" s="539">
        <f t="shared" ref="S554" si="1380">SUM(S548:S553)</f>
        <v>0</v>
      </c>
      <c r="T554" s="1012" t="s">
        <v>701</v>
      </c>
      <c r="U554" s="538"/>
      <c r="V554" s="539">
        <f t="shared" ref="V554:Y554" si="1381">SUM(V548:V553)</f>
        <v>0</v>
      </c>
      <c r="W554" s="1012" t="s">
        <v>701</v>
      </c>
      <c r="X554" s="1012" t="s">
        <v>701</v>
      </c>
      <c r="Y554" s="539">
        <f t="shared" si="1381"/>
        <v>0</v>
      </c>
      <c r="Z554" s="1012" t="s">
        <v>701</v>
      </c>
      <c r="AA554" s="1012" t="s">
        <v>701</v>
      </c>
      <c r="AB554" s="1007" t="s">
        <v>701</v>
      </c>
      <c r="AC554" s="1013" t="s">
        <v>701</v>
      </c>
      <c r="AD554" s="540"/>
      <c r="AE554" s="1008" t="s">
        <v>701</v>
      </c>
      <c r="AF554" s="1008" t="s">
        <v>701</v>
      </c>
      <c r="AG554" s="1008" t="s">
        <v>701</v>
      </c>
      <c r="AH554" s="1008" t="s">
        <v>701</v>
      </c>
      <c r="AI554" s="1008" t="s">
        <v>701</v>
      </c>
      <c r="AJ554" s="1042" t="s">
        <v>596</v>
      </c>
      <c r="AK554" s="906">
        <v>1</v>
      </c>
      <c r="AL554" s="49">
        <f t="shared" si="1374"/>
        <v>0</v>
      </c>
      <c r="AM554" s="907">
        <f t="shared" si="1375"/>
        <v>1.0506187499999999</v>
      </c>
    </row>
    <row r="555" spans="4:39" ht="11.25" customHeight="1" x14ac:dyDescent="0.25">
      <c r="D555" s="1092" t="s">
        <v>763</v>
      </c>
      <c r="E555" s="1093" t="s">
        <v>718</v>
      </c>
      <c r="F555" s="1093">
        <v>2148</v>
      </c>
      <c r="G555" s="1093" t="s">
        <v>723</v>
      </c>
      <c r="H555" s="1094" t="s">
        <v>726</v>
      </c>
      <c r="I555" s="1095" t="s">
        <v>721</v>
      </c>
      <c r="J555" s="1096">
        <v>375</v>
      </c>
      <c r="K555" s="1096">
        <v>375</v>
      </c>
      <c r="L555" s="1096">
        <v>0</v>
      </c>
      <c r="M555" s="1097">
        <v>0</v>
      </c>
      <c r="N555" s="522">
        <v>0</v>
      </c>
      <c r="O555" s="523">
        <v>0</v>
      </c>
      <c r="P555" s="524">
        <v>0</v>
      </c>
      <c r="Q555" s="1018" t="s">
        <v>701</v>
      </c>
      <c r="R555" s="525">
        <v>0</v>
      </c>
      <c r="S555" s="524">
        <v>0</v>
      </c>
      <c r="T555" s="1017" t="s">
        <v>701</v>
      </c>
      <c r="U555" s="526" t="s">
        <v>785</v>
      </c>
      <c r="V555" s="524">
        <v>9</v>
      </c>
      <c r="W555" s="1010" t="s">
        <v>701</v>
      </c>
      <c r="X555" s="1015" t="s">
        <v>701</v>
      </c>
      <c r="Y555" s="527">
        <v>27381</v>
      </c>
      <c r="Z555" s="1010" t="s">
        <v>701</v>
      </c>
      <c r="AA555" s="1102" t="s">
        <v>701</v>
      </c>
      <c r="AB555" s="1103" t="s">
        <v>701</v>
      </c>
      <c r="AC555" s="1099"/>
      <c r="AD555" s="1100">
        <v>0</v>
      </c>
      <c r="AE555" s="1107" t="s">
        <v>701</v>
      </c>
      <c r="AF555" s="1107" t="s">
        <v>701</v>
      </c>
      <c r="AG555" s="1107" t="s">
        <v>701</v>
      </c>
      <c r="AH555" s="1108" t="s">
        <v>701</v>
      </c>
      <c r="AI555" s="1106" t="s">
        <v>701</v>
      </c>
      <c r="AJ555" s="1040" t="s">
        <v>596</v>
      </c>
      <c r="AK555" s="906">
        <v>1</v>
      </c>
      <c r="AL555" s="49">
        <f t="shared" si="1374"/>
        <v>0</v>
      </c>
      <c r="AM555" s="907">
        <f t="shared" si="1375"/>
        <v>1.0506187499999999</v>
      </c>
    </row>
    <row r="556" spans="4:39" ht="11.25" customHeight="1" x14ac:dyDescent="0.2">
      <c r="D556" s="1092"/>
      <c r="E556" s="1093"/>
      <c r="F556" s="1093"/>
      <c r="G556" s="1093"/>
      <c r="H556" s="1094"/>
      <c r="I556" s="1095"/>
      <c r="J556" s="1096"/>
      <c r="K556" s="1096"/>
      <c r="L556" s="1096"/>
      <c r="M556" s="1097"/>
      <c r="N556" s="528">
        <v>0</v>
      </c>
      <c r="O556" s="529">
        <v>0</v>
      </c>
      <c r="P556" s="529">
        <v>0</v>
      </c>
      <c r="Q556" s="1019" t="s">
        <v>701</v>
      </c>
      <c r="R556" s="528">
        <v>0</v>
      </c>
      <c r="S556" s="529">
        <v>0</v>
      </c>
      <c r="T556" s="1011" t="s">
        <v>701</v>
      </c>
      <c r="U556" s="530">
        <v>0</v>
      </c>
      <c r="V556" s="529">
        <v>0</v>
      </c>
      <c r="W556" s="1011" t="s">
        <v>701</v>
      </c>
      <c r="X556" s="1016" t="s">
        <v>701</v>
      </c>
      <c r="Y556" s="531">
        <v>0</v>
      </c>
      <c r="Z556" s="1011" t="s">
        <v>701</v>
      </c>
      <c r="AA556" s="1102"/>
      <c r="AB556" s="1103"/>
      <c r="AC556" s="1099"/>
      <c r="AD556" s="1100"/>
      <c r="AE556" s="1107"/>
      <c r="AF556" s="1107"/>
      <c r="AG556" s="1107"/>
      <c r="AH556" s="1108"/>
      <c r="AI556" s="1106"/>
      <c r="AJ556" s="1041" t="s">
        <v>596</v>
      </c>
      <c r="AK556" s="906">
        <v>1</v>
      </c>
      <c r="AL556" s="49">
        <f t="shared" si="1374"/>
        <v>0</v>
      </c>
      <c r="AM556" s="907">
        <f t="shared" si="1375"/>
        <v>1.0506187499999999</v>
      </c>
    </row>
    <row r="557" spans="4:39" ht="11.25" customHeight="1" x14ac:dyDescent="0.2">
      <c r="D557" s="1092"/>
      <c r="E557" s="1093"/>
      <c r="F557" s="1093"/>
      <c r="G557" s="1093"/>
      <c r="H557" s="1094"/>
      <c r="I557" s="1095"/>
      <c r="J557" s="1096"/>
      <c r="K557" s="1096"/>
      <c r="L557" s="1096"/>
      <c r="M557" s="1097"/>
      <c r="N557" s="528">
        <v>0</v>
      </c>
      <c r="O557" s="529">
        <v>0</v>
      </c>
      <c r="P557" s="529">
        <v>0</v>
      </c>
      <c r="Q557" s="1019" t="s">
        <v>701</v>
      </c>
      <c r="R557" s="528">
        <v>0</v>
      </c>
      <c r="S557" s="529">
        <v>0</v>
      </c>
      <c r="T557" s="1011" t="s">
        <v>701</v>
      </c>
      <c r="U557" s="530">
        <v>0</v>
      </c>
      <c r="V557" s="529">
        <v>0</v>
      </c>
      <c r="W557" s="1011" t="s">
        <v>701</v>
      </c>
      <c r="X557" s="1016" t="s">
        <v>701</v>
      </c>
      <c r="Y557" s="529">
        <v>0</v>
      </c>
      <c r="Z557" s="1011" t="s">
        <v>701</v>
      </c>
      <c r="AA557" s="1102"/>
      <c r="AB557" s="1103"/>
      <c r="AC557" s="1099"/>
      <c r="AD557" s="1100"/>
      <c r="AE557" s="1107"/>
      <c r="AF557" s="1107"/>
      <c r="AG557" s="1107"/>
      <c r="AH557" s="1108"/>
      <c r="AI557" s="1106"/>
      <c r="AJ557" s="1041" t="s">
        <v>596</v>
      </c>
      <c r="AK557" s="906">
        <v>1</v>
      </c>
      <c r="AL557" s="49">
        <f t="shared" si="1374"/>
        <v>0</v>
      </c>
      <c r="AM557" s="907">
        <f t="shared" si="1375"/>
        <v>1.0506187499999999</v>
      </c>
    </row>
    <row r="558" spans="4:39" ht="11.25" customHeight="1" x14ac:dyDescent="0.2">
      <c r="D558" s="1092"/>
      <c r="E558" s="1093"/>
      <c r="F558" s="1093"/>
      <c r="G558" s="1093"/>
      <c r="H558" s="1094"/>
      <c r="I558" s="1095"/>
      <c r="J558" s="1096"/>
      <c r="K558" s="1096"/>
      <c r="L558" s="1096"/>
      <c r="M558" s="1097"/>
      <c r="N558" s="528">
        <v>0</v>
      </c>
      <c r="O558" s="529">
        <v>0</v>
      </c>
      <c r="P558" s="529">
        <v>0</v>
      </c>
      <c r="Q558" s="1019" t="s">
        <v>701</v>
      </c>
      <c r="R558" s="528">
        <v>0</v>
      </c>
      <c r="S558" s="529">
        <v>0</v>
      </c>
      <c r="T558" s="1011" t="s">
        <v>701</v>
      </c>
      <c r="U558" s="530">
        <v>0</v>
      </c>
      <c r="V558" s="529">
        <v>0</v>
      </c>
      <c r="W558" s="1011" t="s">
        <v>701</v>
      </c>
      <c r="X558" s="1016" t="s">
        <v>701</v>
      </c>
      <c r="Y558" s="529">
        <v>0</v>
      </c>
      <c r="Z558" s="1011" t="s">
        <v>701</v>
      </c>
      <c r="AA558" s="1102"/>
      <c r="AB558" s="1103"/>
      <c r="AC558" s="1099"/>
      <c r="AD558" s="1100"/>
      <c r="AE558" s="1107"/>
      <c r="AF558" s="1107"/>
      <c r="AG558" s="1107"/>
      <c r="AH558" s="1108"/>
      <c r="AI558" s="1106"/>
      <c r="AJ558" s="1041" t="s">
        <v>596</v>
      </c>
      <c r="AK558" s="906">
        <v>1</v>
      </c>
      <c r="AL558" s="49">
        <f t="shared" si="1374"/>
        <v>0</v>
      </c>
      <c r="AM558" s="907">
        <f t="shared" si="1375"/>
        <v>1.0506187499999999</v>
      </c>
    </row>
    <row r="559" spans="4:39" ht="11.25" customHeight="1" x14ac:dyDescent="0.2">
      <c r="D559" s="1092"/>
      <c r="E559" s="1093"/>
      <c r="F559" s="1093"/>
      <c r="G559" s="1093"/>
      <c r="H559" s="1094"/>
      <c r="I559" s="1095"/>
      <c r="J559" s="1096"/>
      <c r="K559" s="1096"/>
      <c r="L559" s="1096"/>
      <c r="M559" s="1097"/>
      <c r="N559" s="528">
        <v>0</v>
      </c>
      <c r="O559" s="529">
        <v>0</v>
      </c>
      <c r="P559" s="529">
        <v>0</v>
      </c>
      <c r="Q559" s="1019" t="s">
        <v>701</v>
      </c>
      <c r="R559" s="528">
        <v>0</v>
      </c>
      <c r="S559" s="529">
        <v>0</v>
      </c>
      <c r="T559" s="1011" t="s">
        <v>701</v>
      </c>
      <c r="U559" s="530">
        <v>0</v>
      </c>
      <c r="V559" s="529">
        <v>0</v>
      </c>
      <c r="W559" s="1011" t="s">
        <v>701</v>
      </c>
      <c r="X559" s="1016" t="s">
        <v>701</v>
      </c>
      <c r="Y559" s="529">
        <v>0</v>
      </c>
      <c r="Z559" s="1011" t="s">
        <v>701</v>
      </c>
      <c r="AA559" s="1102"/>
      <c r="AB559" s="1103"/>
      <c r="AC559" s="1099"/>
      <c r="AD559" s="1100"/>
      <c r="AE559" s="1107"/>
      <c r="AF559" s="1107"/>
      <c r="AG559" s="1107"/>
      <c r="AH559" s="1108"/>
      <c r="AI559" s="1106"/>
      <c r="AJ559" s="1041" t="s">
        <v>596</v>
      </c>
      <c r="AK559" s="906">
        <v>1</v>
      </c>
      <c r="AL559" s="49">
        <f t="shared" si="1374"/>
        <v>0</v>
      </c>
      <c r="AM559" s="907">
        <f t="shared" si="1375"/>
        <v>1.0506187499999999</v>
      </c>
    </row>
    <row r="560" spans="4:39" ht="11.25" customHeight="1" x14ac:dyDescent="0.2">
      <c r="D560" s="1092"/>
      <c r="E560" s="1093"/>
      <c r="F560" s="1093"/>
      <c r="G560" s="1093"/>
      <c r="H560" s="1094"/>
      <c r="I560" s="1095"/>
      <c r="J560" s="1096"/>
      <c r="K560" s="1096"/>
      <c r="L560" s="1096"/>
      <c r="M560" s="1097"/>
      <c r="N560" s="528">
        <v>0</v>
      </c>
      <c r="O560" s="529">
        <v>0</v>
      </c>
      <c r="P560" s="529">
        <v>0</v>
      </c>
      <c r="Q560" s="1019" t="s">
        <v>701</v>
      </c>
      <c r="R560" s="528">
        <v>0</v>
      </c>
      <c r="S560" s="529">
        <v>0</v>
      </c>
      <c r="T560" s="1011" t="s">
        <v>701</v>
      </c>
      <c r="U560" s="530">
        <v>0</v>
      </c>
      <c r="V560" s="529">
        <v>0</v>
      </c>
      <c r="W560" s="1011" t="s">
        <v>701</v>
      </c>
      <c r="X560" s="1016" t="s">
        <v>701</v>
      </c>
      <c r="Y560" s="529">
        <v>0</v>
      </c>
      <c r="Z560" s="1011" t="s">
        <v>701</v>
      </c>
      <c r="AA560" s="1102"/>
      <c r="AB560" s="1103"/>
      <c r="AC560" s="1099"/>
      <c r="AD560" s="1100"/>
      <c r="AE560" s="1107"/>
      <c r="AF560" s="1107"/>
      <c r="AG560" s="1107"/>
      <c r="AH560" s="1108"/>
      <c r="AI560" s="1106"/>
      <c r="AJ560" s="1041" t="s">
        <v>596</v>
      </c>
      <c r="AK560" s="906">
        <v>1</v>
      </c>
      <c r="AL560" s="49">
        <f t="shared" si="1374"/>
        <v>0</v>
      </c>
      <c r="AM560" s="907">
        <f t="shared" si="1375"/>
        <v>1.0506187499999999</v>
      </c>
    </row>
    <row r="561" spans="4:39" ht="11.25" customHeight="1" thickBot="1" x14ac:dyDescent="0.25">
      <c r="D561" s="532" t="s">
        <v>418</v>
      </c>
      <c r="E561" s="533"/>
      <c r="F561" s="534"/>
      <c r="G561" s="535"/>
      <c r="H561" s="535"/>
      <c r="I561" s="534"/>
      <c r="J561" s="535"/>
      <c r="K561" s="535"/>
      <c r="L561" s="535"/>
      <c r="M561" s="536"/>
      <c r="N561" s="537">
        <f>SUM(N555:N560)</f>
        <v>0</v>
      </c>
      <c r="O561" s="537">
        <f t="shared" ref="O561" si="1382">SUM(O555:O560)</f>
        <v>0</v>
      </c>
      <c r="P561" s="536"/>
      <c r="Q561" s="1020" t="s">
        <v>701</v>
      </c>
      <c r="R561" s="538"/>
      <c r="S561" s="539">
        <f t="shared" ref="S561" si="1383">SUM(S555:S560)</f>
        <v>0</v>
      </c>
      <c r="T561" s="1012" t="s">
        <v>701</v>
      </c>
      <c r="U561" s="538"/>
      <c r="V561" s="539">
        <f t="shared" ref="V561:Y561" si="1384">SUM(V555:V560)</f>
        <v>9</v>
      </c>
      <c r="W561" s="1012" t="s">
        <v>701</v>
      </c>
      <c r="X561" s="1012" t="s">
        <v>701</v>
      </c>
      <c r="Y561" s="539">
        <f t="shared" si="1384"/>
        <v>27381</v>
      </c>
      <c r="Z561" s="1012" t="s">
        <v>701</v>
      </c>
      <c r="AA561" s="1012" t="s">
        <v>701</v>
      </c>
      <c r="AB561" s="1007" t="s">
        <v>701</v>
      </c>
      <c r="AC561" s="1013" t="s">
        <v>701</v>
      </c>
      <c r="AD561" s="540"/>
      <c r="AE561" s="1008" t="s">
        <v>701</v>
      </c>
      <c r="AF561" s="1008" t="s">
        <v>701</v>
      </c>
      <c r="AG561" s="1008" t="s">
        <v>701</v>
      </c>
      <c r="AH561" s="1008" t="s">
        <v>701</v>
      </c>
      <c r="AI561" s="1008" t="s">
        <v>701</v>
      </c>
      <c r="AJ561" s="1042" t="s">
        <v>596</v>
      </c>
      <c r="AK561" s="906">
        <v>1</v>
      </c>
      <c r="AL561" s="49">
        <f t="shared" si="1374"/>
        <v>0</v>
      </c>
      <c r="AM561" s="907">
        <f t="shared" si="1375"/>
        <v>1.0506187499999999</v>
      </c>
    </row>
    <row r="562" spans="4:39" ht="11.25" customHeight="1" x14ac:dyDescent="0.25">
      <c r="D562" s="1092" t="s">
        <v>764</v>
      </c>
      <c r="E562" s="1093" t="s">
        <v>718</v>
      </c>
      <c r="F562" s="1093">
        <v>2148</v>
      </c>
      <c r="G562" s="1093" t="s">
        <v>723</v>
      </c>
      <c r="H562" s="1094" t="s">
        <v>726</v>
      </c>
      <c r="I562" s="1095" t="s">
        <v>721</v>
      </c>
      <c r="J562" s="1096">
        <v>400</v>
      </c>
      <c r="K562" s="1096">
        <v>400</v>
      </c>
      <c r="L562" s="1096">
        <v>200</v>
      </c>
      <c r="M562" s="1097">
        <v>200</v>
      </c>
      <c r="N562" s="522">
        <v>0</v>
      </c>
      <c r="O562" s="523">
        <v>0</v>
      </c>
      <c r="P562" s="524">
        <v>0</v>
      </c>
      <c r="Q562" s="1018" t="s">
        <v>701</v>
      </c>
      <c r="R562" s="525">
        <v>0</v>
      </c>
      <c r="S562" s="524">
        <v>0</v>
      </c>
      <c r="T562" s="1017" t="s">
        <v>701</v>
      </c>
      <c r="U562" s="526" t="s">
        <v>785</v>
      </c>
      <c r="V562" s="524">
        <v>6</v>
      </c>
      <c r="W562" s="1010" t="s">
        <v>701</v>
      </c>
      <c r="X562" s="1015" t="s">
        <v>701</v>
      </c>
      <c r="Y562" s="527">
        <v>900</v>
      </c>
      <c r="Z562" s="1010" t="s">
        <v>701</v>
      </c>
      <c r="AA562" s="1102" t="s">
        <v>701</v>
      </c>
      <c r="AB562" s="1103" t="s">
        <v>701</v>
      </c>
      <c r="AC562" s="1099"/>
      <c r="AD562" s="1100">
        <v>0</v>
      </c>
      <c r="AE562" s="1107" t="s">
        <v>701</v>
      </c>
      <c r="AF562" s="1107" t="s">
        <v>701</v>
      </c>
      <c r="AG562" s="1107" t="s">
        <v>701</v>
      </c>
      <c r="AH562" s="1108" t="s">
        <v>701</v>
      </c>
      <c r="AI562" s="1106" t="s">
        <v>701</v>
      </c>
      <c r="AJ562" s="1040" t="s">
        <v>596</v>
      </c>
      <c r="AK562" s="906">
        <v>1</v>
      </c>
      <c r="AL562" s="49">
        <f t="shared" si="1374"/>
        <v>0</v>
      </c>
      <c r="AM562" s="907">
        <f t="shared" si="1375"/>
        <v>1.0506187499999999</v>
      </c>
    </row>
    <row r="563" spans="4:39" ht="11.25" customHeight="1" x14ac:dyDescent="0.2">
      <c r="D563" s="1092"/>
      <c r="E563" s="1093"/>
      <c r="F563" s="1093"/>
      <c r="G563" s="1093"/>
      <c r="H563" s="1094"/>
      <c r="I563" s="1095"/>
      <c r="J563" s="1096"/>
      <c r="K563" s="1096"/>
      <c r="L563" s="1096"/>
      <c r="M563" s="1097"/>
      <c r="N563" s="528">
        <v>0</v>
      </c>
      <c r="O563" s="529">
        <v>0</v>
      </c>
      <c r="P563" s="529">
        <v>0</v>
      </c>
      <c r="Q563" s="1019" t="s">
        <v>701</v>
      </c>
      <c r="R563" s="528">
        <v>0</v>
      </c>
      <c r="S563" s="529">
        <v>0</v>
      </c>
      <c r="T563" s="1011" t="s">
        <v>701</v>
      </c>
      <c r="U563" s="530">
        <v>0</v>
      </c>
      <c r="V563" s="529">
        <v>0</v>
      </c>
      <c r="W563" s="1011" t="s">
        <v>701</v>
      </c>
      <c r="X563" s="1016" t="s">
        <v>701</v>
      </c>
      <c r="Y563" s="531">
        <v>0</v>
      </c>
      <c r="Z563" s="1011" t="s">
        <v>701</v>
      </c>
      <c r="AA563" s="1102"/>
      <c r="AB563" s="1103"/>
      <c r="AC563" s="1099"/>
      <c r="AD563" s="1100"/>
      <c r="AE563" s="1107"/>
      <c r="AF563" s="1107"/>
      <c r="AG563" s="1107"/>
      <c r="AH563" s="1108"/>
      <c r="AI563" s="1106"/>
      <c r="AJ563" s="1041" t="s">
        <v>596</v>
      </c>
      <c r="AK563" s="906">
        <v>1</v>
      </c>
      <c r="AL563" s="49">
        <f t="shared" si="1374"/>
        <v>0</v>
      </c>
      <c r="AM563" s="907">
        <f t="shared" si="1375"/>
        <v>1.0506187499999999</v>
      </c>
    </row>
    <row r="564" spans="4:39" ht="11.25" customHeight="1" x14ac:dyDescent="0.2">
      <c r="D564" s="1092"/>
      <c r="E564" s="1093"/>
      <c r="F564" s="1093"/>
      <c r="G564" s="1093"/>
      <c r="H564" s="1094"/>
      <c r="I564" s="1095"/>
      <c r="J564" s="1096"/>
      <c r="K564" s="1096"/>
      <c r="L564" s="1096"/>
      <c r="M564" s="1097"/>
      <c r="N564" s="528">
        <v>0</v>
      </c>
      <c r="O564" s="529">
        <v>0</v>
      </c>
      <c r="P564" s="529">
        <v>0</v>
      </c>
      <c r="Q564" s="1019" t="s">
        <v>701</v>
      </c>
      <c r="R564" s="528">
        <v>0</v>
      </c>
      <c r="S564" s="529">
        <v>0</v>
      </c>
      <c r="T564" s="1011" t="s">
        <v>701</v>
      </c>
      <c r="U564" s="530">
        <v>0</v>
      </c>
      <c r="V564" s="529">
        <v>0</v>
      </c>
      <c r="W564" s="1011" t="s">
        <v>701</v>
      </c>
      <c r="X564" s="1016" t="s">
        <v>701</v>
      </c>
      <c r="Y564" s="529">
        <v>0</v>
      </c>
      <c r="Z564" s="1011" t="s">
        <v>701</v>
      </c>
      <c r="AA564" s="1102"/>
      <c r="AB564" s="1103"/>
      <c r="AC564" s="1099"/>
      <c r="AD564" s="1100"/>
      <c r="AE564" s="1107"/>
      <c r="AF564" s="1107"/>
      <c r="AG564" s="1107"/>
      <c r="AH564" s="1108"/>
      <c r="AI564" s="1106"/>
      <c r="AJ564" s="1041" t="s">
        <v>596</v>
      </c>
      <c r="AK564" s="906">
        <v>1</v>
      </c>
      <c r="AL564" s="49">
        <f t="shared" si="1374"/>
        <v>0</v>
      </c>
      <c r="AM564" s="907">
        <f t="shared" si="1375"/>
        <v>1.0506187499999999</v>
      </c>
    </row>
    <row r="565" spans="4:39" ht="11.25" customHeight="1" x14ac:dyDescent="0.2">
      <c r="D565" s="1092"/>
      <c r="E565" s="1093"/>
      <c r="F565" s="1093"/>
      <c r="G565" s="1093"/>
      <c r="H565" s="1094"/>
      <c r="I565" s="1095"/>
      <c r="J565" s="1096"/>
      <c r="K565" s="1096"/>
      <c r="L565" s="1096"/>
      <c r="M565" s="1097"/>
      <c r="N565" s="528">
        <v>0</v>
      </c>
      <c r="O565" s="529">
        <v>0</v>
      </c>
      <c r="P565" s="529">
        <v>0</v>
      </c>
      <c r="Q565" s="1019" t="s">
        <v>701</v>
      </c>
      <c r="R565" s="528">
        <v>0</v>
      </c>
      <c r="S565" s="529">
        <v>0</v>
      </c>
      <c r="T565" s="1011" t="s">
        <v>701</v>
      </c>
      <c r="U565" s="530">
        <v>0</v>
      </c>
      <c r="V565" s="529">
        <v>0</v>
      </c>
      <c r="W565" s="1011" t="s">
        <v>701</v>
      </c>
      <c r="X565" s="1016" t="s">
        <v>701</v>
      </c>
      <c r="Y565" s="529">
        <v>0</v>
      </c>
      <c r="Z565" s="1011" t="s">
        <v>701</v>
      </c>
      <c r="AA565" s="1102"/>
      <c r="AB565" s="1103"/>
      <c r="AC565" s="1099"/>
      <c r="AD565" s="1100"/>
      <c r="AE565" s="1107"/>
      <c r="AF565" s="1107"/>
      <c r="AG565" s="1107"/>
      <c r="AH565" s="1108"/>
      <c r="AI565" s="1106"/>
      <c r="AJ565" s="1041" t="s">
        <v>596</v>
      </c>
      <c r="AK565" s="906">
        <v>1</v>
      </c>
      <c r="AL565" s="49">
        <f t="shared" si="1374"/>
        <v>0</v>
      </c>
      <c r="AM565" s="907">
        <f t="shared" si="1375"/>
        <v>1.0506187499999999</v>
      </c>
    </row>
    <row r="566" spans="4:39" ht="11.25" customHeight="1" x14ac:dyDescent="0.2">
      <c r="D566" s="1092"/>
      <c r="E566" s="1093"/>
      <c r="F566" s="1093"/>
      <c r="G566" s="1093"/>
      <c r="H566" s="1094"/>
      <c r="I566" s="1095"/>
      <c r="J566" s="1096"/>
      <c r="K566" s="1096"/>
      <c r="L566" s="1096"/>
      <c r="M566" s="1097"/>
      <c r="N566" s="528">
        <v>0</v>
      </c>
      <c r="O566" s="529">
        <v>0</v>
      </c>
      <c r="P566" s="529">
        <v>0</v>
      </c>
      <c r="Q566" s="1019" t="s">
        <v>701</v>
      </c>
      <c r="R566" s="528">
        <v>0</v>
      </c>
      <c r="S566" s="529">
        <v>0</v>
      </c>
      <c r="T566" s="1011" t="s">
        <v>701</v>
      </c>
      <c r="U566" s="530">
        <v>0</v>
      </c>
      <c r="V566" s="529">
        <v>0</v>
      </c>
      <c r="W566" s="1011" t="s">
        <v>701</v>
      </c>
      <c r="X566" s="1016" t="s">
        <v>701</v>
      </c>
      <c r="Y566" s="529">
        <v>0</v>
      </c>
      <c r="Z566" s="1011" t="s">
        <v>701</v>
      </c>
      <c r="AA566" s="1102"/>
      <c r="AB566" s="1103"/>
      <c r="AC566" s="1099"/>
      <c r="AD566" s="1100"/>
      <c r="AE566" s="1107"/>
      <c r="AF566" s="1107"/>
      <c r="AG566" s="1107"/>
      <c r="AH566" s="1108"/>
      <c r="AI566" s="1106"/>
      <c r="AJ566" s="1041" t="s">
        <v>596</v>
      </c>
      <c r="AK566" s="906">
        <v>1</v>
      </c>
      <c r="AL566" s="49">
        <f t="shared" si="1374"/>
        <v>0</v>
      </c>
      <c r="AM566" s="907">
        <f t="shared" si="1375"/>
        <v>1.0506187499999999</v>
      </c>
    </row>
    <row r="567" spans="4:39" ht="11.25" customHeight="1" x14ac:dyDescent="0.2">
      <c r="D567" s="1092"/>
      <c r="E567" s="1093"/>
      <c r="F567" s="1093"/>
      <c r="G567" s="1093"/>
      <c r="H567" s="1094"/>
      <c r="I567" s="1095"/>
      <c r="J567" s="1096"/>
      <c r="K567" s="1096"/>
      <c r="L567" s="1096"/>
      <c r="M567" s="1097"/>
      <c r="N567" s="528">
        <v>0</v>
      </c>
      <c r="O567" s="529">
        <v>0</v>
      </c>
      <c r="P567" s="529">
        <v>0</v>
      </c>
      <c r="Q567" s="1019" t="s">
        <v>701</v>
      </c>
      <c r="R567" s="528">
        <v>0</v>
      </c>
      <c r="S567" s="529">
        <v>0</v>
      </c>
      <c r="T567" s="1011" t="s">
        <v>701</v>
      </c>
      <c r="U567" s="530">
        <v>0</v>
      </c>
      <c r="V567" s="529">
        <v>0</v>
      </c>
      <c r="W567" s="1011" t="s">
        <v>701</v>
      </c>
      <c r="X567" s="1016" t="s">
        <v>701</v>
      </c>
      <c r="Y567" s="529">
        <v>0</v>
      </c>
      <c r="Z567" s="1011" t="s">
        <v>701</v>
      </c>
      <c r="AA567" s="1102"/>
      <c r="AB567" s="1103"/>
      <c r="AC567" s="1099"/>
      <c r="AD567" s="1100"/>
      <c r="AE567" s="1107"/>
      <c r="AF567" s="1107"/>
      <c r="AG567" s="1107"/>
      <c r="AH567" s="1108"/>
      <c r="AI567" s="1106"/>
      <c r="AJ567" s="1041" t="s">
        <v>596</v>
      </c>
      <c r="AK567" s="906">
        <v>1</v>
      </c>
      <c r="AL567" s="49">
        <f t="shared" si="1374"/>
        <v>0</v>
      </c>
      <c r="AM567" s="907">
        <f t="shared" si="1375"/>
        <v>1.0506187499999999</v>
      </c>
    </row>
    <row r="568" spans="4:39" ht="11.25" customHeight="1" thickBot="1" x14ac:dyDescent="0.25">
      <c r="D568" s="532" t="s">
        <v>418</v>
      </c>
      <c r="E568" s="533"/>
      <c r="F568" s="534"/>
      <c r="G568" s="535"/>
      <c r="H568" s="535"/>
      <c r="I568" s="534"/>
      <c r="J568" s="535"/>
      <c r="K568" s="535"/>
      <c r="L568" s="535"/>
      <c r="M568" s="536"/>
      <c r="N568" s="537">
        <f>SUM(N562:N567)</f>
        <v>0</v>
      </c>
      <c r="O568" s="537">
        <f t="shared" ref="O568" si="1385">SUM(O562:O567)</f>
        <v>0</v>
      </c>
      <c r="P568" s="536"/>
      <c r="Q568" s="1020" t="s">
        <v>701</v>
      </c>
      <c r="R568" s="538"/>
      <c r="S568" s="539">
        <f t="shared" ref="S568" si="1386">SUM(S562:S567)</f>
        <v>0</v>
      </c>
      <c r="T568" s="1012" t="s">
        <v>701</v>
      </c>
      <c r="U568" s="538"/>
      <c r="V568" s="539">
        <f t="shared" ref="V568:Y568" si="1387">SUM(V562:V567)</f>
        <v>6</v>
      </c>
      <c r="W568" s="1012" t="s">
        <v>701</v>
      </c>
      <c r="X568" s="1012" t="s">
        <v>701</v>
      </c>
      <c r="Y568" s="539">
        <f t="shared" si="1387"/>
        <v>900</v>
      </c>
      <c r="Z568" s="1012" t="s">
        <v>701</v>
      </c>
      <c r="AA568" s="1012" t="s">
        <v>701</v>
      </c>
      <c r="AB568" s="1007" t="s">
        <v>701</v>
      </c>
      <c r="AC568" s="1013" t="s">
        <v>701</v>
      </c>
      <c r="AD568" s="540"/>
      <c r="AE568" s="1008" t="s">
        <v>701</v>
      </c>
      <c r="AF568" s="1008" t="s">
        <v>701</v>
      </c>
      <c r="AG568" s="1008" t="s">
        <v>701</v>
      </c>
      <c r="AH568" s="1008" t="s">
        <v>701</v>
      </c>
      <c r="AI568" s="1008" t="s">
        <v>701</v>
      </c>
      <c r="AJ568" s="1042" t="s">
        <v>596</v>
      </c>
      <c r="AK568" s="906">
        <v>1</v>
      </c>
      <c r="AL568" s="49">
        <f t="shared" si="1374"/>
        <v>0</v>
      </c>
      <c r="AM568" s="907">
        <f t="shared" si="1375"/>
        <v>1.0506187499999999</v>
      </c>
    </row>
    <row r="569" spans="4:39" ht="11.25" customHeight="1" x14ac:dyDescent="0.25">
      <c r="D569" s="1092" t="s">
        <v>765</v>
      </c>
      <c r="E569" s="1093" t="s">
        <v>733</v>
      </c>
      <c r="F569" s="1093">
        <v>2148</v>
      </c>
      <c r="G569" s="1093" t="s">
        <v>737</v>
      </c>
      <c r="H569" s="1094" t="s">
        <v>726</v>
      </c>
      <c r="I569" s="1095">
        <v>330</v>
      </c>
      <c r="J569" s="1096" t="s">
        <v>34</v>
      </c>
      <c r="K569" s="1096" t="s">
        <v>34</v>
      </c>
      <c r="L569" s="1096" t="s">
        <v>34</v>
      </c>
      <c r="M569" s="1097" t="s">
        <v>34</v>
      </c>
      <c r="N569" s="522">
        <v>0</v>
      </c>
      <c r="O569" s="523">
        <v>0</v>
      </c>
      <c r="P569" s="524">
        <v>0</v>
      </c>
      <c r="Q569" s="1018" t="s">
        <v>701</v>
      </c>
      <c r="R569" s="525">
        <v>0</v>
      </c>
      <c r="S569" s="524">
        <v>0</v>
      </c>
      <c r="T569" s="1017" t="s">
        <v>701</v>
      </c>
      <c r="U569" s="526">
        <v>0</v>
      </c>
      <c r="V569" s="524">
        <v>0</v>
      </c>
      <c r="W569" s="1010" t="s">
        <v>701</v>
      </c>
      <c r="X569" s="1015" t="s">
        <v>701</v>
      </c>
      <c r="Y569" s="527">
        <v>250</v>
      </c>
      <c r="Z569" s="1010" t="s">
        <v>701</v>
      </c>
      <c r="AA569" s="1102" t="s">
        <v>701</v>
      </c>
      <c r="AB569" s="1103" t="s">
        <v>701</v>
      </c>
      <c r="AC569" s="1099"/>
      <c r="AD569" s="1100">
        <v>0</v>
      </c>
      <c r="AE569" s="1107" t="s">
        <v>701</v>
      </c>
      <c r="AF569" s="1107" t="s">
        <v>701</v>
      </c>
      <c r="AG569" s="1107" t="s">
        <v>701</v>
      </c>
      <c r="AH569" s="1108" t="s">
        <v>701</v>
      </c>
      <c r="AI569" s="1106" t="s">
        <v>701</v>
      </c>
      <c r="AJ569" s="1040" t="s">
        <v>596</v>
      </c>
      <c r="AK569" s="906">
        <v>1</v>
      </c>
      <c r="AL569" s="49">
        <f t="shared" si="1374"/>
        <v>0</v>
      </c>
      <c r="AM569" s="907">
        <f t="shared" si="1375"/>
        <v>1.0506187499999999</v>
      </c>
    </row>
    <row r="570" spans="4:39" ht="11.25" customHeight="1" x14ac:dyDescent="0.2">
      <c r="D570" s="1092"/>
      <c r="E570" s="1093"/>
      <c r="F570" s="1093"/>
      <c r="G570" s="1093"/>
      <c r="H570" s="1094"/>
      <c r="I570" s="1095"/>
      <c r="J570" s="1096"/>
      <c r="K570" s="1096"/>
      <c r="L570" s="1096"/>
      <c r="M570" s="1097"/>
      <c r="N570" s="528">
        <v>0</v>
      </c>
      <c r="O570" s="529">
        <v>0</v>
      </c>
      <c r="P570" s="529">
        <v>0</v>
      </c>
      <c r="Q570" s="1019" t="s">
        <v>701</v>
      </c>
      <c r="R570" s="528">
        <v>0</v>
      </c>
      <c r="S570" s="529">
        <v>0</v>
      </c>
      <c r="T570" s="1011" t="s">
        <v>701</v>
      </c>
      <c r="U570" s="530">
        <v>0</v>
      </c>
      <c r="V570" s="529">
        <v>0</v>
      </c>
      <c r="W570" s="1011" t="s">
        <v>701</v>
      </c>
      <c r="X570" s="1016" t="s">
        <v>701</v>
      </c>
      <c r="Y570" s="531">
        <v>0</v>
      </c>
      <c r="Z570" s="1011" t="s">
        <v>701</v>
      </c>
      <c r="AA570" s="1102"/>
      <c r="AB570" s="1103"/>
      <c r="AC570" s="1099"/>
      <c r="AD570" s="1100"/>
      <c r="AE570" s="1107"/>
      <c r="AF570" s="1107"/>
      <c r="AG570" s="1107"/>
      <c r="AH570" s="1108"/>
      <c r="AI570" s="1106"/>
      <c r="AJ570" s="1041" t="s">
        <v>596</v>
      </c>
      <c r="AK570" s="906">
        <v>1</v>
      </c>
      <c r="AL570" s="49">
        <f t="shared" si="1374"/>
        <v>0</v>
      </c>
      <c r="AM570" s="907">
        <f t="shared" si="1375"/>
        <v>1.0506187499999999</v>
      </c>
    </row>
    <row r="571" spans="4:39" ht="11.25" customHeight="1" x14ac:dyDescent="0.2">
      <c r="D571" s="1092"/>
      <c r="E571" s="1093"/>
      <c r="F571" s="1093"/>
      <c r="G571" s="1093"/>
      <c r="H571" s="1094"/>
      <c r="I571" s="1095"/>
      <c r="J571" s="1096"/>
      <c r="K571" s="1096"/>
      <c r="L571" s="1096"/>
      <c r="M571" s="1097"/>
      <c r="N571" s="528">
        <v>0</v>
      </c>
      <c r="O571" s="529">
        <v>0</v>
      </c>
      <c r="P571" s="529">
        <v>0</v>
      </c>
      <c r="Q571" s="1019" t="s">
        <v>701</v>
      </c>
      <c r="R571" s="528">
        <v>0</v>
      </c>
      <c r="S571" s="529">
        <v>0</v>
      </c>
      <c r="T571" s="1011" t="s">
        <v>701</v>
      </c>
      <c r="U571" s="530">
        <v>0</v>
      </c>
      <c r="V571" s="529">
        <v>0</v>
      </c>
      <c r="W571" s="1011" t="s">
        <v>701</v>
      </c>
      <c r="X571" s="1016" t="s">
        <v>701</v>
      </c>
      <c r="Y571" s="529">
        <v>0</v>
      </c>
      <c r="Z571" s="1011" t="s">
        <v>701</v>
      </c>
      <c r="AA571" s="1102"/>
      <c r="AB571" s="1103"/>
      <c r="AC571" s="1099"/>
      <c r="AD571" s="1100"/>
      <c r="AE571" s="1107"/>
      <c r="AF571" s="1107"/>
      <c r="AG571" s="1107"/>
      <c r="AH571" s="1108"/>
      <c r="AI571" s="1106"/>
      <c r="AJ571" s="1041" t="s">
        <v>596</v>
      </c>
      <c r="AK571" s="906">
        <v>1</v>
      </c>
      <c r="AL571" s="49">
        <f t="shared" si="1374"/>
        <v>0</v>
      </c>
      <c r="AM571" s="907">
        <f t="shared" si="1375"/>
        <v>1.0506187499999999</v>
      </c>
    </row>
    <row r="572" spans="4:39" ht="11.25" customHeight="1" x14ac:dyDescent="0.2">
      <c r="D572" s="1092"/>
      <c r="E572" s="1093"/>
      <c r="F572" s="1093"/>
      <c r="G572" s="1093"/>
      <c r="H572" s="1094"/>
      <c r="I572" s="1095"/>
      <c r="J572" s="1096"/>
      <c r="K572" s="1096"/>
      <c r="L572" s="1096"/>
      <c r="M572" s="1097"/>
      <c r="N572" s="528">
        <v>0</v>
      </c>
      <c r="O572" s="529">
        <v>0</v>
      </c>
      <c r="P572" s="529">
        <v>0</v>
      </c>
      <c r="Q572" s="1019" t="s">
        <v>701</v>
      </c>
      <c r="R572" s="528">
        <v>0</v>
      </c>
      <c r="S572" s="529">
        <v>0</v>
      </c>
      <c r="T572" s="1011" t="s">
        <v>701</v>
      </c>
      <c r="U572" s="530">
        <v>0</v>
      </c>
      <c r="V572" s="529">
        <v>0</v>
      </c>
      <c r="W572" s="1011" t="s">
        <v>701</v>
      </c>
      <c r="X572" s="1016" t="s">
        <v>701</v>
      </c>
      <c r="Y572" s="529">
        <v>0</v>
      </c>
      <c r="Z572" s="1011" t="s">
        <v>701</v>
      </c>
      <c r="AA572" s="1102"/>
      <c r="AB572" s="1103"/>
      <c r="AC572" s="1099"/>
      <c r="AD572" s="1100"/>
      <c r="AE572" s="1107"/>
      <c r="AF572" s="1107"/>
      <c r="AG572" s="1107"/>
      <c r="AH572" s="1108"/>
      <c r="AI572" s="1106"/>
      <c r="AJ572" s="1041" t="s">
        <v>596</v>
      </c>
      <c r="AK572" s="906">
        <v>1</v>
      </c>
      <c r="AL572" s="49">
        <f t="shared" si="1374"/>
        <v>0</v>
      </c>
      <c r="AM572" s="907">
        <f t="shared" si="1375"/>
        <v>1.0506187499999999</v>
      </c>
    </row>
    <row r="573" spans="4:39" ht="11.25" customHeight="1" x14ac:dyDescent="0.2">
      <c r="D573" s="1092"/>
      <c r="E573" s="1093"/>
      <c r="F573" s="1093"/>
      <c r="G573" s="1093"/>
      <c r="H573" s="1094"/>
      <c r="I573" s="1095"/>
      <c r="J573" s="1096"/>
      <c r="K573" s="1096"/>
      <c r="L573" s="1096"/>
      <c r="M573" s="1097"/>
      <c r="N573" s="528">
        <v>0</v>
      </c>
      <c r="O573" s="529">
        <v>0</v>
      </c>
      <c r="P573" s="529">
        <v>0</v>
      </c>
      <c r="Q573" s="1019" t="s">
        <v>701</v>
      </c>
      <c r="R573" s="528">
        <v>0</v>
      </c>
      <c r="S573" s="529">
        <v>0</v>
      </c>
      <c r="T573" s="1011" t="s">
        <v>701</v>
      </c>
      <c r="U573" s="530">
        <v>0</v>
      </c>
      <c r="V573" s="529">
        <v>0</v>
      </c>
      <c r="W573" s="1011" t="s">
        <v>701</v>
      </c>
      <c r="X573" s="1016" t="s">
        <v>701</v>
      </c>
      <c r="Y573" s="529">
        <v>0</v>
      </c>
      <c r="Z573" s="1011" t="s">
        <v>701</v>
      </c>
      <c r="AA573" s="1102"/>
      <c r="AB573" s="1103"/>
      <c r="AC573" s="1099"/>
      <c r="AD573" s="1100"/>
      <c r="AE573" s="1107"/>
      <c r="AF573" s="1107"/>
      <c r="AG573" s="1107"/>
      <c r="AH573" s="1108"/>
      <c r="AI573" s="1106"/>
      <c r="AJ573" s="1041" t="s">
        <v>596</v>
      </c>
      <c r="AK573" s="906">
        <v>1</v>
      </c>
      <c r="AL573" s="49">
        <f t="shared" si="1374"/>
        <v>0</v>
      </c>
      <c r="AM573" s="907">
        <f t="shared" si="1375"/>
        <v>1.0506187499999999</v>
      </c>
    </row>
    <row r="574" spans="4:39" ht="11.25" customHeight="1" x14ac:dyDescent="0.2">
      <c r="D574" s="1092"/>
      <c r="E574" s="1093"/>
      <c r="F574" s="1093"/>
      <c r="G574" s="1093"/>
      <c r="H574" s="1094"/>
      <c r="I574" s="1095"/>
      <c r="J574" s="1096"/>
      <c r="K574" s="1096"/>
      <c r="L574" s="1096"/>
      <c r="M574" s="1097"/>
      <c r="N574" s="528">
        <v>0</v>
      </c>
      <c r="O574" s="529">
        <v>0</v>
      </c>
      <c r="P574" s="529">
        <v>0</v>
      </c>
      <c r="Q574" s="1019" t="s">
        <v>701</v>
      </c>
      <c r="R574" s="528">
        <v>0</v>
      </c>
      <c r="S574" s="529">
        <v>0</v>
      </c>
      <c r="T574" s="1011" t="s">
        <v>701</v>
      </c>
      <c r="U574" s="530">
        <v>0</v>
      </c>
      <c r="V574" s="529">
        <v>0</v>
      </c>
      <c r="W574" s="1011" t="s">
        <v>701</v>
      </c>
      <c r="X574" s="1016" t="s">
        <v>701</v>
      </c>
      <c r="Y574" s="529">
        <v>0</v>
      </c>
      <c r="Z574" s="1011" t="s">
        <v>701</v>
      </c>
      <c r="AA574" s="1102"/>
      <c r="AB574" s="1103"/>
      <c r="AC574" s="1099"/>
      <c r="AD574" s="1100"/>
      <c r="AE574" s="1107"/>
      <c r="AF574" s="1107"/>
      <c r="AG574" s="1107"/>
      <c r="AH574" s="1108"/>
      <c r="AI574" s="1106"/>
      <c r="AJ574" s="1041" t="s">
        <v>596</v>
      </c>
      <c r="AK574" s="906">
        <v>1</v>
      </c>
      <c r="AL574" s="49">
        <f t="shared" si="1374"/>
        <v>0</v>
      </c>
      <c r="AM574" s="907">
        <f t="shared" si="1375"/>
        <v>1.0506187499999999</v>
      </c>
    </row>
    <row r="575" spans="4:39" ht="11.25" customHeight="1" thickBot="1" x14ac:dyDescent="0.25">
      <c r="D575" s="532" t="s">
        <v>418</v>
      </c>
      <c r="E575" s="533"/>
      <c r="F575" s="534"/>
      <c r="G575" s="535"/>
      <c r="H575" s="535"/>
      <c r="I575" s="534"/>
      <c r="J575" s="535"/>
      <c r="K575" s="535"/>
      <c r="L575" s="535"/>
      <c r="M575" s="536"/>
      <c r="N575" s="537">
        <f>SUM(N569:N574)</f>
        <v>0</v>
      </c>
      <c r="O575" s="537">
        <f t="shared" ref="O575" si="1388">SUM(O569:O574)</f>
        <v>0</v>
      </c>
      <c r="P575" s="536"/>
      <c r="Q575" s="1020" t="s">
        <v>701</v>
      </c>
      <c r="R575" s="538"/>
      <c r="S575" s="539">
        <f t="shared" ref="S575" si="1389">SUM(S569:S574)</f>
        <v>0</v>
      </c>
      <c r="T575" s="1012" t="s">
        <v>701</v>
      </c>
      <c r="U575" s="538"/>
      <c r="V575" s="539">
        <f t="shared" ref="V575:Y575" si="1390">SUM(V569:V574)</f>
        <v>0</v>
      </c>
      <c r="W575" s="1012" t="s">
        <v>701</v>
      </c>
      <c r="X575" s="1012" t="s">
        <v>701</v>
      </c>
      <c r="Y575" s="539">
        <f t="shared" si="1390"/>
        <v>250</v>
      </c>
      <c r="Z575" s="1012" t="s">
        <v>701</v>
      </c>
      <c r="AA575" s="1012" t="s">
        <v>701</v>
      </c>
      <c r="AB575" s="1007" t="s">
        <v>701</v>
      </c>
      <c r="AC575" s="1013" t="s">
        <v>701</v>
      </c>
      <c r="AD575" s="540"/>
      <c r="AE575" s="1008" t="s">
        <v>701</v>
      </c>
      <c r="AF575" s="1008" t="s">
        <v>701</v>
      </c>
      <c r="AG575" s="1008" t="s">
        <v>701</v>
      </c>
      <c r="AH575" s="1008" t="s">
        <v>701</v>
      </c>
      <c r="AI575" s="1008" t="s">
        <v>701</v>
      </c>
      <c r="AJ575" s="1042" t="s">
        <v>596</v>
      </c>
      <c r="AK575" s="906">
        <v>1</v>
      </c>
      <c r="AL575" s="49">
        <f t="shared" si="1374"/>
        <v>0</v>
      </c>
      <c r="AM575" s="907">
        <f t="shared" si="1375"/>
        <v>1.0506187499999999</v>
      </c>
    </row>
    <row r="576" spans="4:39" ht="11.25" customHeight="1" x14ac:dyDescent="0.25">
      <c r="D576" s="1092" t="s">
        <v>766</v>
      </c>
      <c r="E576" s="1093" t="s">
        <v>733</v>
      </c>
      <c r="F576" s="1093">
        <v>2148</v>
      </c>
      <c r="G576" s="1093" t="s">
        <v>737</v>
      </c>
      <c r="H576" s="1094" t="s">
        <v>726</v>
      </c>
      <c r="I576" s="1095">
        <v>330</v>
      </c>
      <c r="J576" s="1096" t="s">
        <v>34</v>
      </c>
      <c r="K576" s="1096" t="s">
        <v>34</v>
      </c>
      <c r="L576" s="1096" t="s">
        <v>34</v>
      </c>
      <c r="M576" s="1097" t="s">
        <v>34</v>
      </c>
      <c r="N576" s="522">
        <v>0</v>
      </c>
      <c r="O576" s="523">
        <v>0</v>
      </c>
      <c r="P576" s="524">
        <v>0</v>
      </c>
      <c r="Q576" s="1018" t="s">
        <v>701</v>
      </c>
      <c r="R576" s="525">
        <v>0</v>
      </c>
      <c r="S576" s="524">
        <v>0</v>
      </c>
      <c r="T576" s="1017" t="s">
        <v>701</v>
      </c>
      <c r="U576" s="526">
        <v>0</v>
      </c>
      <c r="V576" s="524">
        <v>0</v>
      </c>
      <c r="W576" s="1010" t="s">
        <v>701</v>
      </c>
      <c r="X576" s="1015" t="s">
        <v>701</v>
      </c>
      <c r="Y576" s="527">
        <v>400</v>
      </c>
      <c r="Z576" s="1010" t="s">
        <v>701</v>
      </c>
      <c r="AA576" s="1102" t="s">
        <v>701</v>
      </c>
      <c r="AB576" s="1103" t="s">
        <v>701</v>
      </c>
      <c r="AC576" s="1099"/>
      <c r="AD576" s="1100">
        <v>0</v>
      </c>
      <c r="AE576" s="1107" t="s">
        <v>701</v>
      </c>
      <c r="AF576" s="1107" t="s">
        <v>701</v>
      </c>
      <c r="AG576" s="1107" t="s">
        <v>701</v>
      </c>
      <c r="AH576" s="1108" t="s">
        <v>701</v>
      </c>
      <c r="AI576" s="1106" t="s">
        <v>701</v>
      </c>
      <c r="AJ576" s="1040" t="s">
        <v>596</v>
      </c>
      <c r="AK576" s="906">
        <v>1</v>
      </c>
      <c r="AL576" s="49">
        <f t="shared" si="1374"/>
        <v>0</v>
      </c>
      <c r="AM576" s="907">
        <f t="shared" si="1375"/>
        <v>1.0506187499999999</v>
      </c>
    </row>
    <row r="577" spans="4:39" ht="11.25" customHeight="1" x14ac:dyDescent="0.2">
      <c r="D577" s="1092"/>
      <c r="E577" s="1093"/>
      <c r="F577" s="1093"/>
      <c r="G577" s="1093"/>
      <c r="H577" s="1094"/>
      <c r="I577" s="1095"/>
      <c r="J577" s="1096"/>
      <c r="K577" s="1096"/>
      <c r="L577" s="1096"/>
      <c r="M577" s="1097"/>
      <c r="N577" s="528">
        <v>0</v>
      </c>
      <c r="O577" s="529">
        <v>0</v>
      </c>
      <c r="P577" s="529">
        <v>0</v>
      </c>
      <c r="Q577" s="1019" t="s">
        <v>701</v>
      </c>
      <c r="R577" s="528">
        <v>0</v>
      </c>
      <c r="S577" s="529">
        <v>0</v>
      </c>
      <c r="T577" s="1011" t="s">
        <v>701</v>
      </c>
      <c r="U577" s="530">
        <v>0</v>
      </c>
      <c r="V577" s="529">
        <v>0</v>
      </c>
      <c r="W577" s="1011" t="s">
        <v>701</v>
      </c>
      <c r="X577" s="1016" t="s">
        <v>701</v>
      </c>
      <c r="Y577" s="531">
        <v>0</v>
      </c>
      <c r="Z577" s="1011" t="s">
        <v>701</v>
      </c>
      <c r="AA577" s="1102"/>
      <c r="AB577" s="1103"/>
      <c r="AC577" s="1099"/>
      <c r="AD577" s="1100"/>
      <c r="AE577" s="1107"/>
      <c r="AF577" s="1107"/>
      <c r="AG577" s="1107"/>
      <c r="AH577" s="1108"/>
      <c r="AI577" s="1106"/>
      <c r="AJ577" s="1041" t="s">
        <v>596</v>
      </c>
      <c r="AK577" s="906">
        <v>1</v>
      </c>
      <c r="AL577" s="49">
        <f t="shared" si="1374"/>
        <v>0</v>
      </c>
      <c r="AM577" s="907">
        <f t="shared" si="1375"/>
        <v>1.0506187499999999</v>
      </c>
    </row>
    <row r="578" spans="4:39" ht="11.25" customHeight="1" x14ac:dyDescent="0.2">
      <c r="D578" s="1092"/>
      <c r="E578" s="1093"/>
      <c r="F578" s="1093"/>
      <c r="G578" s="1093"/>
      <c r="H578" s="1094"/>
      <c r="I578" s="1095"/>
      <c r="J578" s="1096"/>
      <c r="K578" s="1096"/>
      <c r="L578" s="1096"/>
      <c r="M578" s="1097"/>
      <c r="N578" s="528">
        <v>0</v>
      </c>
      <c r="O578" s="529">
        <v>0</v>
      </c>
      <c r="P578" s="529">
        <v>0</v>
      </c>
      <c r="Q578" s="1019" t="s">
        <v>701</v>
      </c>
      <c r="R578" s="528">
        <v>0</v>
      </c>
      <c r="S578" s="529">
        <v>0</v>
      </c>
      <c r="T578" s="1011" t="s">
        <v>701</v>
      </c>
      <c r="U578" s="530">
        <v>0</v>
      </c>
      <c r="V578" s="529">
        <v>0</v>
      </c>
      <c r="W578" s="1011" t="s">
        <v>701</v>
      </c>
      <c r="X578" s="1016" t="s">
        <v>701</v>
      </c>
      <c r="Y578" s="529">
        <v>0</v>
      </c>
      <c r="Z578" s="1011" t="s">
        <v>701</v>
      </c>
      <c r="AA578" s="1102"/>
      <c r="AB578" s="1103"/>
      <c r="AC578" s="1099"/>
      <c r="AD578" s="1100"/>
      <c r="AE578" s="1107"/>
      <c r="AF578" s="1107"/>
      <c r="AG578" s="1107"/>
      <c r="AH578" s="1108"/>
      <c r="AI578" s="1106"/>
      <c r="AJ578" s="1041" t="s">
        <v>596</v>
      </c>
      <c r="AK578" s="906">
        <v>1</v>
      </c>
      <c r="AL578" s="49">
        <f t="shared" si="1374"/>
        <v>0</v>
      </c>
      <c r="AM578" s="907">
        <f t="shared" si="1375"/>
        <v>1.0506187499999999</v>
      </c>
    </row>
    <row r="579" spans="4:39" ht="11.25" customHeight="1" x14ac:dyDescent="0.2">
      <c r="D579" s="1092"/>
      <c r="E579" s="1093"/>
      <c r="F579" s="1093"/>
      <c r="G579" s="1093"/>
      <c r="H579" s="1094"/>
      <c r="I579" s="1095"/>
      <c r="J579" s="1096"/>
      <c r="K579" s="1096"/>
      <c r="L579" s="1096"/>
      <c r="M579" s="1097"/>
      <c r="N579" s="528">
        <v>0</v>
      </c>
      <c r="O579" s="529">
        <v>0</v>
      </c>
      <c r="P579" s="529">
        <v>0</v>
      </c>
      <c r="Q579" s="1019" t="s">
        <v>701</v>
      </c>
      <c r="R579" s="528">
        <v>0</v>
      </c>
      <c r="S579" s="529">
        <v>0</v>
      </c>
      <c r="T579" s="1011" t="s">
        <v>701</v>
      </c>
      <c r="U579" s="530">
        <v>0</v>
      </c>
      <c r="V579" s="529">
        <v>0</v>
      </c>
      <c r="W579" s="1011" t="s">
        <v>701</v>
      </c>
      <c r="X579" s="1016" t="s">
        <v>701</v>
      </c>
      <c r="Y579" s="529">
        <v>0</v>
      </c>
      <c r="Z579" s="1011" t="s">
        <v>701</v>
      </c>
      <c r="AA579" s="1102"/>
      <c r="AB579" s="1103"/>
      <c r="AC579" s="1099"/>
      <c r="AD579" s="1100"/>
      <c r="AE579" s="1107"/>
      <c r="AF579" s="1107"/>
      <c r="AG579" s="1107"/>
      <c r="AH579" s="1108"/>
      <c r="AI579" s="1106"/>
      <c r="AJ579" s="1041" t="s">
        <v>596</v>
      </c>
      <c r="AK579" s="906">
        <v>1</v>
      </c>
      <c r="AL579" s="49">
        <f t="shared" si="1374"/>
        <v>0</v>
      </c>
      <c r="AM579" s="907">
        <f t="shared" si="1375"/>
        <v>1.0506187499999999</v>
      </c>
    </row>
    <row r="580" spans="4:39" ht="11.25" customHeight="1" x14ac:dyDescent="0.2">
      <c r="D580" s="1092"/>
      <c r="E580" s="1093"/>
      <c r="F580" s="1093"/>
      <c r="G580" s="1093"/>
      <c r="H580" s="1094"/>
      <c r="I580" s="1095"/>
      <c r="J580" s="1096"/>
      <c r="K580" s="1096"/>
      <c r="L580" s="1096"/>
      <c r="M580" s="1097"/>
      <c r="N580" s="528">
        <v>0</v>
      </c>
      <c r="O580" s="529">
        <v>0</v>
      </c>
      <c r="P580" s="529">
        <v>0</v>
      </c>
      <c r="Q580" s="1019" t="s">
        <v>701</v>
      </c>
      <c r="R580" s="528">
        <v>0</v>
      </c>
      <c r="S580" s="529">
        <v>0</v>
      </c>
      <c r="T580" s="1011" t="s">
        <v>701</v>
      </c>
      <c r="U580" s="530">
        <v>0</v>
      </c>
      <c r="V580" s="529">
        <v>0</v>
      </c>
      <c r="W580" s="1011" t="s">
        <v>701</v>
      </c>
      <c r="X580" s="1016" t="s">
        <v>701</v>
      </c>
      <c r="Y580" s="529">
        <v>0</v>
      </c>
      <c r="Z580" s="1011" t="s">
        <v>701</v>
      </c>
      <c r="AA580" s="1102"/>
      <c r="AB580" s="1103"/>
      <c r="AC580" s="1099"/>
      <c r="AD580" s="1100"/>
      <c r="AE580" s="1107"/>
      <c r="AF580" s="1107"/>
      <c r="AG580" s="1107"/>
      <c r="AH580" s="1108"/>
      <c r="AI580" s="1106"/>
      <c r="AJ580" s="1041" t="s">
        <v>596</v>
      </c>
      <c r="AK580" s="906">
        <v>1</v>
      </c>
      <c r="AL580" s="49">
        <f t="shared" si="1374"/>
        <v>0</v>
      </c>
      <c r="AM580" s="907">
        <f t="shared" si="1375"/>
        <v>1.0506187499999999</v>
      </c>
    </row>
    <row r="581" spans="4:39" ht="11.25" customHeight="1" x14ac:dyDescent="0.2">
      <c r="D581" s="1092"/>
      <c r="E581" s="1093"/>
      <c r="F581" s="1093"/>
      <c r="G581" s="1093"/>
      <c r="H581" s="1094"/>
      <c r="I581" s="1095"/>
      <c r="J581" s="1096"/>
      <c r="K581" s="1096"/>
      <c r="L581" s="1096"/>
      <c r="M581" s="1097"/>
      <c r="N581" s="528">
        <v>0</v>
      </c>
      <c r="O581" s="529">
        <v>0</v>
      </c>
      <c r="P581" s="529">
        <v>0</v>
      </c>
      <c r="Q581" s="1019" t="s">
        <v>701</v>
      </c>
      <c r="R581" s="528">
        <v>0</v>
      </c>
      <c r="S581" s="529">
        <v>0</v>
      </c>
      <c r="T581" s="1011" t="s">
        <v>701</v>
      </c>
      <c r="U581" s="530">
        <v>0</v>
      </c>
      <c r="V581" s="529">
        <v>0</v>
      </c>
      <c r="W581" s="1011" t="s">
        <v>701</v>
      </c>
      <c r="X581" s="1016" t="s">
        <v>701</v>
      </c>
      <c r="Y581" s="529">
        <v>0</v>
      </c>
      <c r="Z581" s="1011" t="s">
        <v>701</v>
      </c>
      <c r="AA581" s="1102"/>
      <c r="AB581" s="1103"/>
      <c r="AC581" s="1099"/>
      <c r="AD581" s="1100"/>
      <c r="AE581" s="1107"/>
      <c r="AF581" s="1107"/>
      <c r="AG581" s="1107"/>
      <c r="AH581" s="1108"/>
      <c r="AI581" s="1106"/>
      <c r="AJ581" s="1041" t="s">
        <v>596</v>
      </c>
      <c r="AK581" s="906">
        <v>1</v>
      </c>
      <c r="AL581" s="49">
        <f t="shared" si="1374"/>
        <v>0</v>
      </c>
      <c r="AM581" s="907">
        <f t="shared" si="1375"/>
        <v>1.0506187499999999</v>
      </c>
    </row>
    <row r="582" spans="4:39" ht="11.25" customHeight="1" thickBot="1" x14ac:dyDescent="0.25">
      <c r="D582" s="532" t="s">
        <v>418</v>
      </c>
      <c r="E582" s="533"/>
      <c r="F582" s="534"/>
      <c r="G582" s="535"/>
      <c r="H582" s="535"/>
      <c r="I582" s="534"/>
      <c r="J582" s="535"/>
      <c r="K582" s="535"/>
      <c r="L582" s="535"/>
      <c r="M582" s="536"/>
      <c r="N582" s="537">
        <f>SUM(N576:N581)</f>
        <v>0</v>
      </c>
      <c r="O582" s="537">
        <f t="shared" ref="O582" si="1391">SUM(O576:O581)</f>
        <v>0</v>
      </c>
      <c r="P582" s="536"/>
      <c r="Q582" s="1020" t="s">
        <v>701</v>
      </c>
      <c r="R582" s="538"/>
      <c r="S582" s="539">
        <f t="shared" ref="S582" si="1392">SUM(S576:S581)</f>
        <v>0</v>
      </c>
      <c r="T582" s="1012" t="s">
        <v>701</v>
      </c>
      <c r="U582" s="538"/>
      <c r="V582" s="539">
        <f t="shared" ref="V582:Y582" si="1393">SUM(V576:V581)</f>
        <v>0</v>
      </c>
      <c r="W582" s="1012" t="s">
        <v>701</v>
      </c>
      <c r="X582" s="1012" t="s">
        <v>701</v>
      </c>
      <c r="Y582" s="539">
        <f t="shared" si="1393"/>
        <v>400</v>
      </c>
      <c r="Z582" s="1012" t="s">
        <v>701</v>
      </c>
      <c r="AA582" s="1012" t="s">
        <v>701</v>
      </c>
      <c r="AB582" s="1007" t="s">
        <v>701</v>
      </c>
      <c r="AC582" s="1013" t="s">
        <v>701</v>
      </c>
      <c r="AD582" s="540"/>
      <c r="AE582" s="1008" t="s">
        <v>701</v>
      </c>
      <c r="AF582" s="1008" t="s">
        <v>701</v>
      </c>
      <c r="AG582" s="1008" t="s">
        <v>701</v>
      </c>
      <c r="AH582" s="1008" t="s">
        <v>701</v>
      </c>
      <c r="AI582" s="1008" t="s">
        <v>701</v>
      </c>
      <c r="AJ582" s="1042" t="s">
        <v>596</v>
      </c>
      <c r="AK582" s="906">
        <v>1</v>
      </c>
      <c r="AL582" s="49">
        <f t="shared" si="1374"/>
        <v>0</v>
      </c>
      <c r="AM582" s="907">
        <f t="shared" si="1375"/>
        <v>1.0506187499999999</v>
      </c>
    </row>
    <row r="583" spans="4:39" ht="11.25" customHeight="1" x14ac:dyDescent="0.25">
      <c r="D583" s="1092" t="s">
        <v>767</v>
      </c>
      <c r="E583" s="1093" t="s">
        <v>718</v>
      </c>
      <c r="F583" s="1093">
        <v>2148</v>
      </c>
      <c r="G583" s="1093" t="s">
        <v>737</v>
      </c>
      <c r="H583" s="1094" t="s">
        <v>726</v>
      </c>
      <c r="I583" s="1095">
        <v>330</v>
      </c>
      <c r="J583" s="1096">
        <v>180</v>
      </c>
      <c r="K583" s="1096">
        <v>180</v>
      </c>
      <c r="L583" s="1096">
        <v>90</v>
      </c>
      <c r="M583" s="1097">
        <v>90</v>
      </c>
      <c r="N583" s="522">
        <v>0</v>
      </c>
      <c r="O583" s="523">
        <v>0</v>
      </c>
      <c r="P583" s="524">
        <v>0</v>
      </c>
      <c r="Q583" s="1018" t="s">
        <v>701</v>
      </c>
      <c r="R583" s="525">
        <v>0</v>
      </c>
      <c r="S583" s="524">
        <v>0</v>
      </c>
      <c r="T583" s="1017" t="s">
        <v>701</v>
      </c>
      <c r="U583" s="526">
        <v>0</v>
      </c>
      <c r="V583" s="524">
        <v>0</v>
      </c>
      <c r="W583" s="1010" t="s">
        <v>701</v>
      </c>
      <c r="X583" s="1015" t="s">
        <v>701</v>
      </c>
      <c r="Y583" s="527">
        <v>400</v>
      </c>
      <c r="Z583" s="1010" t="s">
        <v>701</v>
      </c>
      <c r="AA583" s="1102" t="s">
        <v>701</v>
      </c>
      <c r="AB583" s="1103" t="s">
        <v>701</v>
      </c>
      <c r="AC583" s="1099"/>
      <c r="AD583" s="1100">
        <v>0</v>
      </c>
      <c r="AE583" s="1107" t="s">
        <v>701</v>
      </c>
      <c r="AF583" s="1107" t="s">
        <v>701</v>
      </c>
      <c r="AG583" s="1107" t="s">
        <v>701</v>
      </c>
      <c r="AH583" s="1108" t="s">
        <v>701</v>
      </c>
      <c r="AI583" s="1106" t="s">
        <v>701</v>
      </c>
      <c r="AJ583" s="1040" t="s">
        <v>596</v>
      </c>
      <c r="AK583" s="906">
        <v>1</v>
      </c>
      <c r="AL583" s="49">
        <f t="shared" si="1374"/>
        <v>0</v>
      </c>
      <c r="AM583" s="907">
        <f t="shared" si="1375"/>
        <v>1.0506187499999999</v>
      </c>
    </row>
    <row r="584" spans="4:39" ht="11.25" customHeight="1" x14ac:dyDescent="0.2">
      <c r="D584" s="1092"/>
      <c r="E584" s="1093"/>
      <c r="F584" s="1093"/>
      <c r="G584" s="1093"/>
      <c r="H584" s="1094"/>
      <c r="I584" s="1095"/>
      <c r="J584" s="1096"/>
      <c r="K584" s="1096"/>
      <c r="L584" s="1096"/>
      <c r="M584" s="1097"/>
      <c r="N584" s="528">
        <v>0</v>
      </c>
      <c r="O584" s="529">
        <v>0</v>
      </c>
      <c r="P584" s="529">
        <v>0</v>
      </c>
      <c r="Q584" s="1019" t="s">
        <v>701</v>
      </c>
      <c r="R584" s="528">
        <v>0</v>
      </c>
      <c r="S584" s="529">
        <v>0</v>
      </c>
      <c r="T584" s="1011" t="s">
        <v>701</v>
      </c>
      <c r="U584" s="530">
        <v>0</v>
      </c>
      <c r="V584" s="529">
        <v>0</v>
      </c>
      <c r="W584" s="1011" t="s">
        <v>701</v>
      </c>
      <c r="X584" s="1016" t="s">
        <v>701</v>
      </c>
      <c r="Y584" s="531">
        <v>0</v>
      </c>
      <c r="Z584" s="1011" t="s">
        <v>701</v>
      </c>
      <c r="AA584" s="1102"/>
      <c r="AB584" s="1103"/>
      <c r="AC584" s="1099"/>
      <c r="AD584" s="1100"/>
      <c r="AE584" s="1107"/>
      <c r="AF584" s="1107"/>
      <c r="AG584" s="1107"/>
      <c r="AH584" s="1108"/>
      <c r="AI584" s="1106"/>
      <c r="AJ584" s="1041" t="s">
        <v>596</v>
      </c>
      <c r="AK584" s="906">
        <v>1</v>
      </c>
      <c r="AL584" s="49">
        <f t="shared" si="1374"/>
        <v>0</v>
      </c>
      <c r="AM584" s="907">
        <f t="shared" si="1375"/>
        <v>1.0506187499999999</v>
      </c>
    </row>
    <row r="585" spans="4:39" ht="11.25" customHeight="1" x14ac:dyDescent="0.2">
      <c r="D585" s="1092"/>
      <c r="E585" s="1093"/>
      <c r="F585" s="1093"/>
      <c r="G585" s="1093"/>
      <c r="H585" s="1094"/>
      <c r="I585" s="1095"/>
      <c r="J585" s="1096"/>
      <c r="K585" s="1096"/>
      <c r="L585" s="1096"/>
      <c r="M585" s="1097"/>
      <c r="N585" s="528">
        <v>0</v>
      </c>
      <c r="O585" s="529">
        <v>0</v>
      </c>
      <c r="P585" s="529">
        <v>0</v>
      </c>
      <c r="Q585" s="1019" t="s">
        <v>701</v>
      </c>
      <c r="R585" s="528">
        <v>0</v>
      </c>
      <c r="S585" s="529">
        <v>0</v>
      </c>
      <c r="T585" s="1011" t="s">
        <v>701</v>
      </c>
      <c r="U585" s="530">
        <v>0</v>
      </c>
      <c r="V585" s="529">
        <v>0</v>
      </c>
      <c r="W585" s="1011" t="s">
        <v>701</v>
      </c>
      <c r="X585" s="1016" t="s">
        <v>701</v>
      </c>
      <c r="Y585" s="529">
        <v>0</v>
      </c>
      <c r="Z585" s="1011" t="s">
        <v>701</v>
      </c>
      <c r="AA585" s="1102"/>
      <c r="AB585" s="1103"/>
      <c r="AC585" s="1099"/>
      <c r="AD585" s="1100"/>
      <c r="AE585" s="1107"/>
      <c r="AF585" s="1107"/>
      <c r="AG585" s="1107"/>
      <c r="AH585" s="1108"/>
      <c r="AI585" s="1106"/>
      <c r="AJ585" s="1041" t="s">
        <v>596</v>
      </c>
      <c r="AK585" s="906">
        <v>1</v>
      </c>
      <c r="AL585" s="49">
        <f t="shared" si="1374"/>
        <v>0</v>
      </c>
      <c r="AM585" s="907">
        <f t="shared" si="1375"/>
        <v>1.0506187499999999</v>
      </c>
    </row>
    <row r="586" spans="4:39" ht="11.25" customHeight="1" x14ac:dyDescent="0.2">
      <c r="D586" s="1092"/>
      <c r="E586" s="1093"/>
      <c r="F586" s="1093"/>
      <c r="G586" s="1093"/>
      <c r="H586" s="1094"/>
      <c r="I586" s="1095"/>
      <c r="J586" s="1096"/>
      <c r="K586" s="1096"/>
      <c r="L586" s="1096"/>
      <c r="M586" s="1097"/>
      <c r="N586" s="528">
        <v>0</v>
      </c>
      <c r="O586" s="529">
        <v>0</v>
      </c>
      <c r="P586" s="529">
        <v>0</v>
      </c>
      <c r="Q586" s="1019" t="s">
        <v>701</v>
      </c>
      <c r="R586" s="528">
        <v>0</v>
      </c>
      <c r="S586" s="529">
        <v>0</v>
      </c>
      <c r="T586" s="1011" t="s">
        <v>701</v>
      </c>
      <c r="U586" s="530">
        <v>0</v>
      </c>
      <c r="V586" s="529">
        <v>0</v>
      </c>
      <c r="W586" s="1011" t="s">
        <v>701</v>
      </c>
      <c r="X586" s="1016" t="s">
        <v>701</v>
      </c>
      <c r="Y586" s="529">
        <v>0</v>
      </c>
      <c r="Z586" s="1011" t="s">
        <v>701</v>
      </c>
      <c r="AA586" s="1102"/>
      <c r="AB586" s="1103"/>
      <c r="AC586" s="1099"/>
      <c r="AD586" s="1100"/>
      <c r="AE586" s="1107"/>
      <c r="AF586" s="1107"/>
      <c r="AG586" s="1107"/>
      <c r="AH586" s="1108"/>
      <c r="AI586" s="1106"/>
      <c r="AJ586" s="1041" t="s">
        <v>596</v>
      </c>
      <c r="AK586" s="906">
        <v>1</v>
      </c>
      <c r="AL586" s="49">
        <f t="shared" si="1374"/>
        <v>0</v>
      </c>
      <c r="AM586" s="907">
        <f t="shared" si="1375"/>
        <v>1.0506187499999999</v>
      </c>
    </row>
    <row r="587" spans="4:39" ht="11.25" customHeight="1" x14ac:dyDescent="0.2">
      <c r="D587" s="1092"/>
      <c r="E587" s="1093"/>
      <c r="F587" s="1093"/>
      <c r="G587" s="1093"/>
      <c r="H587" s="1094"/>
      <c r="I587" s="1095"/>
      <c r="J587" s="1096"/>
      <c r="K587" s="1096"/>
      <c r="L587" s="1096"/>
      <c r="M587" s="1097"/>
      <c r="N587" s="528">
        <v>0</v>
      </c>
      <c r="O587" s="529">
        <v>0</v>
      </c>
      <c r="P587" s="529">
        <v>0</v>
      </c>
      <c r="Q587" s="1019" t="s">
        <v>701</v>
      </c>
      <c r="R587" s="528">
        <v>0</v>
      </c>
      <c r="S587" s="529">
        <v>0</v>
      </c>
      <c r="T587" s="1011" t="s">
        <v>701</v>
      </c>
      <c r="U587" s="530">
        <v>0</v>
      </c>
      <c r="V587" s="529">
        <v>0</v>
      </c>
      <c r="W587" s="1011" t="s">
        <v>701</v>
      </c>
      <c r="X587" s="1016" t="s">
        <v>701</v>
      </c>
      <c r="Y587" s="529">
        <v>0</v>
      </c>
      <c r="Z587" s="1011" t="s">
        <v>701</v>
      </c>
      <c r="AA587" s="1102"/>
      <c r="AB587" s="1103"/>
      <c r="AC587" s="1099"/>
      <c r="AD587" s="1100"/>
      <c r="AE587" s="1107"/>
      <c r="AF587" s="1107"/>
      <c r="AG587" s="1107"/>
      <c r="AH587" s="1108"/>
      <c r="AI587" s="1106"/>
      <c r="AJ587" s="1041" t="s">
        <v>596</v>
      </c>
      <c r="AK587" s="906">
        <v>1</v>
      </c>
      <c r="AL587" s="49">
        <f t="shared" si="1374"/>
        <v>0</v>
      </c>
      <c r="AM587" s="907">
        <f t="shared" si="1375"/>
        <v>1.0506187499999999</v>
      </c>
    </row>
    <row r="588" spans="4:39" ht="11.25" customHeight="1" x14ac:dyDescent="0.2">
      <c r="D588" s="1092"/>
      <c r="E588" s="1093"/>
      <c r="F588" s="1093"/>
      <c r="G588" s="1093"/>
      <c r="H588" s="1094"/>
      <c r="I588" s="1095"/>
      <c r="J588" s="1096"/>
      <c r="K588" s="1096"/>
      <c r="L588" s="1096"/>
      <c r="M588" s="1097"/>
      <c r="N588" s="528">
        <v>0</v>
      </c>
      <c r="O588" s="529">
        <v>0</v>
      </c>
      <c r="P588" s="529">
        <v>0</v>
      </c>
      <c r="Q588" s="1019" t="s">
        <v>701</v>
      </c>
      <c r="R588" s="528">
        <v>0</v>
      </c>
      <c r="S588" s="529">
        <v>0</v>
      </c>
      <c r="T588" s="1011" t="s">
        <v>701</v>
      </c>
      <c r="U588" s="530">
        <v>0</v>
      </c>
      <c r="V588" s="529">
        <v>0</v>
      </c>
      <c r="W588" s="1011" t="s">
        <v>701</v>
      </c>
      <c r="X588" s="1016" t="s">
        <v>701</v>
      </c>
      <c r="Y588" s="529">
        <v>0</v>
      </c>
      <c r="Z588" s="1011" t="s">
        <v>701</v>
      </c>
      <c r="AA588" s="1102"/>
      <c r="AB588" s="1103"/>
      <c r="AC588" s="1099"/>
      <c r="AD588" s="1100"/>
      <c r="AE588" s="1107"/>
      <c r="AF588" s="1107"/>
      <c r="AG588" s="1107"/>
      <c r="AH588" s="1108"/>
      <c r="AI588" s="1106"/>
      <c r="AJ588" s="1041" t="s">
        <v>596</v>
      </c>
      <c r="AK588" s="906">
        <v>1</v>
      </c>
      <c r="AL588" s="49">
        <f t="shared" si="1374"/>
        <v>0</v>
      </c>
      <c r="AM588" s="907">
        <f t="shared" si="1375"/>
        <v>1.0506187499999999</v>
      </c>
    </row>
    <row r="589" spans="4:39" ht="11.25" customHeight="1" thickBot="1" x14ac:dyDescent="0.25">
      <c r="D589" s="532" t="s">
        <v>418</v>
      </c>
      <c r="E589" s="533"/>
      <c r="F589" s="534"/>
      <c r="G589" s="535"/>
      <c r="H589" s="535"/>
      <c r="I589" s="534"/>
      <c r="J589" s="535"/>
      <c r="K589" s="535"/>
      <c r="L589" s="535"/>
      <c r="M589" s="536"/>
      <c r="N589" s="537">
        <f>SUM(N583:N588)</f>
        <v>0</v>
      </c>
      <c r="O589" s="537">
        <f t="shared" ref="O589" si="1394">SUM(O583:O588)</f>
        <v>0</v>
      </c>
      <c r="P589" s="536"/>
      <c r="Q589" s="1020" t="s">
        <v>701</v>
      </c>
      <c r="R589" s="538"/>
      <c r="S589" s="539">
        <f t="shared" ref="S589" si="1395">SUM(S583:S588)</f>
        <v>0</v>
      </c>
      <c r="T589" s="1012" t="s">
        <v>701</v>
      </c>
      <c r="U589" s="538"/>
      <c r="V589" s="539">
        <f t="shared" ref="V589:Y589" si="1396">SUM(V583:V588)</f>
        <v>0</v>
      </c>
      <c r="W589" s="1012" t="s">
        <v>701</v>
      </c>
      <c r="X589" s="1012" t="s">
        <v>701</v>
      </c>
      <c r="Y589" s="539">
        <f t="shared" si="1396"/>
        <v>400</v>
      </c>
      <c r="Z589" s="1012" t="s">
        <v>701</v>
      </c>
      <c r="AA589" s="1012" t="s">
        <v>701</v>
      </c>
      <c r="AB589" s="1007" t="s">
        <v>701</v>
      </c>
      <c r="AC589" s="1013" t="s">
        <v>701</v>
      </c>
      <c r="AD589" s="540"/>
      <c r="AE589" s="1008" t="s">
        <v>701</v>
      </c>
      <c r="AF589" s="1008" t="s">
        <v>701</v>
      </c>
      <c r="AG589" s="1008" t="s">
        <v>701</v>
      </c>
      <c r="AH589" s="1008" t="s">
        <v>701</v>
      </c>
      <c r="AI589" s="1008" t="s">
        <v>701</v>
      </c>
      <c r="AJ589" s="1042" t="s">
        <v>596</v>
      </c>
      <c r="AK589" s="906">
        <v>1</v>
      </c>
      <c r="AL589" s="49">
        <f t="shared" si="1374"/>
        <v>0</v>
      </c>
      <c r="AM589" s="907">
        <f t="shared" si="1375"/>
        <v>1.0506187499999999</v>
      </c>
    </row>
    <row r="590" spans="4:39" ht="11.25" customHeight="1" x14ac:dyDescent="0.25">
      <c r="D590" s="1092" t="s">
        <v>768</v>
      </c>
      <c r="E590" s="1093" t="s">
        <v>718</v>
      </c>
      <c r="F590" s="1093">
        <v>2148</v>
      </c>
      <c r="G590" s="1093" t="s">
        <v>719</v>
      </c>
      <c r="H590" s="1094" t="s">
        <v>726</v>
      </c>
      <c r="I590" s="1095">
        <v>330</v>
      </c>
      <c r="J590" s="1096" t="s">
        <v>34</v>
      </c>
      <c r="K590" s="1096" t="s">
        <v>34</v>
      </c>
      <c r="L590" s="1096" t="s">
        <v>34</v>
      </c>
      <c r="M590" s="1097" t="s">
        <v>34</v>
      </c>
      <c r="N590" s="522">
        <v>0</v>
      </c>
      <c r="O590" s="523">
        <v>0</v>
      </c>
      <c r="P590" s="524">
        <v>0</v>
      </c>
      <c r="Q590" s="1018" t="s">
        <v>701</v>
      </c>
      <c r="R590" s="525">
        <v>0</v>
      </c>
      <c r="S590" s="524">
        <v>0</v>
      </c>
      <c r="T590" s="1017" t="s">
        <v>701</v>
      </c>
      <c r="U590" s="526">
        <v>0</v>
      </c>
      <c r="V590" s="524">
        <v>0</v>
      </c>
      <c r="W590" s="1010" t="s">
        <v>701</v>
      </c>
      <c r="X590" s="1015" t="s">
        <v>701</v>
      </c>
      <c r="Y590" s="527">
        <v>400</v>
      </c>
      <c r="Z590" s="1010" t="s">
        <v>701</v>
      </c>
      <c r="AA590" s="1102" t="s">
        <v>701</v>
      </c>
      <c r="AB590" s="1103" t="s">
        <v>701</v>
      </c>
      <c r="AC590" s="1099"/>
      <c r="AD590" s="1100">
        <v>0</v>
      </c>
      <c r="AE590" s="1107" t="s">
        <v>701</v>
      </c>
      <c r="AF590" s="1107" t="s">
        <v>701</v>
      </c>
      <c r="AG590" s="1107" t="s">
        <v>701</v>
      </c>
      <c r="AH590" s="1108" t="s">
        <v>701</v>
      </c>
      <c r="AI590" s="1106" t="s">
        <v>701</v>
      </c>
      <c r="AJ590" s="1040" t="s">
        <v>596</v>
      </c>
      <c r="AK590" s="906">
        <v>1</v>
      </c>
      <c r="AL590" s="49">
        <f t="shared" si="1374"/>
        <v>0</v>
      </c>
      <c r="AM590" s="907">
        <f t="shared" si="1375"/>
        <v>1.0506187499999999</v>
      </c>
    </row>
    <row r="591" spans="4:39" ht="11.25" customHeight="1" x14ac:dyDescent="0.2">
      <c r="D591" s="1092"/>
      <c r="E591" s="1093"/>
      <c r="F591" s="1093"/>
      <c r="G591" s="1093"/>
      <c r="H591" s="1094"/>
      <c r="I591" s="1095"/>
      <c r="J591" s="1096"/>
      <c r="K591" s="1096"/>
      <c r="L591" s="1096"/>
      <c r="M591" s="1097"/>
      <c r="N591" s="528">
        <v>0</v>
      </c>
      <c r="O591" s="529">
        <v>0</v>
      </c>
      <c r="P591" s="529">
        <v>0</v>
      </c>
      <c r="Q591" s="1019" t="s">
        <v>701</v>
      </c>
      <c r="R591" s="528">
        <v>0</v>
      </c>
      <c r="S591" s="529">
        <v>0</v>
      </c>
      <c r="T591" s="1011" t="s">
        <v>701</v>
      </c>
      <c r="U591" s="530">
        <v>0</v>
      </c>
      <c r="V591" s="529">
        <v>0</v>
      </c>
      <c r="W591" s="1011" t="s">
        <v>701</v>
      </c>
      <c r="X591" s="1016" t="s">
        <v>701</v>
      </c>
      <c r="Y591" s="531">
        <v>0</v>
      </c>
      <c r="Z591" s="1011" t="s">
        <v>701</v>
      </c>
      <c r="AA591" s="1102"/>
      <c r="AB591" s="1103"/>
      <c r="AC591" s="1099"/>
      <c r="AD591" s="1100"/>
      <c r="AE591" s="1107"/>
      <c r="AF591" s="1107"/>
      <c r="AG591" s="1107"/>
      <c r="AH591" s="1108"/>
      <c r="AI591" s="1106"/>
      <c r="AJ591" s="1041" t="s">
        <v>596</v>
      </c>
      <c r="AK591" s="906">
        <v>1</v>
      </c>
      <c r="AL591" s="49">
        <f t="shared" si="1374"/>
        <v>0</v>
      </c>
      <c r="AM591" s="907">
        <f t="shared" si="1375"/>
        <v>1.0506187499999999</v>
      </c>
    </row>
    <row r="592" spans="4:39" ht="11.25" customHeight="1" x14ac:dyDescent="0.2">
      <c r="D592" s="1092"/>
      <c r="E592" s="1093"/>
      <c r="F592" s="1093"/>
      <c r="G592" s="1093"/>
      <c r="H592" s="1094"/>
      <c r="I592" s="1095"/>
      <c r="J592" s="1096"/>
      <c r="K592" s="1096"/>
      <c r="L592" s="1096"/>
      <c r="M592" s="1097"/>
      <c r="N592" s="528">
        <v>0</v>
      </c>
      <c r="O592" s="529">
        <v>0</v>
      </c>
      <c r="P592" s="529">
        <v>0</v>
      </c>
      <c r="Q592" s="1019" t="s">
        <v>701</v>
      </c>
      <c r="R592" s="528">
        <v>0</v>
      </c>
      <c r="S592" s="529">
        <v>0</v>
      </c>
      <c r="T592" s="1011" t="s">
        <v>701</v>
      </c>
      <c r="U592" s="530">
        <v>0</v>
      </c>
      <c r="V592" s="529">
        <v>0</v>
      </c>
      <c r="W592" s="1011" t="s">
        <v>701</v>
      </c>
      <c r="X592" s="1016" t="s">
        <v>701</v>
      </c>
      <c r="Y592" s="529">
        <v>0</v>
      </c>
      <c r="Z592" s="1011" t="s">
        <v>701</v>
      </c>
      <c r="AA592" s="1102"/>
      <c r="AB592" s="1103"/>
      <c r="AC592" s="1099"/>
      <c r="AD592" s="1100"/>
      <c r="AE592" s="1107"/>
      <c r="AF592" s="1107"/>
      <c r="AG592" s="1107"/>
      <c r="AH592" s="1108"/>
      <c r="AI592" s="1106"/>
      <c r="AJ592" s="1041" t="s">
        <v>596</v>
      </c>
      <c r="AK592" s="906">
        <v>1</v>
      </c>
      <c r="AL592" s="49">
        <f t="shared" si="1374"/>
        <v>0</v>
      </c>
      <c r="AM592" s="907">
        <f t="shared" si="1375"/>
        <v>1.0506187499999999</v>
      </c>
    </row>
    <row r="593" spans="4:39" ht="11.25" customHeight="1" x14ac:dyDescent="0.2">
      <c r="D593" s="1092"/>
      <c r="E593" s="1093"/>
      <c r="F593" s="1093"/>
      <c r="G593" s="1093"/>
      <c r="H593" s="1094"/>
      <c r="I593" s="1095"/>
      <c r="J593" s="1096"/>
      <c r="K593" s="1096"/>
      <c r="L593" s="1096"/>
      <c r="M593" s="1097"/>
      <c r="N593" s="528">
        <v>0</v>
      </c>
      <c r="O593" s="529">
        <v>0</v>
      </c>
      <c r="P593" s="529">
        <v>0</v>
      </c>
      <c r="Q593" s="1019" t="s">
        <v>701</v>
      </c>
      <c r="R593" s="528">
        <v>0</v>
      </c>
      <c r="S593" s="529">
        <v>0</v>
      </c>
      <c r="T593" s="1011" t="s">
        <v>701</v>
      </c>
      <c r="U593" s="530">
        <v>0</v>
      </c>
      <c r="V593" s="529">
        <v>0</v>
      </c>
      <c r="W593" s="1011" t="s">
        <v>701</v>
      </c>
      <c r="X593" s="1016" t="s">
        <v>701</v>
      </c>
      <c r="Y593" s="529">
        <v>0</v>
      </c>
      <c r="Z593" s="1011" t="s">
        <v>701</v>
      </c>
      <c r="AA593" s="1102"/>
      <c r="AB593" s="1103"/>
      <c r="AC593" s="1099"/>
      <c r="AD593" s="1100"/>
      <c r="AE593" s="1107"/>
      <c r="AF593" s="1107"/>
      <c r="AG593" s="1107"/>
      <c r="AH593" s="1108"/>
      <c r="AI593" s="1106"/>
      <c r="AJ593" s="1041" t="s">
        <v>596</v>
      </c>
      <c r="AK593" s="906">
        <v>1</v>
      </c>
      <c r="AL593" s="49">
        <f t="shared" si="1374"/>
        <v>0</v>
      </c>
      <c r="AM593" s="907">
        <f t="shared" si="1375"/>
        <v>1.0506187499999999</v>
      </c>
    </row>
    <row r="594" spans="4:39" ht="11.25" customHeight="1" x14ac:dyDescent="0.2">
      <c r="D594" s="1092"/>
      <c r="E594" s="1093"/>
      <c r="F594" s="1093"/>
      <c r="G594" s="1093"/>
      <c r="H594" s="1094"/>
      <c r="I594" s="1095"/>
      <c r="J594" s="1096"/>
      <c r="K594" s="1096"/>
      <c r="L594" s="1096"/>
      <c r="M594" s="1097"/>
      <c r="N594" s="528">
        <v>0</v>
      </c>
      <c r="O594" s="529">
        <v>0</v>
      </c>
      <c r="P594" s="529">
        <v>0</v>
      </c>
      <c r="Q594" s="1019" t="s">
        <v>701</v>
      </c>
      <c r="R594" s="528">
        <v>0</v>
      </c>
      <c r="S594" s="529">
        <v>0</v>
      </c>
      <c r="T594" s="1011" t="s">
        <v>701</v>
      </c>
      <c r="U594" s="530">
        <v>0</v>
      </c>
      <c r="V594" s="529">
        <v>0</v>
      </c>
      <c r="W594" s="1011" t="s">
        <v>701</v>
      </c>
      <c r="X594" s="1016" t="s">
        <v>701</v>
      </c>
      <c r="Y594" s="529">
        <v>0</v>
      </c>
      <c r="Z594" s="1011" t="s">
        <v>701</v>
      </c>
      <c r="AA594" s="1102"/>
      <c r="AB594" s="1103"/>
      <c r="AC594" s="1099"/>
      <c r="AD594" s="1100"/>
      <c r="AE594" s="1107"/>
      <c r="AF594" s="1107"/>
      <c r="AG594" s="1107"/>
      <c r="AH594" s="1108"/>
      <c r="AI594" s="1106"/>
      <c r="AJ594" s="1041" t="s">
        <v>596</v>
      </c>
      <c r="AK594" s="906">
        <v>1</v>
      </c>
      <c r="AL594" s="49">
        <f t="shared" si="1374"/>
        <v>0</v>
      </c>
      <c r="AM594" s="907">
        <f t="shared" si="1375"/>
        <v>1.0506187499999999</v>
      </c>
    </row>
    <row r="595" spans="4:39" ht="11.25" customHeight="1" x14ac:dyDescent="0.2">
      <c r="D595" s="1092"/>
      <c r="E595" s="1093"/>
      <c r="F595" s="1093"/>
      <c r="G595" s="1093"/>
      <c r="H595" s="1094"/>
      <c r="I595" s="1095"/>
      <c r="J595" s="1096"/>
      <c r="K595" s="1096"/>
      <c r="L595" s="1096"/>
      <c r="M595" s="1097"/>
      <c r="N595" s="528">
        <v>0</v>
      </c>
      <c r="O595" s="529">
        <v>0</v>
      </c>
      <c r="P595" s="529">
        <v>0</v>
      </c>
      <c r="Q595" s="1019" t="s">
        <v>701</v>
      </c>
      <c r="R595" s="528">
        <v>0</v>
      </c>
      <c r="S595" s="529">
        <v>0</v>
      </c>
      <c r="T595" s="1011" t="s">
        <v>701</v>
      </c>
      <c r="U595" s="530">
        <v>0</v>
      </c>
      <c r="V595" s="529">
        <v>0</v>
      </c>
      <c r="W595" s="1011" t="s">
        <v>701</v>
      </c>
      <c r="X595" s="1016" t="s">
        <v>701</v>
      </c>
      <c r="Y595" s="529">
        <v>0</v>
      </c>
      <c r="Z595" s="1011" t="s">
        <v>701</v>
      </c>
      <c r="AA595" s="1102"/>
      <c r="AB595" s="1103"/>
      <c r="AC595" s="1099"/>
      <c r="AD595" s="1100"/>
      <c r="AE595" s="1107"/>
      <c r="AF595" s="1107"/>
      <c r="AG595" s="1107"/>
      <c r="AH595" s="1108"/>
      <c r="AI595" s="1106"/>
      <c r="AJ595" s="1041" t="s">
        <v>596</v>
      </c>
      <c r="AK595" s="906">
        <v>1</v>
      </c>
      <c r="AL595" s="49">
        <f t="shared" si="1374"/>
        <v>0</v>
      </c>
      <c r="AM595" s="907">
        <f t="shared" si="1375"/>
        <v>1.0506187499999999</v>
      </c>
    </row>
    <row r="596" spans="4:39" ht="11.25" customHeight="1" thickBot="1" x14ac:dyDescent="0.25">
      <c r="D596" s="532" t="s">
        <v>418</v>
      </c>
      <c r="E596" s="533"/>
      <c r="F596" s="534"/>
      <c r="G596" s="535"/>
      <c r="H596" s="535"/>
      <c r="I596" s="534"/>
      <c r="J596" s="535"/>
      <c r="K596" s="535"/>
      <c r="L596" s="535"/>
      <c r="M596" s="536"/>
      <c r="N596" s="537">
        <f>SUM(N590:N595)</f>
        <v>0</v>
      </c>
      <c r="O596" s="537">
        <f t="shared" ref="O596" si="1397">SUM(O590:O595)</f>
        <v>0</v>
      </c>
      <c r="P596" s="536"/>
      <c r="Q596" s="1020" t="s">
        <v>701</v>
      </c>
      <c r="R596" s="538"/>
      <c r="S596" s="539">
        <f t="shared" ref="S596" si="1398">SUM(S590:S595)</f>
        <v>0</v>
      </c>
      <c r="T596" s="1012" t="s">
        <v>701</v>
      </c>
      <c r="U596" s="538"/>
      <c r="V596" s="539">
        <f t="shared" ref="V596:Y596" si="1399">SUM(V590:V595)</f>
        <v>0</v>
      </c>
      <c r="W596" s="1012" t="s">
        <v>701</v>
      </c>
      <c r="X596" s="1012" t="s">
        <v>701</v>
      </c>
      <c r="Y596" s="539">
        <f t="shared" si="1399"/>
        <v>400</v>
      </c>
      <c r="Z596" s="1012" t="s">
        <v>701</v>
      </c>
      <c r="AA596" s="1012" t="s">
        <v>701</v>
      </c>
      <c r="AB596" s="1007" t="s">
        <v>701</v>
      </c>
      <c r="AC596" s="1013" t="s">
        <v>701</v>
      </c>
      <c r="AD596" s="540"/>
      <c r="AE596" s="1008" t="s">
        <v>701</v>
      </c>
      <c r="AF596" s="1008" t="s">
        <v>701</v>
      </c>
      <c r="AG596" s="1008" t="s">
        <v>701</v>
      </c>
      <c r="AH596" s="1008" t="s">
        <v>701</v>
      </c>
      <c r="AI596" s="1008" t="s">
        <v>701</v>
      </c>
      <c r="AJ596" s="1042" t="s">
        <v>596</v>
      </c>
      <c r="AK596" s="906">
        <v>1</v>
      </c>
      <c r="AL596" s="49">
        <f t="shared" si="1374"/>
        <v>0</v>
      </c>
      <c r="AM596" s="907">
        <f t="shared" si="1375"/>
        <v>1.0506187499999999</v>
      </c>
    </row>
    <row r="597" spans="4:39" ht="11.25" customHeight="1" x14ac:dyDescent="0.25">
      <c r="D597" s="1092" t="s">
        <v>769</v>
      </c>
      <c r="E597" s="1093" t="s">
        <v>718</v>
      </c>
      <c r="F597" s="1093">
        <v>2148</v>
      </c>
      <c r="G597" s="1093" t="s">
        <v>737</v>
      </c>
      <c r="H597" s="1094" t="s">
        <v>726</v>
      </c>
      <c r="I597" s="1095" t="s">
        <v>721</v>
      </c>
      <c r="J597" s="1096">
        <v>360</v>
      </c>
      <c r="K597" s="1096">
        <v>360</v>
      </c>
      <c r="L597" s="1096">
        <v>160</v>
      </c>
      <c r="M597" s="1097">
        <v>160</v>
      </c>
      <c r="N597" s="522">
        <v>0</v>
      </c>
      <c r="O597" s="523">
        <v>0</v>
      </c>
      <c r="P597" s="524">
        <v>0</v>
      </c>
      <c r="Q597" s="1018" t="s">
        <v>701</v>
      </c>
      <c r="R597" s="525">
        <v>0</v>
      </c>
      <c r="S597" s="524">
        <v>0</v>
      </c>
      <c r="T597" s="1017" t="s">
        <v>701</v>
      </c>
      <c r="U597" s="526">
        <v>0</v>
      </c>
      <c r="V597" s="524">
        <v>0</v>
      </c>
      <c r="W597" s="1010" t="s">
        <v>701</v>
      </c>
      <c r="X597" s="1015" t="s">
        <v>701</v>
      </c>
      <c r="Y597" s="527">
        <v>400</v>
      </c>
      <c r="Z597" s="1010" t="s">
        <v>701</v>
      </c>
      <c r="AA597" s="1102" t="s">
        <v>701</v>
      </c>
      <c r="AB597" s="1103" t="s">
        <v>701</v>
      </c>
      <c r="AC597" s="1099"/>
      <c r="AD597" s="1100">
        <v>0</v>
      </c>
      <c r="AE597" s="1107" t="s">
        <v>701</v>
      </c>
      <c r="AF597" s="1107" t="s">
        <v>701</v>
      </c>
      <c r="AG597" s="1107" t="s">
        <v>701</v>
      </c>
      <c r="AH597" s="1108" t="s">
        <v>701</v>
      </c>
      <c r="AI597" s="1106" t="s">
        <v>701</v>
      </c>
      <c r="AJ597" s="1040" t="s">
        <v>596</v>
      </c>
      <c r="AK597" s="906">
        <v>1</v>
      </c>
      <c r="AL597" s="49">
        <f t="shared" si="1374"/>
        <v>0</v>
      </c>
      <c r="AM597" s="907">
        <f t="shared" si="1375"/>
        <v>1.0506187499999999</v>
      </c>
    </row>
    <row r="598" spans="4:39" ht="11.25" customHeight="1" x14ac:dyDescent="0.2">
      <c r="D598" s="1092"/>
      <c r="E598" s="1093"/>
      <c r="F598" s="1093"/>
      <c r="G598" s="1093"/>
      <c r="H598" s="1094"/>
      <c r="I598" s="1095"/>
      <c r="J598" s="1096"/>
      <c r="K598" s="1096"/>
      <c r="L598" s="1096"/>
      <c r="M598" s="1097"/>
      <c r="N598" s="528">
        <v>0</v>
      </c>
      <c r="O598" s="529">
        <v>0</v>
      </c>
      <c r="P598" s="529">
        <v>0</v>
      </c>
      <c r="Q598" s="1019" t="s">
        <v>701</v>
      </c>
      <c r="R598" s="528">
        <v>0</v>
      </c>
      <c r="S598" s="529">
        <v>0</v>
      </c>
      <c r="T598" s="1011" t="s">
        <v>701</v>
      </c>
      <c r="U598" s="530">
        <v>0</v>
      </c>
      <c r="V598" s="529">
        <v>0</v>
      </c>
      <c r="W598" s="1011" t="s">
        <v>701</v>
      </c>
      <c r="X598" s="1016" t="s">
        <v>701</v>
      </c>
      <c r="Y598" s="531">
        <v>0</v>
      </c>
      <c r="Z598" s="1011" t="s">
        <v>701</v>
      </c>
      <c r="AA598" s="1102"/>
      <c r="AB598" s="1103"/>
      <c r="AC598" s="1099"/>
      <c r="AD598" s="1100"/>
      <c r="AE598" s="1107"/>
      <c r="AF598" s="1107"/>
      <c r="AG598" s="1107"/>
      <c r="AH598" s="1108"/>
      <c r="AI598" s="1106"/>
      <c r="AJ598" s="1041" t="s">
        <v>596</v>
      </c>
      <c r="AK598" s="906">
        <v>1</v>
      </c>
      <c r="AL598" s="49">
        <f t="shared" si="1374"/>
        <v>0</v>
      </c>
      <c r="AM598" s="907">
        <f t="shared" si="1375"/>
        <v>1.0506187499999999</v>
      </c>
    </row>
    <row r="599" spans="4:39" ht="11.25" customHeight="1" x14ac:dyDescent="0.2">
      <c r="D599" s="1092"/>
      <c r="E599" s="1093"/>
      <c r="F599" s="1093"/>
      <c r="G599" s="1093"/>
      <c r="H599" s="1094"/>
      <c r="I599" s="1095"/>
      <c r="J599" s="1096"/>
      <c r="K599" s="1096"/>
      <c r="L599" s="1096"/>
      <c r="M599" s="1097"/>
      <c r="N599" s="528">
        <v>0</v>
      </c>
      <c r="O599" s="529">
        <v>0</v>
      </c>
      <c r="P599" s="529">
        <v>0</v>
      </c>
      <c r="Q599" s="1019" t="s">
        <v>701</v>
      </c>
      <c r="R599" s="528">
        <v>0</v>
      </c>
      <c r="S599" s="529">
        <v>0</v>
      </c>
      <c r="T599" s="1011" t="s">
        <v>701</v>
      </c>
      <c r="U599" s="530">
        <v>0</v>
      </c>
      <c r="V599" s="529">
        <v>0</v>
      </c>
      <c r="W599" s="1011" t="s">
        <v>701</v>
      </c>
      <c r="X599" s="1016" t="s">
        <v>701</v>
      </c>
      <c r="Y599" s="529">
        <v>0</v>
      </c>
      <c r="Z599" s="1011" t="s">
        <v>701</v>
      </c>
      <c r="AA599" s="1102"/>
      <c r="AB599" s="1103"/>
      <c r="AC599" s="1099"/>
      <c r="AD599" s="1100"/>
      <c r="AE599" s="1107"/>
      <c r="AF599" s="1107"/>
      <c r="AG599" s="1107"/>
      <c r="AH599" s="1108"/>
      <c r="AI599" s="1106"/>
      <c r="AJ599" s="1041" t="s">
        <v>596</v>
      </c>
      <c r="AK599" s="906">
        <v>1</v>
      </c>
      <c r="AL599" s="49">
        <f t="shared" si="1374"/>
        <v>0</v>
      </c>
      <c r="AM599" s="907">
        <f t="shared" si="1375"/>
        <v>1.0506187499999999</v>
      </c>
    </row>
    <row r="600" spans="4:39" ht="11.25" customHeight="1" x14ac:dyDescent="0.2">
      <c r="D600" s="1092"/>
      <c r="E600" s="1093"/>
      <c r="F600" s="1093"/>
      <c r="G600" s="1093"/>
      <c r="H600" s="1094"/>
      <c r="I600" s="1095"/>
      <c r="J600" s="1096"/>
      <c r="K600" s="1096"/>
      <c r="L600" s="1096"/>
      <c r="M600" s="1097"/>
      <c r="N600" s="528">
        <v>0</v>
      </c>
      <c r="O600" s="529">
        <v>0</v>
      </c>
      <c r="P600" s="529">
        <v>0</v>
      </c>
      <c r="Q600" s="1019" t="s">
        <v>701</v>
      </c>
      <c r="R600" s="528">
        <v>0</v>
      </c>
      <c r="S600" s="529">
        <v>0</v>
      </c>
      <c r="T600" s="1011" t="s">
        <v>701</v>
      </c>
      <c r="U600" s="530">
        <v>0</v>
      </c>
      <c r="V600" s="529">
        <v>0</v>
      </c>
      <c r="W600" s="1011" t="s">
        <v>701</v>
      </c>
      <c r="X600" s="1016" t="s">
        <v>701</v>
      </c>
      <c r="Y600" s="529">
        <v>0</v>
      </c>
      <c r="Z600" s="1011" t="s">
        <v>701</v>
      </c>
      <c r="AA600" s="1102"/>
      <c r="AB600" s="1103"/>
      <c r="AC600" s="1099"/>
      <c r="AD600" s="1100"/>
      <c r="AE600" s="1107"/>
      <c r="AF600" s="1107"/>
      <c r="AG600" s="1107"/>
      <c r="AH600" s="1108"/>
      <c r="AI600" s="1106"/>
      <c r="AJ600" s="1041" t="s">
        <v>596</v>
      </c>
      <c r="AK600" s="906">
        <v>1</v>
      </c>
      <c r="AL600" s="49">
        <f t="shared" si="1374"/>
        <v>0</v>
      </c>
      <c r="AM600" s="907">
        <f t="shared" si="1375"/>
        <v>1.0506187499999999</v>
      </c>
    </row>
    <row r="601" spans="4:39" ht="11.25" customHeight="1" x14ac:dyDescent="0.2">
      <c r="D601" s="1092"/>
      <c r="E601" s="1093"/>
      <c r="F601" s="1093"/>
      <c r="G601" s="1093"/>
      <c r="H601" s="1094"/>
      <c r="I601" s="1095"/>
      <c r="J601" s="1096"/>
      <c r="K601" s="1096"/>
      <c r="L601" s="1096"/>
      <c r="M601" s="1097"/>
      <c r="N601" s="528">
        <v>0</v>
      </c>
      <c r="O601" s="529">
        <v>0</v>
      </c>
      <c r="P601" s="529">
        <v>0</v>
      </c>
      <c r="Q601" s="1019" t="s">
        <v>701</v>
      </c>
      <c r="R601" s="528">
        <v>0</v>
      </c>
      <c r="S601" s="529">
        <v>0</v>
      </c>
      <c r="T601" s="1011" t="s">
        <v>701</v>
      </c>
      <c r="U601" s="530">
        <v>0</v>
      </c>
      <c r="V601" s="529">
        <v>0</v>
      </c>
      <c r="W601" s="1011" t="s">
        <v>701</v>
      </c>
      <c r="X601" s="1016" t="s">
        <v>701</v>
      </c>
      <c r="Y601" s="529">
        <v>0</v>
      </c>
      <c r="Z601" s="1011" t="s">
        <v>701</v>
      </c>
      <c r="AA601" s="1102"/>
      <c r="AB601" s="1103"/>
      <c r="AC601" s="1099"/>
      <c r="AD601" s="1100"/>
      <c r="AE601" s="1107"/>
      <c r="AF601" s="1107"/>
      <c r="AG601" s="1107"/>
      <c r="AH601" s="1108"/>
      <c r="AI601" s="1106"/>
      <c r="AJ601" s="1041" t="s">
        <v>596</v>
      </c>
      <c r="AK601" s="906">
        <v>1</v>
      </c>
      <c r="AL601" s="49">
        <f t="shared" si="1374"/>
        <v>0</v>
      </c>
      <c r="AM601" s="907">
        <f t="shared" si="1375"/>
        <v>1.0506187499999999</v>
      </c>
    </row>
    <row r="602" spans="4:39" ht="11.25" customHeight="1" x14ac:dyDescent="0.2">
      <c r="D602" s="1092"/>
      <c r="E602" s="1093"/>
      <c r="F602" s="1093"/>
      <c r="G602" s="1093"/>
      <c r="H602" s="1094"/>
      <c r="I602" s="1095"/>
      <c r="J602" s="1096"/>
      <c r="K602" s="1096"/>
      <c r="L602" s="1096"/>
      <c r="M602" s="1097"/>
      <c r="N602" s="528">
        <v>0</v>
      </c>
      <c r="O602" s="529">
        <v>0</v>
      </c>
      <c r="P602" s="529">
        <v>0</v>
      </c>
      <c r="Q602" s="1019" t="s">
        <v>701</v>
      </c>
      <c r="R602" s="528">
        <v>0</v>
      </c>
      <c r="S602" s="529">
        <v>0</v>
      </c>
      <c r="T602" s="1011" t="s">
        <v>701</v>
      </c>
      <c r="U602" s="530">
        <v>0</v>
      </c>
      <c r="V602" s="529">
        <v>0</v>
      </c>
      <c r="W602" s="1011" t="s">
        <v>701</v>
      </c>
      <c r="X602" s="1016" t="s">
        <v>701</v>
      </c>
      <c r="Y602" s="529">
        <v>0</v>
      </c>
      <c r="Z602" s="1011" t="s">
        <v>701</v>
      </c>
      <c r="AA602" s="1102"/>
      <c r="AB602" s="1103"/>
      <c r="AC602" s="1099"/>
      <c r="AD602" s="1100"/>
      <c r="AE602" s="1107"/>
      <c r="AF602" s="1107"/>
      <c r="AG602" s="1107"/>
      <c r="AH602" s="1108"/>
      <c r="AI602" s="1106"/>
      <c r="AJ602" s="1041" t="s">
        <v>596</v>
      </c>
      <c r="AK602" s="906">
        <v>1</v>
      </c>
      <c r="AL602" s="49">
        <f t="shared" si="1374"/>
        <v>0</v>
      </c>
      <c r="AM602" s="907">
        <f t="shared" si="1375"/>
        <v>1.0506187499999999</v>
      </c>
    </row>
    <row r="603" spans="4:39" ht="11.25" customHeight="1" thickBot="1" x14ac:dyDescent="0.25">
      <c r="D603" s="532" t="s">
        <v>418</v>
      </c>
      <c r="E603" s="533"/>
      <c r="F603" s="534"/>
      <c r="G603" s="535"/>
      <c r="H603" s="535"/>
      <c r="I603" s="534"/>
      <c r="J603" s="535"/>
      <c r="K603" s="535"/>
      <c r="L603" s="535"/>
      <c r="M603" s="536"/>
      <c r="N603" s="537">
        <f>SUM(N597:N602)</f>
        <v>0</v>
      </c>
      <c r="O603" s="537">
        <f t="shared" ref="O603" si="1400">SUM(O597:O602)</f>
        <v>0</v>
      </c>
      <c r="P603" s="536"/>
      <c r="Q603" s="1020" t="s">
        <v>701</v>
      </c>
      <c r="R603" s="538"/>
      <c r="S603" s="539">
        <f t="shared" ref="S603" si="1401">SUM(S597:S602)</f>
        <v>0</v>
      </c>
      <c r="T603" s="1012" t="s">
        <v>701</v>
      </c>
      <c r="U603" s="538"/>
      <c r="V603" s="539">
        <f t="shared" ref="V603:Y603" si="1402">SUM(V597:V602)</f>
        <v>0</v>
      </c>
      <c r="W603" s="1012" t="s">
        <v>701</v>
      </c>
      <c r="X603" s="1012" t="s">
        <v>701</v>
      </c>
      <c r="Y603" s="539">
        <f t="shared" si="1402"/>
        <v>400</v>
      </c>
      <c r="Z603" s="1012" t="s">
        <v>701</v>
      </c>
      <c r="AA603" s="1012" t="s">
        <v>701</v>
      </c>
      <c r="AB603" s="1007" t="s">
        <v>701</v>
      </c>
      <c r="AC603" s="1013" t="s">
        <v>701</v>
      </c>
      <c r="AD603" s="540"/>
      <c r="AE603" s="1008" t="s">
        <v>701</v>
      </c>
      <c r="AF603" s="1008" t="s">
        <v>701</v>
      </c>
      <c r="AG603" s="1008" t="s">
        <v>701</v>
      </c>
      <c r="AH603" s="1008" t="s">
        <v>701</v>
      </c>
      <c r="AI603" s="1008" t="s">
        <v>701</v>
      </c>
      <c r="AJ603" s="1042" t="s">
        <v>596</v>
      </c>
      <c r="AK603" s="906">
        <v>1</v>
      </c>
      <c r="AL603" s="49">
        <f t="shared" si="1374"/>
        <v>0</v>
      </c>
      <c r="AM603" s="907">
        <f t="shared" si="1375"/>
        <v>1.0506187499999999</v>
      </c>
    </row>
    <row r="604" spans="4:39" ht="11.25" customHeight="1" x14ac:dyDescent="0.25">
      <c r="D604" s="1092" t="s">
        <v>770</v>
      </c>
      <c r="E604" s="1093" t="s">
        <v>718</v>
      </c>
      <c r="F604" s="1093">
        <v>2148</v>
      </c>
      <c r="G604" s="1093" t="s">
        <v>737</v>
      </c>
      <c r="H604" s="1094" t="s">
        <v>726</v>
      </c>
      <c r="I604" s="1095" t="s">
        <v>721</v>
      </c>
      <c r="J604" s="1096">
        <v>750</v>
      </c>
      <c r="K604" s="1096">
        <v>750</v>
      </c>
      <c r="L604" s="1096">
        <v>375</v>
      </c>
      <c r="M604" s="1097">
        <v>375</v>
      </c>
      <c r="N604" s="522">
        <v>0</v>
      </c>
      <c r="O604" s="523">
        <v>0</v>
      </c>
      <c r="P604" s="524">
        <v>0</v>
      </c>
      <c r="Q604" s="1018" t="s">
        <v>701</v>
      </c>
      <c r="R604" s="525">
        <v>0</v>
      </c>
      <c r="S604" s="524">
        <v>0</v>
      </c>
      <c r="T604" s="1017" t="s">
        <v>701</v>
      </c>
      <c r="U604" s="526">
        <v>0</v>
      </c>
      <c r="V604" s="524">
        <v>0</v>
      </c>
      <c r="W604" s="1010" t="s">
        <v>701</v>
      </c>
      <c r="X604" s="1015" t="s">
        <v>701</v>
      </c>
      <c r="Y604" s="527">
        <v>400</v>
      </c>
      <c r="Z604" s="1010" t="s">
        <v>701</v>
      </c>
      <c r="AA604" s="1102" t="s">
        <v>701</v>
      </c>
      <c r="AB604" s="1103" t="s">
        <v>701</v>
      </c>
      <c r="AC604" s="1099"/>
      <c r="AD604" s="1100">
        <v>0</v>
      </c>
      <c r="AE604" s="1107" t="s">
        <v>701</v>
      </c>
      <c r="AF604" s="1107" t="s">
        <v>701</v>
      </c>
      <c r="AG604" s="1107" t="s">
        <v>701</v>
      </c>
      <c r="AH604" s="1108" t="s">
        <v>701</v>
      </c>
      <c r="AI604" s="1106" t="s">
        <v>701</v>
      </c>
      <c r="AJ604" s="1040" t="s">
        <v>596</v>
      </c>
      <c r="AK604" s="906">
        <v>1</v>
      </c>
      <c r="AL604" s="49">
        <f t="shared" si="1374"/>
        <v>0</v>
      </c>
      <c r="AM604" s="907">
        <f t="shared" si="1375"/>
        <v>1.0506187499999999</v>
      </c>
    </row>
    <row r="605" spans="4:39" ht="11.25" customHeight="1" x14ac:dyDescent="0.2">
      <c r="D605" s="1092"/>
      <c r="E605" s="1093"/>
      <c r="F605" s="1093"/>
      <c r="G605" s="1093"/>
      <c r="H605" s="1094"/>
      <c r="I605" s="1095"/>
      <c r="J605" s="1096"/>
      <c r="K605" s="1096"/>
      <c r="L605" s="1096"/>
      <c r="M605" s="1097"/>
      <c r="N605" s="528">
        <v>0</v>
      </c>
      <c r="O605" s="529">
        <v>0</v>
      </c>
      <c r="P605" s="529">
        <v>0</v>
      </c>
      <c r="Q605" s="1019" t="s">
        <v>701</v>
      </c>
      <c r="R605" s="528">
        <v>0</v>
      </c>
      <c r="S605" s="529">
        <v>0</v>
      </c>
      <c r="T605" s="1011" t="s">
        <v>701</v>
      </c>
      <c r="U605" s="530">
        <v>0</v>
      </c>
      <c r="V605" s="529">
        <v>0</v>
      </c>
      <c r="W605" s="1011" t="s">
        <v>701</v>
      </c>
      <c r="X605" s="1016" t="s">
        <v>701</v>
      </c>
      <c r="Y605" s="531">
        <v>0</v>
      </c>
      <c r="Z605" s="1011" t="s">
        <v>701</v>
      </c>
      <c r="AA605" s="1102"/>
      <c r="AB605" s="1103"/>
      <c r="AC605" s="1099"/>
      <c r="AD605" s="1100"/>
      <c r="AE605" s="1107"/>
      <c r="AF605" s="1107"/>
      <c r="AG605" s="1107"/>
      <c r="AH605" s="1108"/>
      <c r="AI605" s="1106"/>
      <c r="AJ605" s="1041" t="s">
        <v>596</v>
      </c>
      <c r="AK605" s="906">
        <v>1</v>
      </c>
      <c r="AL605" s="49">
        <f t="shared" si="1374"/>
        <v>0</v>
      </c>
      <c r="AM605" s="907">
        <f t="shared" si="1375"/>
        <v>1.0506187499999999</v>
      </c>
    </row>
    <row r="606" spans="4:39" ht="11.25" customHeight="1" x14ac:dyDescent="0.2">
      <c r="D606" s="1092"/>
      <c r="E606" s="1093"/>
      <c r="F606" s="1093"/>
      <c r="G606" s="1093"/>
      <c r="H606" s="1094"/>
      <c r="I606" s="1095"/>
      <c r="J606" s="1096"/>
      <c r="K606" s="1096"/>
      <c r="L606" s="1096"/>
      <c r="M606" s="1097"/>
      <c r="N606" s="528">
        <v>0</v>
      </c>
      <c r="O606" s="529">
        <v>0</v>
      </c>
      <c r="P606" s="529">
        <v>0</v>
      </c>
      <c r="Q606" s="1019" t="s">
        <v>701</v>
      </c>
      <c r="R606" s="528">
        <v>0</v>
      </c>
      <c r="S606" s="529">
        <v>0</v>
      </c>
      <c r="T606" s="1011" t="s">
        <v>701</v>
      </c>
      <c r="U606" s="530">
        <v>0</v>
      </c>
      <c r="V606" s="529">
        <v>0</v>
      </c>
      <c r="W606" s="1011" t="s">
        <v>701</v>
      </c>
      <c r="X606" s="1016" t="s">
        <v>701</v>
      </c>
      <c r="Y606" s="529">
        <v>0</v>
      </c>
      <c r="Z606" s="1011" t="s">
        <v>701</v>
      </c>
      <c r="AA606" s="1102"/>
      <c r="AB606" s="1103"/>
      <c r="AC606" s="1099"/>
      <c r="AD606" s="1100"/>
      <c r="AE606" s="1107"/>
      <c r="AF606" s="1107"/>
      <c r="AG606" s="1107"/>
      <c r="AH606" s="1108"/>
      <c r="AI606" s="1106"/>
      <c r="AJ606" s="1041" t="s">
        <v>596</v>
      </c>
      <c r="AK606" s="906">
        <v>1</v>
      </c>
      <c r="AL606" s="49">
        <f t="shared" si="1374"/>
        <v>0</v>
      </c>
      <c r="AM606" s="907">
        <f t="shared" si="1375"/>
        <v>1.0506187499999999</v>
      </c>
    </row>
    <row r="607" spans="4:39" ht="11.25" customHeight="1" x14ac:dyDescent="0.2">
      <c r="D607" s="1092"/>
      <c r="E607" s="1093"/>
      <c r="F607" s="1093"/>
      <c r="G607" s="1093"/>
      <c r="H607" s="1094"/>
      <c r="I607" s="1095"/>
      <c r="J607" s="1096"/>
      <c r="K607" s="1096"/>
      <c r="L607" s="1096"/>
      <c r="M607" s="1097"/>
      <c r="N607" s="528">
        <v>0</v>
      </c>
      <c r="O607" s="529">
        <v>0</v>
      </c>
      <c r="P607" s="529">
        <v>0</v>
      </c>
      <c r="Q607" s="1019" t="s">
        <v>701</v>
      </c>
      <c r="R607" s="528">
        <v>0</v>
      </c>
      <c r="S607" s="529">
        <v>0</v>
      </c>
      <c r="T607" s="1011" t="s">
        <v>701</v>
      </c>
      <c r="U607" s="530">
        <v>0</v>
      </c>
      <c r="V607" s="529">
        <v>0</v>
      </c>
      <c r="W607" s="1011" t="s">
        <v>701</v>
      </c>
      <c r="X607" s="1016" t="s">
        <v>701</v>
      </c>
      <c r="Y607" s="529">
        <v>0</v>
      </c>
      <c r="Z607" s="1011" t="s">
        <v>701</v>
      </c>
      <c r="AA607" s="1102"/>
      <c r="AB607" s="1103"/>
      <c r="AC607" s="1099"/>
      <c r="AD607" s="1100"/>
      <c r="AE607" s="1107"/>
      <c r="AF607" s="1107"/>
      <c r="AG607" s="1107"/>
      <c r="AH607" s="1108"/>
      <c r="AI607" s="1106"/>
      <c r="AJ607" s="1041" t="s">
        <v>596</v>
      </c>
      <c r="AK607" s="906">
        <v>1</v>
      </c>
      <c r="AL607" s="49">
        <f t="shared" si="1374"/>
        <v>0</v>
      </c>
      <c r="AM607" s="907">
        <f t="shared" si="1375"/>
        <v>1.0506187499999999</v>
      </c>
    </row>
    <row r="608" spans="4:39" ht="11.25" customHeight="1" x14ac:dyDescent="0.2">
      <c r="D608" s="1092"/>
      <c r="E608" s="1093"/>
      <c r="F608" s="1093"/>
      <c r="G608" s="1093"/>
      <c r="H608" s="1094"/>
      <c r="I608" s="1095"/>
      <c r="J608" s="1096"/>
      <c r="K608" s="1096"/>
      <c r="L608" s="1096"/>
      <c r="M608" s="1097"/>
      <c r="N608" s="528">
        <v>0</v>
      </c>
      <c r="O608" s="529">
        <v>0</v>
      </c>
      <c r="P608" s="529">
        <v>0</v>
      </c>
      <c r="Q608" s="1019" t="s">
        <v>701</v>
      </c>
      <c r="R608" s="528">
        <v>0</v>
      </c>
      <c r="S608" s="529">
        <v>0</v>
      </c>
      <c r="T608" s="1011" t="s">
        <v>701</v>
      </c>
      <c r="U608" s="530">
        <v>0</v>
      </c>
      <c r="V608" s="529">
        <v>0</v>
      </c>
      <c r="W608" s="1011" t="s">
        <v>701</v>
      </c>
      <c r="X608" s="1016" t="s">
        <v>701</v>
      </c>
      <c r="Y608" s="529">
        <v>0</v>
      </c>
      <c r="Z608" s="1011" t="s">
        <v>701</v>
      </c>
      <c r="AA608" s="1102"/>
      <c r="AB608" s="1103"/>
      <c r="AC608" s="1099"/>
      <c r="AD608" s="1100"/>
      <c r="AE608" s="1107"/>
      <c r="AF608" s="1107"/>
      <c r="AG608" s="1107"/>
      <c r="AH608" s="1108"/>
      <c r="AI608" s="1106"/>
      <c r="AJ608" s="1041" t="s">
        <v>596</v>
      </c>
      <c r="AK608" s="906">
        <v>1</v>
      </c>
      <c r="AL608" s="49">
        <f t="shared" si="1374"/>
        <v>0</v>
      </c>
      <c r="AM608" s="907">
        <f t="shared" si="1375"/>
        <v>1.0506187499999999</v>
      </c>
    </row>
    <row r="609" spans="4:39" ht="11.25" customHeight="1" x14ac:dyDescent="0.2">
      <c r="D609" s="1092"/>
      <c r="E609" s="1093"/>
      <c r="F609" s="1093"/>
      <c r="G609" s="1093"/>
      <c r="H609" s="1094"/>
      <c r="I609" s="1095"/>
      <c r="J609" s="1096"/>
      <c r="K609" s="1096"/>
      <c r="L609" s="1096"/>
      <c r="M609" s="1097"/>
      <c r="N609" s="528">
        <v>0</v>
      </c>
      <c r="O609" s="529">
        <v>0</v>
      </c>
      <c r="P609" s="529">
        <v>0</v>
      </c>
      <c r="Q609" s="1019" t="s">
        <v>701</v>
      </c>
      <c r="R609" s="528">
        <v>0</v>
      </c>
      <c r="S609" s="529">
        <v>0</v>
      </c>
      <c r="T609" s="1011" t="s">
        <v>701</v>
      </c>
      <c r="U609" s="530">
        <v>0</v>
      </c>
      <c r="V609" s="529">
        <v>0</v>
      </c>
      <c r="W609" s="1011" t="s">
        <v>701</v>
      </c>
      <c r="X609" s="1016" t="s">
        <v>701</v>
      </c>
      <c r="Y609" s="529">
        <v>0</v>
      </c>
      <c r="Z609" s="1011" t="s">
        <v>701</v>
      </c>
      <c r="AA609" s="1102"/>
      <c r="AB609" s="1103"/>
      <c r="AC609" s="1099"/>
      <c r="AD609" s="1100"/>
      <c r="AE609" s="1107"/>
      <c r="AF609" s="1107"/>
      <c r="AG609" s="1107"/>
      <c r="AH609" s="1108"/>
      <c r="AI609" s="1106"/>
      <c r="AJ609" s="1041" t="s">
        <v>596</v>
      </c>
      <c r="AK609" s="906">
        <v>1</v>
      </c>
      <c r="AL609" s="49">
        <f t="shared" ref="AL609:AL668" si="1403">IF(AK609,0,1)</f>
        <v>0</v>
      </c>
      <c r="AM609" s="907">
        <f t="shared" ref="AM609:AM667" si="1404">AK609*$N$335+AL609*$O$345</f>
        <v>1.0506187499999999</v>
      </c>
    </row>
    <row r="610" spans="4:39" ht="11.25" customHeight="1" thickBot="1" x14ac:dyDescent="0.25">
      <c r="D610" s="532" t="s">
        <v>418</v>
      </c>
      <c r="E610" s="533"/>
      <c r="F610" s="534"/>
      <c r="G610" s="535"/>
      <c r="H610" s="535"/>
      <c r="I610" s="534"/>
      <c r="J610" s="535"/>
      <c r="K610" s="535"/>
      <c r="L610" s="535"/>
      <c r="M610" s="536"/>
      <c r="N610" s="537">
        <f>SUM(N604:N609)</f>
        <v>0</v>
      </c>
      <c r="O610" s="537">
        <f t="shared" ref="O610" si="1405">SUM(O604:O609)</f>
        <v>0</v>
      </c>
      <c r="P610" s="536"/>
      <c r="Q610" s="1020" t="s">
        <v>701</v>
      </c>
      <c r="R610" s="538"/>
      <c r="S610" s="539">
        <f t="shared" ref="S610" si="1406">SUM(S604:S609)</f>
        <v>0</v>
      </c>
      <c r="T610" s="1012" t="s">
        <v>701</v>
      </c>
      <c r="U610" s="538"/>
      <c r="V610" s="539">
        <f t="shared" ref="V610:Y610" si="1407">SUM(V604:V609)</f>
        <v>0</v>
      </c>
      <c r="W610" s="1012" t="s">
        <v>701</v>
      </c>
      <c r="X610" s="1012" t="s">
        <v>701</v>
      </c>
      <c r="Y610" s="539">
        <f t="shared" si="1407"/>
        <v>400</v>
      </c>
      <c r="Z610" s="1012" t="s">
        <v>701</v>
      </c>
      <c r="AA610" s="1012" t="s">
        <v>701</v>
      </c>
      <c r="AB610" s="1007" t="s">
        <v>701</v>
      </c>
      <c r="AC610" s="1013" t="s">
        <v>701</v>
      </c>
      <c r="AD610" s="540"/>
      <c r="AE610" s="1008" t="s">
        <v>701</v>
      </c>
      <c r="AF610" s="1008" t="s">
        <v>701</v>
      </c>
      <c r="AG610" s="1008" t="s">
        <v>701</v>
      </c>
      <c r="AH610" s="1008" t="s">
        <v>701</v>
      </c>
      <c r="AI610" s="1008" t="s">
        <v>701</v>
      </c>
      <c r="AJ610" s="1042" t="s">
        <v>596</v>
      </c>
      <c r="AK610" s="906">
        <v>1</v>
      </c>
      <c r="AL610" s="49">
        <f t="shared" si="1403"/>
        <v>0</v>
      </c>
      <c r="AM610" s="907">
        <f t="shared" si="1404"/>
        <v>1.0506187499999999</v>
      </c>
    </row>
    <row r="611" spans="4:39" ht="11.25" customHeight="1" x14ac:dyDescent="0.25">
      <c r="D611" s="1092" t="s">
        <v>771</v>
      </c>
      <c r="E611" s="1093" t="s">
        <v>718</v>
      </c>
      <c r="F611" s="1093">
        <v>2148</v>
      </c>
      <c r="G611" s="1093" t="s">
        <v>737</v>
      </c>
      <c r="H611" s="1094" t="s">
        <v>726</v>
      </c>
      <c r="I611" s="1095" t="s">
        <v>721</v>
      </c>
      <c r="J611" s="1096">
        <v>750</v>
      </c>
      <c r="K611" s="1096">
        <v>750</v>
      </c>
      <c r="L611" s="1096">
        <v>375</v>
      </c>
      <c r="M611" s="1097">
        <v>375</v>
      </c>
      <c r="N611" s="522">
        <v>0</v>
      </c>
      <c r="O611" s="523">
        <v>0</v>
      </c>
      <c r="P611" s="524">
        <v>0</v>
      </c>
      <c r="Q611" s="1018" t="s">
        <v>701</v>
      </c>
      <c r="R611" s="525">
        <v>0</v>
      </c>
      <c r="S611" s="524">
        <v>0</v>
      </c>
      <c r="T611" s="1017" t="s">
        <v>701</v>
      </c>
      <c r="U611" s="526">
        <v>0</v>
      </c>
      <c r="V611" s="524">
        <v>0</v>
      </c>
      <c r="W611" s="1010" t="s">
        <v>701</v>
      </c>
      <c r="X611" s="1015" t="s">
        <v>701</v>
      </c>
      <c r="Y611" s="527">
        <v>400</v>
      </c>
      <c r="Z611" s="1010" t="s">
        <v>701</v>
      </c>
      <c r="AA611" s="1102" t="s">
        <v>701</v>
      </c>
      <c r="AB611" s="1103" t="s">
        <v>701</v>
      </c>
      <c r="AC611" s="1099"/>
      <c r="AD611" s="1100">
        <v>0</v>
      </c>
      <c r="AE611" s="1107" t="s">
        <v>701</v>
      </c>
      <c r="AF611" s="1107" t="s">
        <v>701</v>
      </c>
      <c r="AG611" s="1107" t="s">
        <v>701</v>
      </c>
      <c r="AH611" s="1108" t="s">
        <v>701</v>
      </c>
      <c r="AI611" s="1106" t="s">
        <v>701</v>
      </c>
      <c r="AJ611" s="1040" t="s">
        <v>596</v>
      </c>
      <c r="AK611" s="906">
        <v>1</v>
      </c>
      <c r="AL611" s="49">
        <f t="shared" si="1403"/>
        <v>0</v>
      </c>
      <c r="AM611" s="907">
        <f t="shared" si="1404"/>
        <v>1.0506187499999999</v>
      </c>
    </row>
    <row r="612" spans="4:39" ht="11.25" customHeight="1" x14ac:dyDescent="0.2">
      <c r="D612" s="1092"/>
      <c r="E612" s="1093"/>
      <c r="F612" s="1093"/>
      <c r="G612" s="1093"/>
      <c r="H612" s="1094"/>
      <c r="I612" s="1095"/>
      <c r="J612" s="1096"/>
      <c r="K612" s="1096"/>
      <c r="L612" s="1096"/>
      <c r="M612" s="1097"/>
      <c r="N612" s="528">
        <v>0</v>
      </c>
      <c r="O612" s="529">
        <v>0</v>
      </c>
      <c r="P612" s="529">
        <v>0</v>
      </c>
      <c r="Q612" s="1019" t="s">
        <v>701</v>
      </c>
      <c r="R612" s="528">
        <v>0</v>
      </c>
      <c r="S612" s="529">
        <v>0</v>
      </c>
      <c r="T612" s="1011" t="s">
        <v>701</v>
      </c>
      <c r="U612" s="530">
        <v>0</v>
      </c>
      <c r="V612" s="529">
        <v>0</v>
      </c>
      <c r="W612" s="1011" t="s">
        <v>701</v>
      </c>
      <c r="X612" s="1016" t="s">
        <v>701</v>
      </c>
      <c r="Y612" s="531">
        <v>0</v>
      </c>
      <c r="Z612" s="1011" t="s">
        <v>701</v>
      </c>
      <c r="AA612" s="1102"/>
      <c r="AB612" s="1103"/>
      <c r="AC612" s="1099"/>
      <c r="AD612" s="1100"/>
      <c r="AE612" s="1107"/>
      <c r="AF612" s="1107"/>
      <c r="AG612" s="1107"/>
      <c r="AH612" s="1108"/>
      <c r="AI612" s="1106"/>
      <c r="AJ612" s="1041" t="s">
        <v>596</v>
      </c>
      <c r="AK612" s="906">
        <v>1</v>
      </c>
      <c r="AL612" s="49">
        <f t="shared" si="1403"/>
        <v>0</v>
      </c>
      <c r="AM612" s="907">
        <f t="shared" si="1404"/>
        <v>1.0506187499999999</v>
      </c>
    </row>
    <row r="613" spans="4:39" ht="11.25" customHeight="1" x14ac:dyDescent="0.2">
      <c r="D613" s="1092"/>
      <c r="E613" s="1093"/>
      <c r="F613" s="1093"/>
      <c r="G613" s="1093"/>
      <c r="H613" s="1094"/>
      <c r="I613" s="1095"/>
      <c r="J613" s="1096"/>
      <c r="K613" s="1096"/>
      <c r="L613" s="1096"/>
      <c r="M613" s="1097"/>
      <c r="N613" s="528">
        <v>0</v>
      </c>
      <c r="O613" s="529">
        <v>0</v>
      </c>
      <c r="P613" s="529">
        <v>0</v>
      </c>
      <c r="Q613" s="1019" t="s">
        <v>701</v>
      </c>
      <c r="R613" s="528">
        <v>0</v>
      </c>
      <c r="S613" s="529">
        <v>0</v>
      </c>
      <c r="T613" s="1011" t="s">
        <v>701</v>
      </c>
      <c r="U613" s="530">
        <v>0</v>
      </c>
      <c r="V613" s="529">
        <v>0</v>
      </c>
      <c r="W613" s="1011" t="s">
        <v>701</v>
      </c>
      <c r="X613" s="1016" t="s">
        <v>701</v>
      </c>
      <c r="Y613" s="529">
        <v>0</v>
      </c>
      <c r="Z613" s="1011" t="s">
        <v>701</v>
      </c>
      <c r="AA613" s="1102"/>
      <c r="AB613" s="1103"/>
      <c r="AC613" s="1099"/>
      <c r="AD613" s="1100"/>
      <c r="AE613" s="1107"/>
      <c r="AF613" s="1107"/>
      <c r="AG613" s="1107"/>
      <c r="AH613" s="1108"/>
      <c r="AI613" s="1106"/>
      <c r="AJ613" s="1041" t="s">
        <v>596</v>
      </c>
      <c r="AK613" s="906">
        <v>1</v>
      </c>
      <c r="AL613" s="49">
        <f t="shared" si="1403"/>
        <v>0</v>
      </c>
      <c r="AM613" s="907">
        <f t="shared" si="1404"/>
        <v>1.0506187499999999</v>
      </c>
    </row>
    <row r="614" spans="4:39" ht="11.25" customHeight="1" x14ac:dyDescent="0.2">
      <c r="D614" s="1092"/>
      <c r="E614" s="1093"/>
      <c r="F614" s="1093"/>
      <c r="G614" s="1093"/>
      <c r="H614" s="1094"/>
      <c r="I614" s="1095"/>
      <c r="J614" s="1096"/>
      <c r="K614" s="1096"/>
      <c r="L614" s="1096"/>
      <c r="M614" s="1097"/>
      <c r="N614" s="528">
        <v>0</v>
      </c>
      <c r="O614" s="529">
        <v>0</v>
      </c>
      <c r="P614" s="529">
        <v>0</v>
      </c>
      <c r="Q614" s="1019" t="s">
        <v>701</v>
      </c>
      <c r="R614" s="528">
        <v>0</v>
      </c>
      <c r="S614" s="529">
        <v>0</v>
      </c>
      <c r="T614" s="1011" t="s">
        <v>701</v>
      </c>
      <c r="U614" s="530">
        <v>0</v>
      </c>
      <c r="V614" s="529">
        <v>0</v>
      </c>
      <c r="W614" s="1011" t="s">
        <v>701</v>
      </c>
      <c r="X614" s="1016" t="s">
        <v>701</v>
      </c>
      <c r="Y614" s="529">
        <v>0</v>
      </c>
      <c r="Z614" s="1011" t="s">
        <v>701</v>
      </c>
      <c r="AA614" s="1102"/>
      <c r="AB614" s="1103"/>
      <c r="AC614" s="1099"/>
      <c r="AD614" s="1100"/>
      <c r="AE614" s="1107"/>
      <c r="AF614" s="1107"/>
      <c r="AG614" s="1107"/>
      <c r="AH614" s="1108"/>
      <c r="AI614" s="1106"/>
      <c r="AJ614" s="1041" t="s">
        <v>596</v>
      </c>
      <c r="AK614" s="906">
        <v>1</v>
      </c>
      <c r="AL614" s="49">
        <f t="shared" si="1403"/>
        <v>0</v>
      </c>
      <c r="AM614" s="907">
        <f t="shared" si="1404"/>
        <v>1.0506187499999999</v>
      </c>
    </row>
    <row r="615" spans="4:39" ht="11.25" customHeight="1" x14ac:dyDescent="0.2">
      <c r="D615" s="1092"/>
      <c r="E615" s="1093"/>
      <c r="F615" s="1093"/>
      <c r="G615" s="1093"/>
      <c r="H615" s="1094"/>
      <c r="I615" s="1095"/>
      <c r="J615" s="1096"/>
      <c r="K615" s="1096"/>
      <c r="L615" s="1096"/>
      <c r="M615" s="1097"/>
      <c r="N615" s="528">
        <v>0</v>
      </c>
      <c r="O615" s="529">
        <v>0</v>
      </c>
      <c r="P615" s="529">
        <v>0</v>
      </c>
      <c r="Q615" s="1019" t="s">
        <v>701</v>
      </c>
      <c r="R615" s="528">
        <v>0</v>
      </c>
      <c r="S615" s="529">
        <v>0</v>
      </c>
      <c r="T615" s="1011" t="s">
        <v>701</v>
      </c>
      <c r="U615" s="530">
        <v>0</v>
      </c>
      <c r="V615" s="529">
        <v>0</v>
      </c>
      <c r="W615" s="1011" t="s">
        <v>701</v>
      </c>
      <c r="X615" s="1016" t="s">
        <v>701</v>
      </c>
      <c r="Y615" s="529">
        <v>0</v>
      </c>
      <c r="Z615" s="1011" t="s">
        <v>701</v>
      </c>
      <c r="AA615" s="1102"/>
      <c r="AB615" s="1103"/>
      <c r="AC615" s="1099"/>
      <c r="AD615" s="1100"/>
      <c r="AE615" s="1107"/>
      <c r="AF615" s="1107"/>
      <c r="AG615" s="1107"/>
      <c r="AH615" s="1108"/>
      <c r="AI615" s="1106"/>
      <c r="AJ615" s="1041" t="s">
        <v>596</v>
      </c>
      <c r="AK615" s="906">
        <v>1</v>
      </c>
      <c r="AL615" s="49">
        <f t="shared" si="1403"/>
        <v>0</v>
      </c>
      <c r="AM615" s="907">
        <f t="shared" si="1404"/>
        <v>1.0506187499999999</v>
      </c>
    </row>
    <row r="616" spans="4:39" ht="11.25" customHeight="1" x14ac:dyDescent="0.2">
      <c r="D616" s="1092"/>
      <c r="E616" s="1093"/>
      <c r="F616" s="1093"/>
      <c r="G616" s="1093"/>
      <c r="H616" s="1094"/>
      <c r="I616" s="1095"/>
      <c r="J616" s="1096"/>
      <c r="K616" s="1096"/>
      <c r="L616" s="1096"/>
      <c r="M616" s="1097"/>
      <c r="N616" s="528">
        <v>0</v>
      </c>
      <c r="O616" s="529">
        <v>0</v>
      </c>
      <c r="P616" s="529">
        <v>0</v>
      </c>
      <c r="Q616" s="1019" t="s">
        <v>701</v>
      </c>
      <c r="R616" s="528">
        <v>0</v>
      </c>
      <c r="S616" s="529">
        <v>0</v>
      </c>
      <c r="T616" s="1011" t="s">
        <v>701</v>
      </c>
      <c r="U616" s="530">
        <v>0</v>
      </c>
      <c r="V616" s="529">
        <v>0</v>
      </c>
      <c r="W616" s="1011" t="s">
        <v>701</v>
      </c>
      <c r="X616" s="1016" t="s">
        <v>701</v>
      </c>
      <c r="Y616" s="529">
        <v>0</v>
      </c>
      <c r="Z616" s="1011" t="s">
        <v>701</v>
      </c>
      <c r="AA616" s="1102"/>
      <c r="AB616" s="1103"/>
      <c r="AC616" s="1099"/>
      <c r="AD616" s="1100"/>
      <c r="AE616" s="1107"/>
      <c r="AF616" s="1107"/>
      <c r="AG616" s="1107"/>
      <c r="AH616" s="1108"/>
      <c r="AI616" s="1106"/>
      <c r="AJ616" s="1041" t="s">
        <v>596</v>
      </c>
      <c r="AK616" s="906">
        <v>1</v>
      </c>
      <c r="AL616" s="49">
        <f t="shared" si="1403"/>
        <v>0</v>
      </c>
      <c r="AM616" s="907">
        <f t="shared" si="1404"/>
        <v>1.0506187499999999</v>
      </c>
    </row>
    <row r="617" spans="4:39" ht="11.25" customHeight="1" thickBot="1" x14ac:dyDescent="0.25">
      <c r="D617" s="532" t="s">
        <v>418</v>
      </c>
      <c r="E617" s="533"/>
      <c r="F617" s="534"/>
      <c r="G617" s="535"/>
      <c r="H617" s="535"/>
      <c r="I617" s="534"/>
      <c r="J617" s="535"/>
      <c r="K617" s="535"/>
      <c r="L617" s="535"/>
      <c r="M617" s="536"/>
      <c r="N617" s="537">
        <f>SUM(N611:N616)</f>
        <v>0</v>
      </c>
      <c r="O617" s="537">
        <f t="shared" ref="O617" si="1408">SUM(O611:O616)</f>
        <v>0</v>
      </c>
      <c r="P617" s="536"/>
      <c r="Q617" s="1020" t="s">
        <v>701</v>
      </c>
      <c r="R617" s="538"/>
      <c r="S617" s="539">
        <f t="shared" ref="S617" si="1409">SUM(S611:S616)</f>
        <v>0</v>
      </c>
      <c r="T617" s="1012" t="s">
        <v>701</v>
      </c>
      <c r="U617" s="538"/>
      <c r="V617" s="539">
        <f t="shared" ref="V617:Y617" si="1410">SUM(V611:V616)</f>
        <v>0</v>
      </c>
      <c r="W617" s="1012" t="s">
        <v>701</v>
      </c>
      <c r="X617" s="1012" t="s">
        <v>701</v>
      </c>
      <c r="Y617" s="539">
        <f t="shared" si="1410"/>
        <v>400</v>
      </c>
      <c r="Z617" s="1012" t="s">
        <v>701</v>
      </c>
      <c r="AA617" s="1012" t="s">
        <v>701</v>
      </c>
      <c r="AB617" s="1007" t="s">
        <v>701</v>
      </c>
      <c r="AC617" s="1013" t="s">
        <v>701</v>
      </c>
      <c r="AD617" s="540"/>
      <c r="AE617" s="1008" t="s">
        <v>701</v>
      </c>
      <c r="AF617" s="1008" t="s">
        <v>701</v>
      </c>
      <c r="AG617" s="1008" t="s">
        <v>701</v>
      </c>
      <c r="AH617" s="1008" t="s">
        <v>701</v>
      </c>
      <c r="AI617" s="1008" t="s">
        <v>701</v>
      </c>
      <c r="AJ617" s="1042" t="s">
        <v>596</v>
      </c>
      <c r="AK617" s="906">
        <v>1</v>
      </c>
      <c r="AL617" s="49">
        <f t="shared" si="1403"/>
        <v>0</v>
      </c>
      <c r="AM617" s="907">
        <f t="shared" si="1404"/>
        <v>1.0506187499999999</v>
      </c>
    </row>
    <row r="618" spans="4:39" ht="11.25" customHeight="1" x14ac:dyDescent="0.25">
      <c r="D618" s="1092" t="s">
        <v>772</v>
      </c>
      <c r="E618" s="1093" t="s">
        <v>755</v>
      </c>
      <c r="F618" s="1093">
        <v>1529</v>
      </c>
      <c r="G618" s="1093" t="s">
        <v>730</v>
      </c>
      <c r="H618" s="1094" t="s">
        <v>726</v>
      </c>
      <c r="I618" s="1095" t="s">
        <v>721</v>
      </c>
      <c r="J618" s="1096">
        <v>750</v>
      </c>
      <c r="K618" s="1096">
        <v>750</v>
      </c>
      <c r="L618" s="1096">
        <v>375</v>
      </c>
      <c r="M618" s="1097">
        <v>375</v>
      </c>
      <c r="N618" s="522">
        <v>0</v>
      </c>
      <c r="O618" s="523">
        <v>0</v>
      </c>
      <c r="P618" s="524">
        <v>0</v>
      </c>
      <c r="Q618" s="1018" t="s">
        <v>701</v>
      </c>
      <c r="R618" s="525">
        <v>0</v>
      </c>
      <c r="S618" s="524">
        <v>2</v>
      </c>
      <c r="T618" s="1017" t="s">
        <v>701</v>
      </c>
      <c r="U618" s="526" t="s">
        <v>786</v>
      </c>
      <c r="V618" s="524">
        <v>2</v>
      </c>
      <c r="W618" s="1010" t="s">
        <v>701</v>
      </c>
      <c r="X618" s="1015" t="s">
        <v>701</v>
      </c>
      <c r="Y618" s="527">
        <v>54214.74579258616</v>
      </c>
      <c r="Z618" s="1010" t="s">
        <v>701</v>
      </c>
      <c r="AA618" s="1102" t="s">
        <v>701</v>
      </c>
      <c r="AB618" s="1103" t="s">
        <v>701</v>
      </c>
      <c r="AC618" s="1099"/>
      <c r="AD618" s="1100">
        <v>0</v>
      </c>
      <c r="AE618" s="1107" t="s">
        <v>701</v>
      </c>
      <c r="AF618" s="1107" t="s">
        <v>701</v>
      </c>
      <c r="AG618" s="1107" t="s">
        <v>701</v>
      </c>
      <c r="AH618" s="1108" t="s">
        <v>701</v>
      </c>
      <c r="AI618" s="1106" t="s">
        <v>701</v>
      </c>
      <c r="AJ618" s="1040" t="s">
        <v>596</v>
      </c>
      <c r="AK618" s="906">
        <v>1</v>
      </c>
      <c r="AL618" s="49">
        <f t="shared" si="1403"/>
        <v>0</v>
      </c>
      <c r="AM618" s="907">
        <f t="shared" si="1404"/>
        <v>1.0506187499999999</v>
      </c>
    </row>
    <row r="619" spans="4:39" ht="11.25" customHeight="1" x14ac:dyDescent="0.2">
      <c r="D619" s="1092"/>
      <c r="E619" s="1093"/>
      <c r="F619" s="1093"/>
      <c r="G619" s="1093"/>
      <c r="H619" s="1094"/>
      <c r="I619" s="1095"/>
      <c r="J619" s="1096"/>
      <c r="K619" s="1096"/>
      <c r="L619" s="1096"/>
      <c r="M619" s="1097"/>
      <c r="N619" s="528">
        <v>0</v>
      </c>
      <c r="O619" s="529">
        <v>0</v>
      </c>
      <c r="P619" s="529">
        <v>0</v>
      </c>
      <c r="Q619" s="1019" t="s">
        <v>701</v>
      </c>
      <c r="R619" s="528">
        <v>0</v>
      </c>
      <c r="S619" s="529">
        <v>0</v>
      </c>
      <c r="T619" s="1011" t="s">
        <v>701</v>
      </c>
      <c r="U619" s="530">
        <v>0</v>
      </c>
      <c r="V619" s="529">
        <v>0</v>
      </c>
      <c r="W619" s="1011" t="s">
        <v>701</v>
      </c>
      <c r="X619" s="1016" t="s">
        <v>701</v>
      </c>
      <c r="Y619" s="531">
        <v>0</v>
      </c>
      <c r="Z619" s="1011" t="s">
        <v>701</v>
      </c>
      <c r="AA619" s="1102"/>
      <c r="AB619" s="1103"/>
      <c r="AC619" s="1099"/>
      <c r="AD619" s="1100"/>
      <c r="AE619" s="1107"/>
      <c r="AF619" s="1107"/>
      <c r="AG619" s="1107"/>
      <c r="AH619" s="1108"/>
      <c r="AI619" s="1106"/>
      <c r="AJ619" s="1041" t="s">
        <v>596</v>
      </c>
      <c r="AK619" s="906">
        <v>1</v>
      </c>
      <c r="AL619" s="49">
        <f t="shared" si="1403"/>
        <v>0</v>
      </c>
      <c r="AM619" s="907">
        <f t="shared" si="1404"/>
        <v>1.0506187499999999</v>
      </c>
    </row>
    <row r="620" spans="4:39" ht="11.25" customHeight="1" x14ac:dyDescent="0.2">
      <c r="D620" s="1092"/>
      <c r="E620" s="1093"/>
      <c r="F620" s="1093"/>
      <c r="G620" s="1093"/>
      <c r="H620" s="1094"/>
      <c r="I620" s="1095"/>
      <c r="J620" s="1096"/>
      <c r="K620" s="1096"/>
      <c r="L620" s="1096"/>
      <c r="M620" s="1097"/>
      <c r="N620" s="528">
        <v>0</v>
      </c>
      <c r="O620" s="529">
        <v>0</v>
      </c>
      <c r="P620" s="529">
        <v>0</v>
      </c>
      <c r="Q620" s="1019" t="s">
        <v>701</v>
      </c>
      <c r="R620" s="528">
        <v>0</v>
      </c>
      <c r="S620" s="529">
        <v>0</v>
      </c>
      <c r="T620" s="1011" t="s">
        <v>701</v>
      </c>
      <c r="U620" s="530">
        <v>0</v>
      </c>
      <c r="V620" s="529">
        <v>0</v>
      </c>
      <c r="W620" s="1011" t="s">
        <v>701</v>
      </c>
      <c r="X620" s="1016" t="s">
        <v>701</v>
      </c>
      <c r="Y620" s="529">
        <v>0</v>
      </c>
      <c r="Z620" s="1011" t="s">
        <v>701</v>
      </c>
      <c r="AA620" s="1102"/>
      <c r="AB620" s="1103"/>
      <c r="AC620" s="1099"/>
      <c r="AD620" s="1100"/>
      <c r="AE620" s="1107"/>
      <c r="AF620" s="1107"/>
      <c r="AG620" s="1107"/>
      <c r="AH620" s="1108"/>
      <c r="AI620" s="1106"/>
      <c r="AJ620" s="1041" t="s">
        <v>596</v>
      </c>
      <c r="AK620" s="906">
        <v>1</v>
      </c>
      <c r="AL620" s="49">
        <f t="shared" si="1403"/>
        <v>0</v>
      </c>
      <c r="AM620" s="907">
        <f t="shared" si="1404"/>
        <v>1.0506187499999999</v>
      </c>
    </row>
    <row r="621" spans="4:39" ht="11.25" customHeight="1" x14ac:dyDescent="0.2">
      <c r="D621" s="1092"/>
      <c r="E621" s="1093"/>
      <c r="F621" s="1093"/>
      <c r="G621" s="1093"/>
      <c r="H621" s="1094"/>
      <c r="I621" s="1095"/>
      <c r="J621" s="1096"/>
      <c r="K621" s="1096"/>
      <c r="L621" s="1096"/>
      <c r="M621" s="1097"/>
      <c r="N621" s="528">
        <v>0</v>
      </c>
      <c r="O621" s="529">
        <v>0</v>
      </c>
      <c r="P621" s="529">
        <v>0</v>
      </c>
      <c r="Q621" s="1019" t="s">
        <v>701</v>
      </c>
      <c r="R621" s="528">
        <v>0</v>
      </c>
      <c r="S621" s="529">
        <v>0</v>
      </c>
      <c r="T621" s="1011" t="s">
        <v>701</v>
      </c>
      <c r="U621" s="530">
        <v>0</v>
      </c>
      <c r="V621" s="529">
        <v>0</v>
      </c>
      <c r="W621" s="1011" t="s">
        <v>701</v>
      </c>
      <c r="X621" s="1016" t="s">
        <v>701</v>
      </c>
      <c r="Y621" s="529">
        <v>0</v>
      </c>
      <c r="Z621" s="1011" t="s">
        <v>701</v>
      </c>
      <c r="AA621" s="1102"/>
      <c r="AB621" s="1103"/>
      <c r="AC621" s="1099"/>
      <c r="AD621" s="1100"/>
      <c r="AE621" s="1107"/>
      <c r="AF621" s="1107"/>
      <c r="AG621" s="1107"/>
      <c r="AH621" s="1108"/>
      <c r="AI621" s="1106"/>
      <c r="AJ621" s="1041" t="s">
        <v>596</v>
      </c>
      <c r="AK621" s="906">
        <v>1</v>
      </c>
      <c r="AL621" s="49">
        <f t="shared" si="1403"/>
        <v>0</v>
      </c>
      <c r="AM621" s="907">
        <f t="shared" si="1404"/>
        <v>1.0506187499999999</v>
      </c>
    </row>
    <row r="622" spans="4:39" ht="11.25" customHeight="1" x14ac:dyDescent="0.2">
      <c r="D622" s="1092"/>
      <c r="E622" s="1093"/>
      <c r="F622" s="1093"/>
      <c r="G622" s="1093"/>
      <c r="H622" s="1094"/>
      <c r="I622" s="1095"/>
      <c r="J622" s="1096"/>
      <c r="K622" s="1096"/>
      <c r="L622" s="1096"/>
      <c r="M622" s="1097"/>
      <c r="N622" s="528">
        <v>0</v>
      </c>
      <c r="O622" s="529">
        <v>0</v>
      </c>
      <c r="P622" s="529">
        <v>0</v>
      </c>
      <c r="Q622" s="1019" t="s">
        <v>701</v>
      </c>
      <c r="R622" s="528">
        <v>0</v>
      </c>
      <c r="S622" s="529">
        <v>0</v>
      </c>
      <c r="T622" s="1011" t="s">
        <v>701</v>
      </c>
      <c r="U622" s="530">
        <v>0</v>
      </c>
      <c r="V622" s="529">
        <v>0</v>
      </c>
      <c r="W622" s="1011" t="s">
        <v>701</v>
      </c>
      <c r="X622" s="1016" t="s">
        <v>701</v>
      </c>
      <c r="Y622" s="529">
        <v>0</v>
      </c>
      <c r="Z622" s="1011" t="s">
        <v>701</v>
      </c>
      <c r="AA622" s="1102"/>
      <c r="AB622" s="1103"/>
      <c r="AC622" s="1099"/>
      <c r="AD622" s="1100"/>
      <c r="AE622" s="1107"/>
      <c r="AF622" s="1107"/>
      <c r="AG622" s="1107"/>
      <c r="AH622" s="1108"/>
      <c r="AI622" s="1106"/>
      <c r="AJ622" s="1041" t="s">
        <v>596</v>
      </c>
      <c r="AK622" s="906">
        <v>1</v>
      </c>
      <c r="AL622" s="49">
        <f t="shared" si="1403"/>
        <v>0</v>
      </c>
      <c r="AM622" s="907">
        <f t="shared" si="1404"/>
        <v>1.0506187499999999</v>
      </c>
    </row>
    <row r="623" spans="4:39" ht="11.25" customHeight="1" x14ac:dyDescent="0.2">
      <c r="D623" s="1092"/>
      <c r="E623" s="1093"/>
      <c r="F623" s="1093"/>
      <c r="G623" s="1093"/>
      <c r="H623" s="1094"/>
      <c r="I623" s="1095"/>
      <c r="J623" s="1096"/>
      <c r="K623" s="1096"/>
      <c r="L623" s="1096"/>
      <c r="M623" s="1097"/>
      <c r="N623" s="528">
        <v>0</v>
      </c>
      <c r="O623" s="529">
        <v>0</v>
      </c>
      <c r="P623" s="529">
        <v>0</v>
      </c>
      <c r="Q623" s="1019" t="s">
        <v>701</v>
      </c>
      <c r="R623" s="528">
        <v>0</v>
      </c>
      <c r="S623" s="529">
        <v>0</v>
      </c>
      <c r="T623" s="1011" t="s">
        <v>701</v>
      </c>
      <c r="U623" s="530">
        <v>0</v>
      </c>
      <c r="V623" s="529">
        <v>0</v>
      </c>
      <c r="W623" s="1011" t="s">
        <v>701</v>
      </c>
      <c r="X623" s="1016" t="s">
        <v>701</v>
      </c>
      <c r="Y623" s="529">
        <v>0</v>
      </c>
      <c r="Z623" s="1011" t="s">
        <v>701</v>
      </c>
      <c r="AA623" s="1102"/>
      <c r="AB623" s="1103"/>
      <c r="AC623" s="1099"/>
      <c r="AD623" s="1100"/>
      <c r="AE623" s="1107"/>
      <c r="AF623" s="1107"/>
      <c r="AG623" s="1107"/>
      <c r="AH623" s="1108"/>
      <c r="AI623" s="1106"/>
      <c r="AJ623" s="1041" t="s">
        <v>596</v>
      </c>
      <c r="AK623" s="906">
        <v>1</v>
      </c>
      <c r="AL623" s="49">
        <f t="shared" si="1403"/>
        <v>0</v>
      </c>
      <c r="AM623" s="907">
        <f t="shared" si="1404"/>
        <v>1.0506187499999999</v>
      </c>
    </row>
    <row r="624" spans="4:39" ht="11.25" customHeight="1" thickBot="1" x14ac:dyDescent="0.25">
      <c r="D624" s="532" t="s">
        <v>418</v>
      </c>
      <c r="E624" s="533"/>
      <c r="F624" s="534"/>
      <c r="G624" s="535"/>
      <c r="H624" s="535"/>
      <c r="I624" s="534"/>
      <c r="J624" s="535"/>
      <c r="K624" s="535"/>
      <c r="L624" s="535"/>
      <c r="M624" s="536"/>
      <c r="N624" s="537">
        <f>SUM(N618:N623)</f>
        <v>0</v>
      </c>
      <c r="O624" s="537">
        <f t="shared" ref="O624" si="1411">SUM(O618:O623)</f>
        <v>0</v>
      </c>
      <c r="P624" s="536"/>
      <c r="Q624" s="1020" t="s">
        <v>701</v>
      </c>
      <c r="R624" s="538"/>
      <c r="S624" s="539">
        <f t="shared" ref="S624" si="1412">SUM(S618:S623)</f>
        <v>2</v>
      </c>
      <c r="T624" s="1012" t="s">
        <v>701</v>
      </c>
      <c r="U624" s="538"/>
      <c r="V624" s="539">
        <f t="shared" ref="V624:Y624" si="1413">SUM(V618:V623)</f>
        <v>2</v>
      </c>
      <c r="W624" s="1012" t="s">
        <v>701</v>
      </c>
      <c r="X624" s="1012" t="s">
        <v>701</v>
      </c>
      <c r="Y624" s="539">
        <f t="shared" si="1413"/>
        <v>54214.74579258616</v>
      </c>
      <c r="Z624" s="1012" t="s">
        <v>701</v>
      </c>
      <c r="AA624" s="1012" t="s">
        <v>701</v>
      </c>
      <c r="AB624" s="1007" t="s">
        <v>701</v>
      </c>
      <c r="AC624" s="1013" t="s">
        <v>701</v>
      </c>
      <c r="AD624" s="540"/>
      <c r="AE624" s="1008" t="s">
        <v>701</v>
      </c>
      <c r="AF624" s="1008" t="s">
        <v>701</v>
      </c>
      <c r="AG624" s="1008" t="s">
        <v>701</v>
      </c>
      <c r="AH624" s="1008" t="s">
        <v>701</v>
      </c>
      <c r="AI624" s="1008" t="s">
        <v>701</v>
      </c>
      <c r="AJ624" s="1042" t="s">
        <v>596</v>
      </c>
      <c r="AK624" s="906">
        <v>1</v>
      </c>
      <c r="AL624" s="49">
        <f t="shared" si="1403"/>
        <v>0</v>
      </c>
      <c r="AM624" s="907">
        <f t="shared" si="1404"/>
        <v>1.0506187499999999</v>
      </c>
    </row>
    <row r="625" spans="4:39" ht="11.25" customHeight="1" x14ac:dyDescent="0.25">
      <c r="D625" s="1092" t="s">
        <v>773</v>
      </c>
      <c r="E625" s="1093" t="s">
        <v>755</v>
      </c>
      <c r="F625" s="1093">
        <v>1529</v>
      </c>
      <c r="G625" s="1093" t="s">
        <v>730</v>
      </c>
      <c r="H625" s="1094" t="s">
        <v>726</v>
      </c>
      <c r="I625" s="1095" t="s">
        <v>721</v>
      </c>
      <c r="J625" s="1096">
        <v>500</v>
      </c>
      <c r="K625" s="1096">
        <v>500</v>
      </c>
      <c r="L625" s="1096">
        <v>300</v>
      </c>
      <c r="M625" s="1097">
        <v>300</v>
      </c>
      <c r="N625" s="522">
        <v>0</v>
      </c>
      <c r="O625" s="523">
        <v>0</v>
      </c>
      <c r="P625" s="524">
        <v>0</v>
      </c>
      <c r="Q625" s="1018" t="s">
        <v>701</v>
      </c>
      <c r="R625" s="525">
        <v>0</v>
      </c>
      <c r="S625" s="524">
        <v>0</v>
      </c>
      <c r="T625" s="1017" t="s">
        <v>701</v>
      </c>
      <c r="U625" s="526" t="s">
        <v>787</v>
      </c>
      <c r="V625" s="524">
        <v>3</v>
      </c>
      <c r="W625" s="1010" t="s">
        <v>701</v>
      </c>
      <c r="X625" s="1015" t="s">
        <v>701</v>
      </c>
      <c r="Y625" s="527">
        <v>97450.97929126794</v>
      </c>
      <c r="Z625" s="1010" t="s">
        <v>701</v>
      </c>
      <c r="AA625" s="1102" t="s">
        <v>701</v>
      </c>
      <c r="AB625" s="1103" t="s">
        <v>701</v>
      </c>
      <c r="AC625" s="1099"/>
      <c r="AD625" s="1100">
        <v>0</v>
      </c>
      <c r="AE625" s="1107" t="s">
        <v>701</v>
      </c>
      <c r="AF625" s="1107" t="s">
        <v>701</v>
      </c>
      <c r="AG625" s="1107" t="s">
        <v>701</v>
      </c>
      <c r="AH625" s="1108" t="s">
        <v>701</v>
      </c>
      <c r="AI625" s="1106" t="s">
        <v>701</v>
      </c>
      <c r="AJ625" s="1040" t="s">
        <v>596</v>
      </c>
      <c r="AK625" s="906">
        <v>1</v>
      </c>
      <c r="AL625" s="49">
        <f t="shared" si="1403"/>
        <v>0</v>
      </c>
      <c r="AM625" s="907">
        <f t="shared" si="1404"/>
        <v>1.0506187499999999</v>
      </c>
    </row>
    <row r="626" spans="4:39" ht="11.25" customHeight="1" x14ac:dyDescent="0.2">
      <c r="D626" s="1092"/>
      <c r="E626" s="1093"/>
      <c r="F626" s="1093"/>
      <c r="G626" s="1093"/>
      <c r="H626" s="1094"/>
      <c r="I626" s="1095"/>
      <c r="J626" s="1096"/>
      <c r="K626" s="1096"/>
      <c r="L626" s="1096"/>
      <c r="M626" s="1097"/>
      <c r="N626" s="528">
        <v>0</v>
      </c>
      <c r="O626" s="529">
        <v>0</v>
      </c>
      <c r="P626" s="529">
        <v>0</v>
      </c>
      <c r="Q626" s="1019" t="s">
        <v>701</v>
      </c>
      <c r="R626" s="528">
        <v>0</v>
      </c>
      <c r="S626" s="529">
        <v>0</v>
      </c>
      <c r="T626" s="1011" t="s">
        <v>701</v>
      </c>
      <c r="U626" s="530" t="s">
        <v>788</v>
      </c>
      <c r="V626" s="529">
        <v>1</v>
      </c>
      <c r="W626" s="1011" t="s">
        <v>701</v>
      </c>
      <c r="X626" s="1016" t="s">
        <v>701</v>
      </c>
      <c r="Y626" s="531">
        <v>0</v>
      </c>
      <c r="Z626" s="1011" t="s">
        <v>701</v>
      </c>
      <c r="AA626" s="1102"/>
      <c r="AB626" s="1103"/>
      <c r="AC626" s="1099"/>
      <c r="AD626" s="1100"/>
      <c r="AE626" s="1107"/>
      <c r="AF626" s="1107"/>
      <c r="AG626" s="1107"/>
      <c r="AH626" s="1108"/>
      <c r="AI626" s="1106"/>
      <c r="AJ626" s="1041" t="s">
        <v>596</v>
      </c>
      <c r="AK626" s="906">
        <v>1</v>
      </c>
      <c r="AL626" s="49">
        <f t="shared" si="1403"/>
        <v>0</v>
      </c>
      <c r="AM626" s="907">
        <f t="shared" si="1404"/>
        <v>1.0506187499999999</v>
      </c>
    </row>
    <row r="627" spans="4:39" ht="11.25" customHeight="1" x14ac:dyDescent="0.2">
      <c r="D627" s="1092"/>
      <c r="E627" s="1093"/>
      <c r="F627" s="1093"/>
      <c r="G627" s="1093"/>
      <c r="H627" s="1094"/>
      <c r="I627" s="1095"/>
      <c r="J627" s="1096"/>
      <c r="K627" s="1096"/>
      <c r="L627" s="1096"/>
      <c r="M627" s="1097"/>
      <c r="N627" s="528">
        <v>0</v>
      </c>
      <c r="O627" s="529">
        <v>0</v>
      </c>
      <c r="P627" s="529">
        <v>0</v>
      </c>
      <c r="Q627" s="1019" t="s">
        <v>701</v>
      </c>
      <c r="R627" s="528">
        <v>0</v>
      </c>
      <c r="S627" s="529">
        <v>0</v>
      </c>
      <c r="T627" s="1011" t="s">
        <v>701</v>
      </c>
      <c r="U627" s="530">
        <v>0</v>
      </c>
      <c r="V627" s="529">
        <v>0</v>
      </c>
      <c r="W627" s="1011" t="s">
        <v>701</v>
      </c>
      <c r="X627" s="1016" t="s">
        <v>701</v>
      </c>
      <c r="Y627" s="529">
        <v>0</v>
      </c>
      <c r="Z627" s="1011" t="s">
        <v>701</v>
      </c>
      <c r="AA627" s="1102"/>
      <c r="AB627" s="1103"/>
      <c r="AC627" s="1099"/>
      <c r="AD627" s="1100"/>
      <c r="AE627" s="1107"/>
      <c r="AF627" s="1107"/>
      <c r="AG627" s="1107"/>
      <c r="AH627" s="1108"/>
      <c r="AI627" s="1106"/>
      <c r="AJ627" s="1041" t="s">
        <v>596</v>
      </c>
      <c r="AK627" s="906">
        <v>1</v>
      </c>
      <c r="AL627" s="49">
        <f t="shared" si="1403"/>
        <v>0</v>
      </c>
      <c r="AM627" s="907">
        <f t="shared" si="1404"/>
        <v>1.0506187499999999</v>
      </c>
    </row>
    <row r="628" spans="4:39" ht="11.25" customHeight="1" x14ac:dyDescent="0.2">
      <c r="D628" s="1092"/>
      <c r="E628" s="1093"/>
      <c r="F628" s="1093"/>
      <c r="G628" s="1093"/>
      <c r="H628" s="1094"/>
      <c r="I628" s="1095"/>
      <c r="J628" s="1096"/>
      <c r="K628" s="1096"/>
      <c r="L628" s="1096"/>
      <c r="M628" s="1097"/>
      <c r="N628" s="528">
        <v>0</v>
      </c>
      <c r="O628" s="529">
        <v>0</v>
      </c>
      <c r="P628" s="529">
        <v>0</v>
      </c>
      <c r="Q628" s="1019" t="s">
        <v>701</v>
      </c>
      <c r="R628" s="528">
        <v>0</v>
      </c>
      <c r="S628" s="529">
        <v>0</v>
      </c>
      <c r="T628" s="1011" t="s">
        <v>701</v>
      </c>
      <c r="U628" s="530">
        <v>0</v>
      </c>
      <c r="V628" s="529">
        <v>0</v>
      </c>
      <c r="W628" s="1011" t="s">
        <v>701</v>
      </c>
      <c r="X628" s="1016" t="s">
        <v>701</v>
      </c>
      <c r="Y628" s="529">
        <v>0</v>
      </c>
      <c r="Z628" s="1011" t="s">
        <v>701</v>
      </c>
      <c r="AA628" s="1102"/>
      <c r="AB628" s="1103"/>
      <c r="AC628" s="1099"/>
      <c r="AD628" s="1100"/>
      <c r="AE628" s="1107"/>
      <c r="AF628" s="1107"/>
      <c r="AG628" s="1107"/>
      <c r="AH628" s="1108"/>
      <c r="AI628" s="1106"/>
      <c r="AJ628" s="1041" t="s">
        <v>596</v>
      </c>
      <c r="AK628" s="906">
        <v>1</v>
      </c>
      <c r="AL628" s="49">
        <f t="shared" si="1403"/>
        <v>0</v>
      </c>
      <c r="AM628" s="907">
        <f t="shared" si="1404"/>
        <v>1.0506187499999999</v>
      </c>
    </row>
    <row r="629" spans="4:39" ht="11.25" customHeight="1" x14ac:dyDescent="0.2">
      <c r="D629" s="1092"/>
      <c r="E629" s="1093"/>
      <c r="F629" s="1093"/>
      <c r="G629" s="1093"/>
      <c r="H629" s="1094"/>
      <c r="I629" s="1095"/>
      <c r="J629" s="1096"/>
      <c r="K629" s="1096"/>
      <c r="L629" s="1096"/>
      <c r="M629" s="1097"/>
      <c r="N629" s="528">
        <v>0</v>
      </c>
      <c r="O629" s="529">
        <v>0</v>
      </c>
      <c r="P629" s="529">
        <v>0</v>
      </c>
      <c r="Q629" s="1019" t="s">
        <v>701</v>
      </c>
      <c r="R629" s="528">
        <v>0</v>
      </c>
      <c r="S629" s="529">
        <v>0</v>
      </c>
      <c r="T629" s="1011" t="s">
        <v>701</v>
      </c>
      <c r="U629" s="530">
        <v>0</v>
      </c>
      <c r="V629" s="529">
        <v>0</v>
      </c>
      <c r="W629" s="1011" t="s">
        <v>701</v>
      </c>
      <c r="X629" s="1016" t="s">
        <v>701</v>
      </c>
      <c r="Y629" s="529">
        <v>0</v>
      </c>
      <c r="Z629" s="1011" t="s">
        <v>701</v>
      </c>
      <c r="AA629" s="1102"/>
      <c r="AB629" s="1103"/>
      <c r="AC629" s="1099"/>
      <c r="AD629" s="1100"/>
      <c r="AE629" s="1107"/>
      <c r="AF629" s="1107"/>
      <c r="AG629" s="1107"/>
      <c r="AH629" s="1108"/>
      <c r="AI629" s="1106"/>
      <c r="AJ629" s="1041" t="s">
        <v>596</v>
      </c>
      <c r="AK629" s="906">
        <v>1</v>
      </c>
      <c r="AL629" s="49">
        <f t="shared" si="1403"/>
        <v>0</v>
      </c>
      <c r="AM629" s="907">
        <f t="shared" si="1404"/>
        <v>1.0506187499999999</v>
      </c>
    </row>
    <row r="630" spans="4:39" ht="11.25" customHeight="1" x14ac:dyDescent="0.2">
      <c r="D630" s="1092"/>
      <c r="E630" s="1093"/>
      <c r="F630" s="1093"/>
      <c r="G630" s="1093"/>
      <c r="H630" s="1094"/>
      <c r="I630" s="1095"/>
      <c r="J630" s="1096"/>
      <c r="K630" s="1096"/>
      <c r="L630" s="1096"/>
      <c r="M630" s="1097"/>
      <c r="N630" s="528">
        <v>0</v>
      </c>
      <c r="O630" s="529">
        <v>0</v>
      </c>
      <c r="P630" s="529">
        <v>0</v>
      </c>
      <c r="Q630" s="1019" t="s">
        <v>701</v>
      </c>
      <c r="R630" s="528">
        <v>0</v>
      </c>
      <c r="S630" s="529">
        <v>0</v>
      </c>
      <c r="T630" s="1011" t="s">
        <v>701</v>
      </c>
      <c r="U630" s="530">
        <v>0</v>
      </c>
      <c r="V630" s="529">
        <v>0</v>
      </c>
      <c r="W630" s="1011" t="s">
        <v>701</v>
      </c>
      <c r="X630" s="1016" t="s">
        <v>701</v>
      </c>
      <c r="Y630" s="529">
        <v>0</v>
      </c>
      <c r="Z630" s="1011" t="s">
        <v>701</v>
      </c>
      <c r="AA630" s="1102"/>
      <c r="AB630" s="1103"/>
      <c r="AC630" s="1099"/>
      <c r="AD630" s="1100"/>
      <c r="AE630" s="1107"/>
      <c r="AF630" s="1107"/>
      <c r="AG630" s="1107"/>
      <c r="AH630" s="1108"/>
      <c r="AI630" s="1106"/>
      <c r="AJ630" s="1041" t="s">
        <v>596</v>
      </c>
      <c r="AK630" s="906">
        <v>1</v>
      </c>
      <c r="AL630" s="49">
        <f t="shared" si="1403"/>
        <v>0</v>
      </c>
      <c r="AM630" s="907">
        <f t="shared" si="1404"/>
        <v>1.0506187499999999</v>
      </c>
    </row>
    <row r="631" spans="4:39" ht="11.25" customHeight="1" thickBot="1" x14ac:dyDescent="0.25">
      <c r="D631" s="532" t="s">
        <v>418</v>
      </c>
      <c r="E631" s="533"/>
      <c r="F631" s="534"/>
      <c r="G631" s="535"/>
      <c r="H631" s="535"/>
      <c r="I631" s="534"/>
      <c r="J631" s="535"/>
      <c r="K631" s="535"/>
      <c r="L631" s="535"/>
      <c r="M631" s="536"/>
      <c r="N631" s="537">
        <f>SUM(N625:N630)</f>
        <v>0</v>
      </c>
      <c r="O631" s="537">
        <f t="shared" ref="O631" si="1414">SUM(O625:O630)</f>
        <v>0</v>
      </c>
      <c r="P631" s="536"/>
      <c r="Q631" s="1020" t="s">
        <v>701</v>
      </c>
      <c r="R631" s="538"/>
      <c r="S631" s="539">
        <f t="shared" ref="S631" si="1415">SUM(S625:S630)</f>
        <v>0</v>
      </c>
      <c r="T631" s="1012" t="s">
        <v>701</v>
      </c>
      <c r="U631" s="538"/>
      <c r="V631" s="539">
        <f t="shared" ref="V631:Y631" si="1416">SUM(V625:V630)</f>
        <v>4</v>
      </c>
      <c r="W631" s="1012" t="s">
        <v>701</v>
      </c>
      <c r="X631" s="1012" t="s">
        <v>701</v>
      </c>
      <c r="Y631" s="539">
        <f t="shared" si="1416"/>
        <v>97450.97929126794</v>
      </c>
      <c r="Z631" s="1012" t="s">
        <v>701</v>
      </c>
      <c r="AA631" s="1012" t="s">
        <v>701</v>
      </c>
      <c r="AB631" s="1007" t="s">
        <v>701</v>
      </c>
      <c r="AC631" s="1013" t="s">
        <v>701</v>
      </c>
      <c r="AD631" s="540"/>
      <c r="AE631" s="1008" t="s">
        <v>701</v>
      </c>
      <c r="AF631" s="1008" t="s">
        <v>701</v>
      </c>
      <c r="AG631" s="1008" t="s">
        <v>701</v>
      </c>
      <c r="AH631" s="1008" t="s">
        <v>701</v>
      </c>
      <c r="AI631" s="1008" t="s">
        <v>701</v>
      </c>
      <c r="AJ631" s="1042" t="s">
        <v>596</v>
      </c>
      <c r="AK631" s="906">
        <v>1</v>
      </c>
      <c r="AL631" s="49">
        <f t="shared" si="1403"/>
        <v>0</v>
      </c>
      <c r="AM631" s="907">
        <f t="shared" si="1404"/>
        <v>1.0506187499999999</v>
      </c>
    </row>
    <row r="632" spans="4:39" ht="11.25" customHeight="1" x14ac:dyDescent="0.25">
      <c r="D632" s="1092" t="s">
        <v>774</v>
      </c>
      <c r="E632" s="1093" t="s">
        <v>733</v>
      </c>
      <c r="F632" s="1093">
        <v>1529</v>
      </c>
      <c r="G632" s="1093" t="s">
        <v>730</v>
      </c>
      <c r="H632" s="1094" t="s">
        <v>726</v>
      </c>
      <c r="I632" s="1095">
        <v>330</v>
      </c>
      <c r="J632" s="1096" t="s">
        <v>34</v>
      </c>
      <c r="K632" s="1096" t="s">
        <v>34</v>
      </c>
      <c r="L632" s="1096" t="s">
        <v>34</v>
      </c>
      <c r="M632" s="1097" t="s">
        <v>34</v>
      </c>
      <c r="N632" s="522">
        <v>0</v>
      </c>
      <c r="O632" s="523">
        <v>0</v>
      </c>
      <c r="P632" s="524">
        <v>0</v>
      </c>
      <c r="Q632" s="1018" t="s">
        <v>701</v>
      </c>
      <c r="R632" s="525">
        <v>0</v>
      </c>
      <c r="S632" s="524">
        <v>0</v>
      </c>
      <c r="T632" s="1017" t="s">
        <v>701</v>
      </c>
      <c r="U632" s="526" t="s">
        <v>786</v>
      </c>
      <c r="V632" s="524">
        <v>1</v>
      </c>
      <c r="W632" s="1010" t="s">
        <v>701</v>
      </c>
      <c r="X632" s="1015" t="s">
        <v>701</v>
      </c>
      <c r="Y632" s="527">
        <v>88458.32551005602</v>
      </c>
      <c r="Z632" s="1010" t="s">
        <v>701</v>
      </c>
      <c r="AA632" s="1102" t="s">
        <v>701</v>
      </c>
      <c r="AB632" s="1103" t="s">
        <v>701</v>
      </c>
      <c r="AC632" s="1099"/>
      <c r="AD632" s="1100">
        <v>0</v>
      </c>
      <c r="AE632" s="1107" t="s">
        <v>701</v>
      </c>
      <c r="AF632" s="1107" t="s">
        <v>701</v>
      </c>
      <c r="AG632" s="1107" t="s">
        <v>701</v>
      </c>
      <c r="AH632" s="1108" t="s">
        <v>701</v>
      </c>
      <c r="AI632" s="1106" t="s">
        <v>701</v>
      </c>
      <c r="AJ632" s="1040" t="s">
        <v>596</v>
      </c>
      <c r="AK632" s="906">
        <v>1</v>
      </c>
      <c r="AL632" s="49">
        <f t="shared" si="1403"/>
        <v>0</v>
      </c>
      <c r="AM632" s="907">
        <f t="shared" si="1404"/>
        <v>1.0506187499999999</v>
      </c>
    </row>
    <row r="633" spans="4:39" ht="11.25" customHeight="1" x14ac:dyDescent="0.2">
      <c r="D633" s="1092"/>
      <c r="E633" s="1093"/>
      <c r="F633" s="1093"/>
      <c r="G633" s="1093"/>
      <c r="H633" s="1094"/>
      <c r="I633" s="1095"/>
      <c r="J633" s="1096"/>
      <c r="K633" s="1096"/>
      <c r="L633" s="1096"/>
      <c r="M633" s="1097"/>
      <c r="N633" s="528">
        <v>0</v>
      </c>
      <c r="O633" s="529">
        <v>0</v>
      </c>
      <c r="P633" s="529">
        <v>0</v>
      </c>
      <c r="Q633" s="1019" t="s">
        <v>701</v>
      </c>
      <c r="R633" s="528">
        <v>0</v>
      </c>
      <c r="S633" s="529">
        <v>0</v>
      </c>
      <c r="T633" s="1011" t="s">
        <v>701</v>
      </c>
      <c r="U633" s="530" t="s">
        <v>788</v>
      </c>
      <c r="V633" s="529">
        <v>1</v>
      </c>
      <c r="W633" s="1011" t="s">
        <v>701</v>
      </c>
      <c r="X633" s="1016" t="s">
        <v>701</v>
      </c>
      <c r="Y633" s="531">
        <v>0</v>
      </c>
      <c r="Z633" s="1011" t="s">
        <v>701</v>
      </c>
      <c r="AA633" s="1102"/>
      <c r="AB633" s="1103"/>
      <c r="AC633" s="1099"/>
      <c r="AD633" s="1100"/>
      <c r="AE633" s="1107"/>
      <c r="AF633" s="1107"/>
      <c r="AG633" s="1107"/>
      <c r="AH633" s="1108"/>
      <c r="AI633" s="1106"/>
      <c r="AJ633" s="1041" t="s">
        <v>596</v>
      </c>
      <c r="AK633" s="906">
        <v>1</v>
      </c>
      <c r="AL633" s="49">
        <f t="shared" si="1403"/>
        <v>0</v>
      </c>
      <c r="AM633" s="907">
        <f t="shared" si="1404"/>
        <v>1.0506187499999999</v>
      </c>
    </row>
    <row r="634" spans="4:39" ht="11.25" customHeight="1" x14ac:dyDescent="0.2">
      <c r="D634" s="1092"/>
      <c r="E634" s="1093"/>
      <c r="F634" s="1093"/>
      <c r="G634" s="1093"/>
      <c r="H634" s="1094"/>
      <c r="I634" s="1095"/>
      <c r="J634" s="1096"/>
      <c r="K634" s="1096"/>
      <c r="L634" s="1096"/>
      <c r="M634" s="1097"/>
      <c r="N634" s="528">
        <v>0</v>
      </c>
      <c r="O634" s="529">
        <v>0</v>
      </c>
      <c r="P634" s="529">
        <v>0</v>
      </c>
      <c r="Q634" s="1019" t="s">
        <v>701</v>
      </c>
      <c r="R634" s="528">
        <v>0</v>
      </c>
      <c r="S634" s="529">
        <v>0</v>
      </c>
      <c r="T634" s="1011" t="s">
        <v>701</v>
      </c>
      <c r="U634" s="530">
        <v>0</v>
      </c>
      <c r="V634" s="529">
        <v>0</v>
      </c>
      <c r="W634" s="1011" t="s">
        <v>701</v>
      </c>
      <c r="X634" s="1016" t="s">
        <v>701</v>
      </c>
      <c r="Y634" s="529">
        <v>0</v>
      </c>
      <c r="Z634" s="1011" t="s">
        <v>701</v>
      </c>
      <c r="AA634" s="1102"/>
      <c r="AB634" s="1103"/>
      <c r="AC634" s="1099"/>
      <c r="AD634" s="1100"/>
      <c r="AE634" s="1107"/>
      <c r="AF634" s="1107"/>
      <c r="AG634" s="1107"/>
      <c r="AH634" s="1108"/>
      <c r="AI634" s="1106"/>
      <c r="AJ634" s="1041" t="s">
        <v>596</v>
      </c>
      <c r="AK634" s="906">
        <v>1</v>
      </c>
      <c r="AL634" s="49">
        <f t="shared" si="1403"/>
        <v>0</v>
      </c>
      <c r="AM634" s="907">
        <f t="shared" si="1404"/>
        <v>1.0506187499999999</v>
      </c>
    </row>
    <row r="635" spans="4:39" ht="11.25" customHeight="1" x14ac:dyDescent="0.2">
      <c r="D635" s="1092"/>
      <c r="E635" s="1093"/>
      <c r="F635" s="1093"/>
      <c r="G635" s="1093"/>
      <c r="H635" s="1094"/>
      <c r="I635" s="1095"/>
      <c r="J635" s="1096"/>
      <c r="K635" s="1096"/>
      <c r="L635" s="1096"/>
      <c r="M635" s="1097"/>
      <c r="N635" s="528">
        <v>0</v>
      </c>
      <c r="O635" s="529">
        <v>0</v>
      </c>
      <c r="P635" s="529">
        <v>0</v>
      </c>
      <c r="Q635" s="1019" t="s">
        <v>701</v>
      </c>
      <c r="R635" s="528">
        <v>0</v>
      </c>
      <c r="S635" s="529">
        <v>0</v>
      </c>
      <c r="T635" s="1011" t="s">
        <v>701</v>
      </c>
      <c r="U635" s="530">
        <v>0</v>
      </c>
      <c r="V635" s="529">
        <v>0</v>
      </c>
      <c r="W635" s="1011" t="s">
        <v>701</v>
      </c>
      <c r="X635" s="1016" t="s">
        <v>701</v>
      </c>
      <c r="Y635" s="529">
        <v>0</v>
      </c>
      <c r="Z635" s="1011" t="s">
        <v>701</v>
      </c>
      <c r="AA635" s="1102"/>
      <c r="AB635" s="1103"/>
      <c r="AC635" s="1099"/>
      <c r="AD635" s="1100"/>
      <c r="AE635" s="1107"/>
      <c r="AF635" s="1107"/>
      <c r="AG635" s="1107"/>
      <c r="AH635" s="1108"/>
      <c r="AI635" s="1106"/>
      <c r="AJ635" s="1041" t="s">
        <v>596</v>
      </c>
      <c r="AK635" s="906">
        <v>1</v>
      </c>
      <c r="AL635" s="49">
        <f t="shared" si="1403"/>
        <v>0</v>
      </c>
      <c r="AM635" s="907">
        <f t="shared" si="1404"/>
        <v>1.0506187499999999</v>
      </c>
    </row>
    <row r="636" spans="4:39" ht="11.25" customHeight="1" x14ac:dyDescent="0.2">
      <c r="D636" s="1092"/>
      <c r="E636" s="1093"/>
      <c r="F636" s="1093"/>
      <c r="G636" s="1093"/>
      <c r="H636" s="1094"/>
      <c r="I636" s="1095"/>
      <c r="J636" s="1096"/>
      <c r="K636" s="1096"/>
      <c r="L636" s="1096"/>
      <c r="M636" s="1097"/>
      <c r="N636" s="528">
        <v>0</v>
      </c>
      <c r="O636" s="529">
        <v>0</v>
      </c>
      <c r="P636" s="529">
        <v>0</v>
      </c>
      <c r="Q636" s="1019" t="s">
        <v>701</v>
      </c>
      <c r="R636" s="528">
        <v>0</v>
      </c>
      <c r="S636" s="529">
        <v>0</v>
      </c>
      <c r="T636" s="1011" t="s">
        <v>701</v>
      </c>
      <c r="U636" s="530">
        <v>0</v>
      </c>
      <c r="V636" s="529">
        <v>0</v>
      </c>
      <c r="W636" s="1011" t="s">
        <v>701</v>
      </c>
      <c r="X636" s="1016" t="s">
        <v>701</v>
      </c>
      <c r="Y636" s="529">
        <v>0</v>
      </c>
      <c r="Z636" s="1011" t="s">
        <v>701</v>
      </c>
      <c r="AA636" s="1102"/>
      <c r="AB636" s="1103"/>
      <c r="AC636" s="1099"/>
      <c r="AD636" s="1100"/>
      <c r="AE636" s="1107"/>
      <c r="AF636" s="1107"/>
      <c r="AG636" s="1107"/>
      <c r="AH636" s="1108"/>
      <c r="AI636" s="1106"/>
      <c r="AJ636" s="1041" t="s">
        <v>596</v>
      </c>
      <c r="AK636" s="906">
        <v>1</v>
      </c>
      <c r="AL636" s="49">
        <f t="shared" si="1403"/>
        <v>0</v>
      </c>
      <c r="AM636" s="907">
        <f t="shared" si="1404"/>
        <v>1.0506187499999999</v>
      </c>
    </row>
    <row r="637" spans="4:39" ht="11.25" customHeight="1" x14ac:dyDescent="0.2">
      <c r="D637" s="1092"/>
      <c r="E637" s="1093"/>
      <c r="F637" s="1093"/>
      <c r="G637" s="1093"/>
      <c r="H637" s="1094"/>
      <c r="I637" s="1095"/>
      <c r="J637" s="1096"/>
      <c r="K637" s="1096"/>
      <c r="L637" s="1096"/>
      <c r="M637" s="1097"/>
      <c r="N637" s="528">
        <v>0</v>
      </c>
      <c r="O637" s="529">
        <v>0</v>
      </c>
      <c r="P637" s="529">
        <v>0</v>
      </c>
      <c r="Q637" s="1019" t="s">
        <v>701</v>
      </c>
      <c r="R637" s="528">
        <v>0</v>
      </c>
      <c r="S637" s="529">
        <v>0</v>
      </c>
      <c r="T637" s="1011" t="s">
        <v>701</v>
      </c>
      <c r="U637" s="530">
        <v>0</v>
      </c>
      <c r="V637" s="529">
        <v>0</v>
      </c>
      <c r="W637" s="1011" t="s">
        <v>701</v>
      </c>
      <c r="X637" s="1016" t="s">
        <v>701</v>
      </c>
      <c r="Y637" s="529">
        <v>0</v>
      </c>
      <c r="Z637" s="1011" t="s">
        <v>701</v>
      </c>
      <c r="AA637" s="1102"/>
      <c r="AB637" s="1103"/>
      <c r="AC637" s="1099"/>
      <c r="AD637" s="1100"/>
      <c r="AE637" s="1107"/>
      <c r="AF637" s="1107"/>
      <c r="AG637" s="1107"/>
      <c r="AH637" s="1108"/>
      <c r="AI637" s="1106"/>
      <c r="AJ637" s="1041" t="s">
        <v>596</v>
      </c>
      <c r="AK637" s="906">
        <v>1</v>
      </c>
      <c r="AL637" s="49">
        <f t="shared" si="1403"/>
        <v>0</v>
      </c>
      <c r="AM637" s="907">
        <f t="shared" si="1404"/>
        <v>1.0506187499999999</v>
      </c>
    </row>
    <row r="638" spans="4:39" ht="11.25" customHeight="1" thickBot="1" x14ac:dyDescent="0.25">
      <c r="D638" s="532" t="s">
        <v>418</v>
      </c>
      <c r="E638" s="533"/>
      <c r="F638" s="534"/>
      <c r="G638" s="535"/>
      <c r="H638" s="535"/>
      <c r="I638" s="534"/>
      <c r="J638" s="535"/>
      <c r="K638" s="535"/>
      <c r="L638" s="535"/>
      <c r="M638" s="536"/>
      <c r="N638" s="537">
        <f>SUM(N632:N637)</f>
        <v>0</v>
      </c>
      <c r="O638" s="537">
        <f t="shared" ref="O638" si="1417">SUM(O632:O637)</f>
        <v>0</v>
      </c>
      <c r="P638" s="536"/>
      <c r="Q638" s="1020" t="s">
        <v>701</v>
      </c>
      <c r="R638" s="538"/>
      <c r="S638" s="539">
        <f t="shared" ref="S638" si="1418">SUM(S632:S637)</f>
        <v>0</v>
      </c>
      <c r="T638" s="1012" t="s">
        <v>701</v>
      </c>
      <c r="U638" s="538"/>
      <c r="V638" s="539">
        <f t="shared" ref="V638:Y638" si="1419">SUM(V632:V637)</f>
        <v>2</v>
      </c>
      <c r="W638" s="1012" t="s">
        <v>701</v>
      </c>
      <c r="X638" s="1012" t="s">
        <v>701</v>
      </c>
      <c r="Y638" s="539">
        <f t="shared" si="1419"/>
        <v>88458.32551005602</v>
      </c>
      <c r="Z638" s="1012" t="s">
        <v>701</v>
      </c>
      <c r="AA638" s="1012" t="s">
        <v>701</v>
      </c>
      <c r="AB638" s="1007" t="s">
        <v>701</v>
      </c>
      <c r="AC638" s="1013" t="s">
        <v>701</v>
      </c>
      <c r="AD638" s="540"/>
      <c r="AE638" s="1008" t="s">
        <v>701</v>
      </c>
      <c r="AF638" s="1008" t="s">
        <v>701</v>
      </c>
      <c r="AG638" s="1008" t="s">
        <v>701</v>
      </c>
      <c r="AH638" s="1008" t="s">
        <v>701</v>
      </c>
      <c r="AI638" s="1008" t="s">
        <v>701</v>
      </c>
      <c r="AJ638" s="1042" t="s">
        <v>596</v>
      </c>
      <c r="AK638" s="906">
        <v>1</v>
      </c>
      <c r="AL638" s="49">
        <f t="shared" si="1403"/>
        <v>0</v>
      </c>
      <c r="AM638" s="907">
        <f t="shared" si="1404"/>
        <v>1.0506187499999999</v>
      </c>
    </row>
    <row r="639" spans="4:39" ht="11.25" customHeight="1" x14ac:dyDescent="0.25">
      <c r="D639" s="1092" t="s">
        <v>775</v>
      </c>
      <c r="E639" s="1093" t="s">
        <v>755</v>
      </c>
      <c r="F639" s="1093">
        <v>1529</v>
      </c>
      <c r="G639" s="1093" t="s">
        <v>730</v>
      </c>
      <c r="H639" s="1094" t="s">
        <v>726</v>
      </c>
      <c r="I639" s="1095" t="s">
        <v>721</v>
      </c>
      <c r="J639" s="1096">
        <v>750</v>
      </c>
      <c r="K639" s="1096">
        <v>750</v>
      </c>
      <c r="L639" s="1096">
        <v>375</v>
      </c>
      <c r="M639" s="1097">
        <v>375</v>
      </c>
      <c r="N639" s="522">
        <v>0</v>
      </c>
      <c r="O639" s="523">
        <v>0</v>
      </c>
      <c r="P639" s="524">
        <v>0</v>
      </c>
      <c r="Q639" s="1018" t="s">
        <v>701</v>
      </c>
      <c r="R639" s="525">
        <v>0</v>
      </c>
      <c r="S639" s="524">
        <v>0</v>
      </c>
      <c r="T639" s="1017" t="s">
        <v>701</v>
      </c>
      <c r="U639" s="526">
        <v>0</v>
      </c>
      <c r="V639" s="524">
        <v>0</v>
      </c>
      <c r="W639" s="1010" t="s">
        <v>701</v>
      </c>
      <c r="X639" s="1015" t="s">
        <v>701</v>
      </c>
      <c r="Y639" s="527">
        <v>1779.993423821641</v>
      </c>
      <c r="Z639" s="1010" t="s">
        <v>701</v>
      </c>
      <c r="AA639" s="1102" t="s">
        <v>701</v>
      </c>
      <c r="AB639" s="1103" t="s">
        <v>701</v>
      </c>
      <c r="AC639" s="1099"/>
      <c r="AD639" s="1100">
        <v>0</v>
      </c>
      <c r="AE639" s="1107" t="s">
        <v>701</v>
      </c>
      <c r="AF639" s="1107" t="s">
        <v>701</v>
      </c>
      <c r="AG639" s="1107" t="s">
        <v>701</v>
      </c>
      <c r="AH639" s="1108" t="s">
        <v>701</v>
      </c>
      <c r="AI639" s="1106" t="s">
        <v>701</v>
      </c>
      <c r="AJ639" s="1040" t="s">
        <v>596</v>
      </c>
      <c r="AK639" s="906">
        <v>1</v>
      </c>
      <c r="AL639" s="49">
        <f t="shared" si="1403"/>
        <v>0</v>
      </c>
      <c r="AM639" s="907">
        <f t="shared" si="1404"/>
        <v>1.0506187499999999</v>
      </c>
    </row>
    <row r="640" spans="4:39" ht="11.25" customHeight="1" x14ac:dyDescent="0.2">
      <c r="D640" s="1092"/>
      <c r="E640" s="1093"/>
      <c r="F640" s="1093"/>
      <c r="G640" s="1093"/>
      <c r="H640" s="1094"/>
      <c r="I640" s="1095"/>
      <c r="J640" s="1096"/>
      <c r="K640" s="1096"/>
      <c r="L640" s="1096"/>
      <c r="M640" s="1097"/>
      <c r="N640" s="528">
        <v>0</v>
      </c>
      <c r="O640" s="529">
        <v>0</v>
      </c>
      <c r="P640" s="529">
        <v>0</v>
      </c>
      <c r="Q640" s="1019" t="s">
        <v>701</v>
      </c>
      <c r="R640" s="528">
        <v>0</v>
      </c>
      <c r="S640" s="529">
        <v>0</v>
      </c>
      <c r="T640" s="1011" t="s">
        <v>701</v>
      </c>
      <c r="U640" s="530">
        <v>0</v>
      </c>
      <c r="V640" s="529">
        <v>0</v>
      </c>
      <c r="W640" s="1011" t="s">
        <v>701</v>
      </c>
      <c r="X640" s="1016" t="s">
        <v>701</v>
      </c>
      <c r="Y640" s="531">
        <v>0</v>
      </c>
      <c r="Z640" s="1011" t="s">
        <v>701</v>
      </c>
      <c r="AA640" s="1102"/>
      <c r="AB640" s="1103"/>
      <c r="AC640" s="1099"/>
      <c r="AD640" s="1100"/>
      <c r="AE640" s="1107"/>
      <c r="AF640" s="1107"/>
      <c r="AG640" s="1107"/>
      <c r="AH640" s="1108"/>
      <c r="AI640" s="1106"/>
      <c r="AJ640" s="1041" t="s">
        <v>596</v>
      </c>
      <c r="AK640" s="906">
        <v>1</v>
      </c>
      <c r="AL640" s="49">
        <f t="shared" si="1403"/>
        <v>0</v>
      </c>
      <c r="AM640" s="907">
        <f t="shared" si="1404"/>
        <v>1.0506187499999999</v>
      </c>
    </row>
    <row r="641" spans="4:39" ht="11.25" customHeight="1" x14ac:dyDescent="0.2">
      <c r="D641" s="1092"/>
      <c r="E641" s="1093"/>
      <c r="F641" s="1093"/>
      <c r="G641" s="1093"/>
      <c r="H641" s="1094"/>
      <c r="I641" s="1095"/>
      <c r="J641" s="1096"/>
      <c r="K641" s="1096"/>
      <c r="L641" s="1096"/>
      <c r="M641" s="1097"/>
      <c r="N641" s="528">
        <v>0</v>
      </c>
      <c r="O641" s="529">
        <v>0</v>
      </c>
      <c r="P641" s="529">
        <v>0</v>
      </c>
      <c r="Q641" s="1019" t="s">
        <v>701</v>
      </c>
      <c r="R641" s="528">
        <v>0</v>
      </c>
      <c r="S641" s="529">
        <v>0</v>
      </c>
      <c r="T641" s="1011" t="s">
        <v>701</v>
      </c>
      <c r="U641" s="530">
        <v>0</v>
      </c>
      <c r="V641" s="529">
        <v>0</v>
      </c>
      <c r="W641" s="1011" t="s">
        <v>701</v>
      </c>
      <c r="X641" s="1016" t="s">
        <v>701</v>
      </c>
      <c r="Y641" s="529">
        <v>0</v>
      </c>
      <c r="Z641" s="1011" t="s">
        <v>701</v>
      </c>
      <c r="AA641" s="1102"/>
      <c r="AB641" s="1103"/>
      <c r="AC641" s="1099"/>
      <c r="AD641" s="1100"/>
      <c r="AE641" s="1107"/>
      <c r="AF641" s="1107"/>
      <c r="AG641" s="1107"/>
      <c r="AH641" s="1108"/>
      <c r="AI641" s="1106"/>
      <c r="AJ641" s="1041" t="s">
        <v>596</v>
      </c>
      <c r="AK641" s="906">
        <v>1</v>
      </c>
      <c r="AL641" s="49">
        <f t="shared" si="1403"/>
        <v>0</v>
      </c>
      <c r="AM641" s="907">
        <f t="shared" si="1404"/>
        <v>1.0506187499999999</v>
      </c>
    </row>
    <row r="642" spans="4:39" ht="11.25" customHeight="1" x14ac:dyDescent="0.2">
      <c r="D642" s="1092"/>
      <c r="E642" s="1093"/>
      <c r="F642" s="1093"/>
      <c r="G642" s="1093"/>
      <c r="H642" s="1094"/>
      <c r="I642" s="1095"/>
      <c r="J642" s="1096"/>
      <c r="K642" s="1096"/>
      <c r="L642" s="1096"/>
      <c r="M642" s="1097"/>
      <c r="N642" s="528">
        <v>0</v>
      </c>
      <c r="O642" s="529">
        <v>0</v>
      </c>
      <c r="P642" s="529">
        <v>0</v>
      </c>
      <c r="Q642" s="1019" t="s">
        <v>701</v>
      </c>
      <c r="R642" s="528">
        <v>0</v>
      </c>
      <c r="S642" s="529">
        <v>0</v>
      </c>
      <c r="T642" s="1011" t="s">
        <v>701</v>
      </c>
      <c r="U642" s="530">
        <v>0</v>
      </c>
      <c r="V642" s="529">
        <v>0</v>
      </c>
      <c r="W642" s="1011" t="s">
        <v>701</v>
      </c>
      <c r="X642" s="1016" t="s">
        <v>701</v>
      </c>
      <c r="Y642" s="529">
        <v>0</v>
      </c>
      <c r="Z642" s="1011" t="s">
        <v>701</v>
      </c>
      <c r="AA642" s="1102"/>
      <c r="AB642" s="1103"/>
      <c r="AC642" s="1099"/>
      <c r="AD642" s="1100"/>
      <c r="AE642" s="1107"/>
      <c r="AF642" s="1107"/>
      <c r="AG642" s="1107"/>
      <c r="AH642" s="1108"/>
      <c r="AI642" s="1106"/>
      <c r="AJ642" s="1041" t="s">
        <v>596</v>
      </c>
      <c r="AK642" s="906">
        <v>1</v>
      </c>
      <c r="AL642" s="49">
        <f t="shared" si="1403"/>
        <v>0</v>
      </c>
      <c r="AM642" s="907">
        <f t="shared" si="1404"/>
        <v>1.0506187499999999</v>
      </c>
    </row>
    <row r="643" spans="4:39" ht="11.25" customHeight="1" x14ac:dyDescent="0.2">
      <c r="D643" s="1092"/>
      <c r="E643" s="1093"/>
      <c r="F643" s="1093"/>
      <c r="G643" s="1093"/>
      <c r="H643" s="1094"/>
      <c r="I643" s="1095"/>
      <c r="J643" s="1096"/>
      <c r="K643" s="1096"/>
      <c r="L643" s="1096"/>
      <c r="M643" s="1097"/>
      <c r="N643" s="528">
        <v>0</v>
      </c>
      <c r="O643" s="529">
        <v>0</v>
      </c>
      <c r="P643" s="529">
        <v>0</v>
      </c>
      <c r="Q643" s="1019" t="s">
        <v>701</v>
      </c>
      <c r="R643" s="528">
        <v>0</v>
      </c>
      <c r="S643" s="529">
        <v>0</v>
      </c>
      <c r="T643" s="1011" t="s">
        <v>701</v>
      </c>
      <c r="U643" s="530">
        <v>0</v>
      </c>
      <c r="V643" s="529">
        <v>0</v>
      </c>
      <c r="W643" s="1011" t="s">
        <v>701</v>
      </c>
      <c r="X643" s="1016" t="s">
        <v>701</v>
      </c>
      <c r="Y643" s="529">
        <v>0</v>
      </c>
      <c r="Z643" s="1011" t="s">
        <v>701</v>
      </c>
      <c r="AA643" s="1102"/>
      <c r="AB643" s="1103"/>
      <c r="AC643" s="1099"/>
      <c r="AD643" s="1100"/>
      <c r="AE643" s="1107"/>
      <c r="AF643" s="1107"/>
      <c r="AG643" s="1107"/>
      <c r="AH643" s="1108"/>
      <c r="AI643" s="1106"/>
      <c r="AJ643" s="1041" t="s">
        <v>596</v>
      </c>
      <c r="AK643" s="906">
        <v>1</v>
      </c>
      <c r="AL643" s="49">
        <f t="shared" si="1403"/>
        <v>0</v>
      </c>
      <c r="AM643" s="907">
        <f t="shared" si="1404"/>
        <v>1.0506187499999999</v>
      </c>
    </row>
    <row r="644" spans="4:39" ht="11.25" customHeight="1" x14ac:dyDescent="0.2">
      <c r="D644" s="1092"/>
      <c r="E644" s="1093"/>
      <c r="F644" s="1093"/>
      <c r="G644" s="1093"/>
      <c r="H644" s="1094"/>
      <c r="I644" s="1095"/>
      <c r="J644" s="1096"/>
      <c r="K644" s="1096"/>
      <c r="L644" s="1096"/>
      <c r="M644" s="1097"/>
      <c r="N644" s="528">
        <v>0</v>
      </c>
      <c r="O644" s="529">
        <v>0</v>
      </c>
      <c r="P644" s="529">
        <v>0</v>
      </c>
      <c r="Q644" s="1019" t="s">
        <v>701</v>
      </c>
      <c r="R644" s="528">
        <v>0</v>
      </c>
      <c r="S644" s="529">
        <v>0</v>
      </c>
      <c r="T644" s="1011" t="s">
        <v>701</v>
      </c>
      <c r="U644" s="530">
        <v>0</v>
      </c>
      <c r="V644" s="529">
        <v>0</v>
      </c>
      <c r="W644" s="1011" t="s">
        <v>701</v>
      </c>
      <c r="X644" s="1016" t="s">
        <v>701</v>
      </c>
      <c r="Y644" s="529">
        <v>0</v>
      </c>
      <c r="Z644" s="1011" t="s">
        <v>701</v>
      </c>
      <c r="AA644" s="1102"/>
      <c r="AB644" s="1103"/>
      <c r="AC644" s="1099"/>
      <c r="AD644" s="1100"/>
      <c r="AE644" s="1107"/>
      <c r="AF644" s="1107"/>
      <c r="AG644" s="1107"/>
      <c r="AH644" s="1108"/>
      <c r="AI644" s="1106"/>
      <c r="AJ644" s="1041" t="s">
        <v>596</v>
      </c>
      <c r="AK644" s="906">
        <v>1</v>
      </c>
      <c r="AL644" s="49">
        <f t="shared" si="1403"/>
        <v>0</v>
      </c>
      <c r="AM644" s="907">
        <f t="shared" si="1404"/>
        <v>1.0506187499999999</v>
      </c>
    </row>
    <row r="645" spans="4:39" ht="11.25" customHeight="1" thickBot="1" x14ac:dyDescent="0.25">
      <c r="D645" s="532" t="s">
        <v>418</v>
      </c>
      <c r="E645" s="533"/>
      <c r="F645" s="534"/>
      <c r="G645" s="535"/>
      <c r="H645" s="535"/>
      <c r="I645" s="534"/>
      <c r="J645" s="535"/>
      <c r="K645" s="535"/>
      <c r="L645" s="535"/>
      <c r="M645" s="536"/>
      <c r="N645" s="537">
        <f>SUM(N639:N644)</f>
        <v>0</v>
      </c>
      <c r="O645" s="537">
        <f t="shared" ref="O645" si="1420">SUM(O639:O644)</f>
        <v>0</v>
      </c>
      <c r="P645" s="536"/>
      <c r="Q645" s="1020" t="s">
        <v>701</v>
      </c>
      <c r="R645" s="538"/>
      <c r="S645" s="539">
        <f t="shared" ref="S645" si="1421">SUM(S639:S644)</f>
        <v>0</v>
      </c>
      <c r="T645" s="1012" t="s">
        <v>701</v>
      </c>
      <c r="U645" s="538"/>
      <c r="V645" s="539">
        <f t="shared" ref="V645:Y645" si="1422">SUM(V639:V644)</f>
        <v>0</v>
      </c>
      <c r="W645" s="1012" t="s">
        <v>701</v>
      </c>
      <c r="X645" s="1012" t="s">
        <v>701</v>
      </c>
      <c r="Y645" s="539">
        <f t="shared" si="1422"/>
        <v>1779.993423821641</v>
      </c>
      <c r="Z645" s="1012" t="s">
        <v>701</v>
      </c>
      <c r="AA645" s="1012" t="s">
        <v>701</v>
      </c>
      <c r="AB645" s="1007" t="s">
        <v>701</v>
      </c>
      <c r="AC645" s="1013" t="s">
        <v>701</v>
      </c>
      <c r="AD645" s="540"/>
      <c r="AE645" s="1008" t="s">
        <v>701</v>
      </c>
      <c r="AF645" s="1008" t="s">
        <v>701</v>
      </c>
      <c r="AG645" s="1008" t="s">
        <v>701</v>
      </c>
      <c r="AH645" s="1008" t="s">
        <v>701</v>
      </c>
      <c r="AI645" s="1008" t="s">
        <v>701</v>
      </c>
      <c r="AJ645" s="1042" t="s">
        <v>596</v>
      </c>
      <c r="AK645" s="906">
        <v>1</v>
      </c>
      <c r="AL645" s="49">
        <f t="shared" si="1403"/>
        <v>0</v>
      </c>
      <c r="AM645" s="907">
        <f t="shared" si="1404"/>
        <v>1.0506187499999999</v>
      </c>
    </row>
    <row r="646" spans="4:39" ht="11.25" customHeight="1" x14ac:dyDescent="0.25">
      <c r="D646" s="1092" t="s">
        <v>776</v>
      </c>
      <c r="E646" s="1093" t="s">
        <v>733</v>
      </c>
      <c r="F646" s="1093">
        <v>1529</v>
      </c>
      <c r="G646" s="1093" t="s">
        <v>730</v>
      </c>
      <c r="H646" s="1094" t="s">
        <v>726</v>
      </c>
      <c r="I646" s="1095">
        <v>330</v>
      </c>
      <c r="J646" s="1096" t="s">
        <v>34</v>
      </c>
      <c r="K646" s="1096" t="s">
        <v>34</v>
      </c>
      <c r="L646" s="1096" t="s">
        <v>34</v>
      </c>
      <c r="M646" s="1097" t="s">
        <v>34</v>
      </c>
      <c r="N646" s="522">
        <v>0</v>
      </c>
      <c r="O646" s="523">
        <v>0</v>
      </c>
      <c r="P646" s="524">
        <v>0</v>
      </c>
      <c r="Q646" s="1018" t="s">
        <v>701</v>
      </c>
      <c r="R646" s="525">
        <v>0</v>
      </c>
      <c r="S646" s="524">
        <v>0</v>
      </c>
      <c r="T646" s="1017" t="s">
        <v>701</v>
      </c>
      <c r="U646" s="526">
        <v>0</v>
      </c>
      <c r="V646" s="524">
        <v>0</v>
      </c>
      <c r="W646" s="1010" t="s">
        <v>701</v>
      </c>
      <c r="X646" s="1015" t="s">
        <v>701</v>
      </c>
      <c r="Y646" s="527">
        <v>1779.993423821641</v>
      </c>
      <c r="Z646" s="1010" t="s">
        <v>701</v>
      </c>
      <c r="AA646" s="1102" t="s">
        <v>701</v>
      </c>
      <c r="AB646" s="1103" t="s">
        <v>701</v>
      </c>
      <c r="AC646" s="1099"/>
      <c r="AD646" s="1100">
        <v>0</v>
      </c>
      <c r="AE646" s="1107" t="s">
        <v>701</v>
      </c>
      <c r="AF646" s="1107" t="s">
        <v>701</v>
      </c>
      <c r="AG646" s="1107" t="s">
        <v>701</v>
      </c>
      <c r="AH646" s="1108" t="s">
        <v>701</v>
      </c>
      <c r="AI646" s="1106" t="s">
        <v>701</v>
      </c>
      <c r="AJ646" s="1040" t="s">
        <v>596</v>
      </c>
      <c r="AK646" s="906">
        <v>1</v>
      </c>
      <c r="AL646" s="49">
        <f t="shared" si="1403"/>
        <v>0</v>
      </c>
      <c r="AM646" s="907">
        <f t="shared" si="1404"/>
        <v>1.0506187499999999</v>
      </c>
    </row>
    <row r="647" spans="4:39" ht="11.25" customHeight="1" x14ac:dyDescent="0.2">
      <c r="D647" s="1092"/>
      <c r="E647" s="1093"/>
      <c r="F647" s="1093"/>
      <c r="G647" s="1093"/>
      <c r="H647" s="1094"/>
      <c r="I647" s="1095"/>
      <c r="J647" s="1096"/>
      <c r="K647" s="1096"/>
      <c r="L647" s="1096"/>
      <c r="M647" s="1097"/>
      <c r="N647" s="528">
        <v>0</v>
      </c>
      <c r="O647" s="529">
        <v>0</v>
      </c>
      <c r="P647" s="529">
        <v>0</v>
      </c>
      <c r="Q647" s="1019" t="s">
        <v>701</v>
      </c>
      <c r="R647" s="528">
        <v>0</v>
      </c>
      <c r="S647" s="529">
        <v>0</v>
      </c>
      <c r="T647" s="1011" t="s">
        <v>701</v>
      </c>
      <c r="U647" s="530">
        <v>0</v>
      </c>
      <c r="V647" s="529">
        <v>0</v>
      </c>
      <c r="W647" s="1011" t="s">
        <v>701</v>
      </c>
      <c r="X647" s="1016" t="s">
        <v>701</v>
      </c>
      <c r="Y647" s="531">
        <v>0</v>
      </c>
      <c r="Z647" s="1011" t="s">
        <v>701</v>
      </c>
      <c r="AA647" s="1102"/>
      <c r="AB647" s="1103"/>
      <c r="AC647" s="1099"/>
      <c r="AD647" s="1100"/>
      <c r="AE647" s="1107"/>
      <c r="AF647" s="1107"/>
      <c r="AG647" s="1107"/>
      <c r="AH647" s="1108"/>
      <c r="AI647" s="1106"/>
      <c r="AJ647" s="1041" t="s">
        <v>596</v>
      </c>
      <c r="AK647" s="906">
        <v>1</v>
      </c>
      <c r="AL647" s="49">
        <f t="shared" si="1403"/>
        <v>0</v>
      </c>
      <c r="AM647" s="907">
        <f t="shared" si="1404"/>
        <v>1.0506187499999999</v>
      </c>
    </row>
    <row r="648" spans="4:39" ht="11.25" customHeight="1" x14ac:dyDescent="0.2">
      <c r="D648" s="1092"/>
      <c r="E648" s="1093"/>
      <c r="F648" s="1093"/>
      <c r="G648" s="1093"/>
      <c r="H648" s="1094"/>
      <c r="I648" s="1095"/>
      <c r="J648" s="1096"/>
      <c r="K648" s="1096"/>
      <c r="L648" s="1096"/>
      <c r="M648" s="1097"/>
      <c r="N648" s="528">
        <v>0</v>
      </c>
      <c r="O648" s="529">
        <v>0</v>
      </c>
      <c r="P648" s="529">
        <v>0</v>
      </c>
      <c r="Q648" s="1019" t="s">
        <v>701</v>
      </c>
      <c r="R648" s="528">
        <v>0</v>
      </c>
      <c r="S648" s="529">
        <v>0</v>
      </c>
      <c r="T648" s="1011" t="s">
        <v>701</v>
      </c>
      <c r="U648" s="530">
        <v>0</v>
      </c>
      <c r="V648" s="529">
        <v>0</v>
      </c>
      <c r="W648" s="1011" t="s">
        <v>701</v>
      </c>
      <c r="X648" s="1016" t="s">
        <v>701</v>
      </c>
      <c r="Y648" s="529">
        <v>0</v>
      </c>
      <c r="Z648" s="1011" t="s">
        <v>701</v>
      </c>
      <c r="AA648" s="1102"/>
      <c r="AB648" s="1103"/>
      <c r="AC648" s="1099"/>
      <c r="AD648" s="1100"/>
      <c r="AE648" s="1107"/>
      <c r="AF648" s="1107"/>
      <c r="AG648" s="1107"/>
      <c r="AH648" s="1108"/>
      <c r="AI648" s="1106"/>
      <c r="AJ648" s="1041" t="s">
        <v>596</v>
      </c>
      <c r="AK648" s="906">
        <v>1</v>
      </c>
      <c r="AL648" s="49">
        <f t="shared" si="1403"/>
        <v>0</v>
      </c>
      <c r="AM648" s="907">
        <f t="shared" si="1404"/>
        <v>1.0506187499999999</v>
      </c>
    </row>
    <row r="649" spans="4:39" ht="11.25" customHeight="1" x14ac:dyDescent="0.2">
      <c r="D649" s="1092"/>
      <c r="E649" s="1093"/>
      <c r="F649" s="1093"/>
      <c r="G649" s="1093"/>
      <c r="H649" s="1094"/>
      <c r="I649" s="1095"/>
      <c r="J649" s="1096"/>
      <c r="K649" s="1096"/>
      <c r="L649" s="1096"/>
      <c r="M649" s="1097"/>
      <c r="N649" s="528">
        <v>0</v>
      </c>
      <c r="O649" s="529">
        <v>0</v>
      </c>
      <c r="P649" s="529">
        <v>0</v>
      </c>
      <c r="Q649" s="1019" t="s">
        <v>701</v>
      </c>
      <c r="R649" s="528">
        <v>0</v>
      </c>
      <c r="S649" s="529">
        <v>0</v>
      </c>
      <c r="T649" s="1011" t="s">
        <v>701</v>
      </c>
      <c r="U649" s="530">
        <v>0</v>
      </c>
      <c r="V649" s="529">
        <v>0</v>
      </c>
      <c r="W649" s="1011" t="s">
        <v>701</v>
      </c>
      <c r="X649" s="1016" t="s">
        <v>701</v>
      </c>
      <c r="Y649" s="529">
        <v>0</v>
      </c>
      <c r="Z649" s="1011" t="s">
        <v>701</v>
      </c>
      <c r="AA649" s="1102"/>
      <c r="AB649" s="1103"/>
      <c r="AC649" s="1099"/>
      <c r="AD649" s="1100"/>
      <c r="AE649" s="1107"/>
      <c r="AF649" s="1107"/>
      <c r="AG649" s="1107"/>
      <c r="AH649" s="1108"/>
      <c r="AI649" s="1106"/>
      <c r="AJ649" s="1041" t="s">
        <v>596</v>
      </c>
      <c r="AK649" s="906">
        <v>1</v>
      </c>
      <c r="AL649" s="49">
        <f t="shared" si="1403"/>
        <v>0</v>
      </c>
      <c r="AM649" s="907">
        <f t="shared" si="1404"/>
        <v>1.0506187499999999</v>
      </c>
    </row>
    <row r="650" spans="4:39" ht="11.25" customHeight="1" x14ac:dyDescent="0.2">
      <c r="D650" s="1092"/>
      <c r="E650" s="1093"/>
      <c r="F650" s="1093"/>
      <c r="G650" s="1093"/>
      <c r="H650" s="1094"/>
      <c r="I650" s="1095"/>
      <c r="J650" s="1096"/>
      <c r="K650" s="1096"/>
      <c r="L650" s="1096"/>
      <c r="M650" s="1097"/>
      <c r="N650" s="528">
        <v>0</v>
      </c>
      <c r="O650" s="529">
        <v>0</v>
      </c>
      <c r="P650" s="529">
        <v>0</v>
      </c>
      <c r="Q650" s="1019" t="s">
        <v>701</v>
      </c>
      <c r="R650" s="528">
        <v>0</v>
      </c>
      <c r="S650" s="529">
        <v>0</v>
      </c>
      <c r="T650" s="1011" t="s">
        <v>701</v>
      </c>
      <c r="U650" s="530">
        <v>0</v>
      </c>
      <c r="V650" s="529">
        <v>0</v>
      </c>
      <c r="W650" s="1011" t="s">
        <v>701</v>
      </c>
      <c r="X650" s="1016" t="s">
        <v>701</v>
      </c>
      <c r="Y650" s="529">
        <v>0</v>
      </c>
      <c r="Z650" s="1011" t="s">
        <v>701</v>
      </c>
      <c r="AA650" s="1102"/>
      <c r="AB650" s="1103"/>
      <c r="AC650" s="1099"/>
      <c r="AD650" s="1100"/>
      <c r="AE650" s="1107"/>
      <c r="AF650" s="1107"/>
      <c r="AG650" s="1107"/>
      <c r="AH650" s="1108"/>
      <c r="AI650" s="1106"/>
      <c r="AJ650" s="1041" t="s">
        <v>596</v>
      </c>
      <c r="AK650" s="906">
        <v>1</v>
      </c>
      <c r="AL650" s="49">
        <f t="shared" si="1403"/>
        <v>0</v>
      </c>
      <c r="AM650" s="907">
        <f t="shared" si="1404"/>
        <v>1.0506187499999999</v>
      </c>
    </row>
    <row r="651" spans="4:39" ht="11.25" customHeight="1" x14ac:dyDescent="0.2">
      <c r="D651" s="1092"/>
      <c r="E651" s="1093"/>
      <c r="F651" s="1093"/>
      <c r="G651" s="1093"/>
      <c r="H651" s="1094"/>
      <c r="I651" s="1095"/>
      <c r="J651" s="1096"/>
      <c r="K651" s="1096"/>
      <c r="L651" s="1096"/>
      <c r="M651" s="1097"/>
      <c r="N651" s="528">
        <v>0</v>
      </c>
      <c r="O651" s="529">
        <v>0</v>
      </c>
      <c r="P651" s="529">
        <v>0</v>
      </c>
      <c r="Q651" s="1019" t="s">
        <v>701</v>
      </c>
      <c r="R651" s="528">
        <v>0</v>
      </c>
      <c r="S651" s="529">
        <v>0</v>
      </c>
      <c r="T651" s="1011" t="s">
        <v>701</v>
      </c>
      <c r="U651" s="530">
        <v>0</v>
      </c>
      <c r="V651" s="529">
        <v>0</v>
      </c>
      <c r="W651" s="1011" t="s">
        <v>701</v>
      </c>
      <c r="X651" s="1016" t="s">
        <v>701</v>
      </c>
      <c r="Y651" s="529">
        <v>0</v>
      </c>
      <c r="Z651" s="1011" t="s">
        <v>701</v>
      </c>
      <c r="AA651" s="1102"/>
      <c r="AB651" s="1103"/>
      <c r="AC651" s="1099"/>
      <c r="AD651" s="1100"/>
      <c r="AE651" s="1107"/>
      <c r="AF651" s="1107"/>
      <c r="AG651" s="1107"/>
      <c r="AH651" s="1108"/>
      <c r="AI651" s="1106"/>
      <c r="AJ651" s="1041" t="s">
        <v>596</v>
      </c>
      <c r="AK651" s="906">
        <v>1</v>
      </c>
      <c r="AL651" s="49">
        <f t="shared" si="1403"/>
        <v>0</v>
      </c>
      <c r="AM651" s="907">
        <f t="shared" si="1404"/>
        <v>1.0506187499999999</v>
      </c>
    </row>
    <row r="652" spans="4:39" ht="11.25" customHeight="1" thickBot="1" x14ac:dyDescent="0.25">
      <c r="D652" s="532" t="s">
        <v>418</v>
      </c>
      <c r="E652" s="533"/>
      <c r="F652" s="534"/>
      <c r="G652" s="535"/>
      <c r="H652" s="535"/>
      <c r="I652" s="534"/>
      <c r="J652" s="535"/>
      <c r="K652" s="535"/>
      <c r="L652" s="535"/>
      <c r="M652" s="536"/>
      <c r="N652" s="537">
        <f>SUM(N646:N651)</f>
        <v>0</v>
      </c>
      <c r="O652" s="537">
        <f t="shared" ref="O652" si="1423">SUM(O646:O651)</f>
        <v>0</v>
      </c>
      <c r="P652" s="536"/>
      <c r="Q652" s="1020" t="s">
        <v>701</v>
      </c>
      <c r="R652" s="538"/>
      <c r="S652" s="539">
        <f t="shared" ref="S652" si="1424">SUM(S646:S651)</f>
        <v>0</v>
      </c>
      <c r="T652" s="1012" t="s">
        <v>701</v>
      </c>
      <c r="U652" s="538"/>
      <c r="V652" s="539">
        <f t="shared" ref="V652:Y652" si="1425">SUM(V646:V651)</f>
        <v>0</v>
      </c>
      <c r="W652" s="1012" t="s">
        <v>701</v>
      </c>
      <c r="X652" s="1012" t="s">
        <v>701</v>
      </c>
      <c r="Y652" s="539">
        <f t="shared" si="1425"/>
        <v>1779.993423821641</v>
      </c>
      <c r="Z652" s="1012" t="s">
        <v>701</v>
      </c>
      <c r="AA652" s="1012" t="s">
        <v>701</v>
      </c>
      <c r="AB652" s="1007" t="s">
        <v>701</v>
      </c>
      <c r="AC652" s="1013" t="s">
        <v>701</v>
      </c>
      <c r="AD652" s="540"/>
      <c r="AE652" s="1008" t="s">
        <v>701</v>
      </c>
      <c r="AF652" s="1008" t="s">
        <v>701</v>
      </c>
      <c r="AG652" s="1008" t="s">
        <v>701</v>
      </c>
      <c r="AH652" s="1008" t="s">
        <v>701</v>
      </c>
      <c r="AI652" s="1008" t="s">
        <v>701</v>
      </c>
      <c r="AJ652" s="1042" t="s">
        <v>596</v>
      </c>
      <c r="AK652" s="906">
        <v>1</v>
      </c>
      <c r="AL652" s="49">
        <f t="shared" si="1403"/>
        <v>0</v>
      </c>
      <c r="AM652" s="907">
        <f t="shared" si="1404"/>
        <v>1.0506187499999999</v>
      </c>
    </row>
    <row r="653" spans="4:39" ht="11.25" customHeight="1" x14ac:dyDescent="0.25">
      <c r="D653" s="1092"/>
      <c r="E653" s="1093"/>
      <c r="F653" s="1093"/>
      <c r="G653" s="1093"/>
      <c r="H653" s="1094"/>
      <c r="I653" s="1095"/>
      <c r="J653" s="1096"/>
      <c r="K653" s="1096"/>
      <c r="L653" s="1096"/>
      <c r="M653" s="1097"/>
      <c r="N653" s="522"/>
      <c r="O653" s="523"/>
      <c r="P653" s="524"/>
      <c r="Q653" s="1018" t="s">
        <v>701</v>
      </c>
      <c r="R653" s="525"/>
      <c r="S653" s="524"/>
      <c r="T653" s="1017" t="s">
        <v>701</v>
      </c>
      <c r="U653" s="526"/>
      <c r="V653" s="524"/>
      <c r="W653" s="1010" t="s">
        <v>701</v>
      </c>
      <c r="X653" s="1015" t="s">
        <v>701</v>
      </c>
      <c r="Y653" s="527"/>
      <c r="Z653" s="1011" t="s">
        <v>701</v>
      </c>
      <c r="AA653" s="1102"/>
      <c r="AB653" s="1103"/>
      <c r="AC653" s="1099"/>
      <c r="AD653" s="1100"/>
      <c r="AE653" s="1104"/>
      <c r="AF653" s="1104"/>
      <c r="AG653" s="1104"/>
      <c r="AH653" s="1105"/>
      <c r="AI653" s="1101"/>
      <c r="AJ653" s="1040" t="s">
        <v>596</v>
      </c>
      <c r="AK653" s="906">
        <v>0</v>
      </c>
      <c r="AL653" s="49">
        <f t="shared" si="1403"/>
        <v>1</v>
      </c>
      <c r="AM653" s="907">
        <f t="shared" si="1404"/>
        <v>1.0526158167136324</v>
      </c>
    </row>
    <row r="654" spans="4:39" ht="11.25" customHeight="1" x14ac:dyDescent="0.2">
      <c r="D654" s="1092"/>
      <c r="E654" s="1093"/>
      <c r="F654" s="1093"/>
      <c r="G654" s="1093"/>
      <c r="H654" s="1094"/>
      <c r="I654" s="1095"/>
      <c r="J654" s="1096"/>
      <c r="K654" s="1096"/>
      <c r="L654" s="1096"/>
      <c r="M654" s="1097"/>
      <c r="N654" s="528"/>
      <c r="O654" s="529"/>
      <c r="P654" s="529"/>
      <c r="Q654" s="1019" t="s">
        <v>701</v>
      </c>
      <c r="R654" s="528"/>
      <c r="S654" s="529"/>
      <c r="T654" s="1011" t="s">
        <v>701</v>
      </c>
      <c r="U654" s="530"/>
      <c r="V654" s="529"/>
      <c r="W654" s="1011" t="s">
        <v>701</v>
      </c>
      <c r="X654" s="1016" t="s">
        <v>701</v>
      </c>
      <c r="Y654" s="531"/>
      <c r="Z654" s="1011" t="s">
        <v>701</v>
      </c>
      <c r="AA654" s="1102"/>
      <c r="AB654" s="1103"/>
      <c r="AC654" s="1099"/>
      <c r="AD654" s="1100"/>
      <c r="AE654" s="1104"/>
      <c r="AF654" s="1104"/>
      <c r="AG654" s="1104"/>
      <c r="AH654" s="1105"/>
      <c r="AI654" s="1101"/>
      <c r="AJ654" s="1041" t="s">
        <v>596</v>
      </c>
      <c r="AK654" s="906">
        <v>0</v>
      </c>
      <c r="AL654" s="49">
        <f t="shared" si="1403"/>
        <v>1</v>
      </c>
      <c r="AM654" s="907">
        <f t="shared" si="1404"/>
        <v>1.0526158167136324</v>
      </c>
    </row>
    <row r="655" spans="4:39" ht="11.25" customHeight="1" x14ac:dyDescent="0.2">
      <c r="D655" s="1092"/>
      <c r="E655" s="1093"/>
      <c r="F655" s="1093"/>
      <c r="G655" s="1093"/>
      <c r="H655" s="1094"/>
      <c r="I655" s="1095"/>
      <c r="J655" s="1096"/>
      <c r="K655" s="1096"/>
      <c r="L655" s="1096"/>
      <c r="M655" s="1097"/>
      <c r="N655" s="528"/>
      <c r="O655" s="529"/>
      <c r="P655" s="529"/>
      <c r="Q655" s="1019" t="s">
        <v>701</v>
      </c>
      <c r="R655" s="528"/>
      <c r="S655" s="529"/>
      <c r="T655" s="1011" t="s">
        <v>701</v>
      </c>
      <c r="U655" s="530"/>
      <c r="V655" s="529"/>
      <c r="W655" s="1011" t="s">
        <v>701</v>
      </c>
      <c r="X655" s="1016" t="s">
        <v>701</v>
      </c>
      <c r="Y655" s="529"/>
      <c r="Z655" s="1011" t="s">
        <v>701</v>
      </c>
      <c r="AA655" s="1102"/>
      <c r="AB655" s="1103"/>
      <c r="AC655" s="1099"/>
      <c r="AD655" s="1100"/>
      <c r="AE655" s="1104"/>
      <c r="AF655" s="1104"/>
      <c r="AG655" s="1104"/>
      <c r="AH655" s="1105"/>
      <c r="AI655" s="1101"/>
      <c r="AJ655" s="1041" t="s">
        <v>596</v>
      </c>
      <c r="AK655" s="906">
        <v>0</v>
      </c>
      <c r="AL655" s="49">
        <f t="shared" si="1403"/>
        <v>1</v>
      </c>
      <c r="AM655" s="907">
        <f t="shared" si="1404"/>
        <v>1.0526158167136324</v>
      </c>
    </row>
    <row r="656" spans="4:39" ht="11.25" customHeight="1" x14ac:dyDescent="0.2">
      <c r="D656" s="1092"/>
      <c r="E656" s="1093"/>
      <c r="F656" s="1093"/>
      <c r="G656" s="1093"/>
      <c r="H656" s="1094"/>
      <c r="I656" s="1095"/>
      <c r="J656" s="1096"/>
      <c r="K656" s="1096"/>
      <c r="L656" s="1096"/>
      <c r="M656" s="1097"/>
      <c r="N656" s="528"/>
      <c r="O656" s="529"/>
      <c r="P656" s="529"/>
      <c r="Q656" s="1019" t="s">
        <v>701</v>
      </c>
      <c r="R656" s="528"/>
      <c r="S656" s="529"/>
      <c r="T656" s="1011" t="s">
        <v>701</v>
      </c>
      <c r="U656" s="530"/>
      <c r="V656" s="529"/>
      <c r="W656" s="1011" t="s">
        <v>701</v>
      </c>
      <c r="X656" s="1016" t="s">
        <v>701</v>
      </c>
      <c r="Y656" s="529"/>
      <c r="Z656" s="1011" t="s">
        <v>701</v>
      </c>
      <c r="AA656" s="1102"/>
      <c r="AB656" s="1103"/>
      <c r="AC656" s="1099"/>
      <c r="AD656" s="1100"/>
      <c r="AE656" s="1104"/>
      <c r="AF656" s="1104"/>
      <c r="AG656" s="1104"/>
      <c r="AH656" s="1105"/>
      <c r="AI656" s="1101"/>
      <c r="AJ656" s="1041" t="s">
        <v>596</v>
      </c>
      <c r="AK656" s="906">
        <v>0</v>
      </c>
      <c r="AL656" s="49">
        <f t="shared" si="1403"/>
        <v>1</v>
      </c>
      <c r="AM656" s="907">
        <f t="shared" si="1404"/>
        <v>1.0526158167136324</v>
      </c>
    </row>
    <row r="657" spans="1:39" ht="11.25" customHeight="1" x14ac:dyDescent="0.2">
      <c r="D657" s="1092"/>
      <c r="E657" s="1093"/>
      <c r="F657" s="1093"/>
      <c r="G657" s="1093"/>
      <c r="H657" s="1094"/>
      <c r="I657" s="1095"/>
      <c r="J657" s="1096"/>
      <c r="K657" s="1096"/>
      <c r="L657" s="1096"/>
      <c r="M657" s="1097"/>
      <c r="N657" s="528"/>
      <c r="O657" s="529"/>
      <c r="P657" s="529"/>
      <c r="Q657" s="1019" t="s">
        <v>701</v>
      </c>
      <c r="R657" s="528"/>
      <c r="S657" s="529"/>
      <c r="T657" s="1011" t="s">
        <v>701</v>
      </c>
      <c r="U657" s="530"/>
      <c r="V657" s="529"/>
      <c r="W657" s="1011" t="s">
        <v>701</v>
      </c>
      <c r="X657" s="1016" t="s">
        <v>701</v>
      </c>
      <c r="Y657" s="529"/>
      <c r="Z657" s="1011" t="s">
        <v>701</v>
      </c>
      <c r="AA657" s="1102"/>
      <c r="AB657" s="1103"/>
      <c r="AC657" s="1099"/>
      <c r="AD657" s="1100"/>
      <c r="AE657" s="1104"/>
      <c r="AF657" s="1104"/>
      <c r="AG657" s="1104"/>
      <c r="AH657" s="1105"/>
      <c r="AI657" s="1101"/>
      <c r="AJ657" s="1041" t="s">
        <v>596</v>
      </c>
      <c r="AK657" s="906">
        <v>0</v>
      </c>
      <c r="AL657" s="49">
        <f t="shared" si="1403"/>
        <v>1</v>
      </c>
      <c r="AM657" s="907">
        <f t="shared" si="1404"/>
        <v>1.0526158167136324</v>
      </c>
    </row>
    <row r="658" spans="1:39" ht="11.25" customHeight="1" x14ac:dyDescent="0.2">
      <c r="D658" s="1092"/>
      <c r="E658" s="1093"/>
      <c r="F658" s="1093"/>
      <c r="G658" s="1093"/>
      <c r="H658" s="1094"/>
      <c r="I658" s="1095"/>
      <c r="J658" s="1096"/>
      <c r="K658" s="1096"/>
      <c r="L658" s="1096"/>
      <c r="M658" s="1097"/>
      <c r="N658" s="528"/>
      <c r="O658" s="529"/>
      <c r="P658" s="529"/>
      <c r="Q658" s="1019" t="s">
        <v>701</v>
      </c>
      <c r="R658" s="528"/>
      <c r="S658" s="529"/>
      <c r="T658" s="1011" t="s">
        <v>701</v>
      </c>
      <c r="U658" s="530"/>
      <c r="V658" s="529"/>
      <c r="W658" s="1011" t="s">
        <v>701</v>
      </c>
      <c r="X658" s="1016" t="s">
        <v>701</v>
      </c>
      <c r="Y658" s="529"/>
      <c r="Z658" s="1011" t="s">
        <v>701</v>
      </c>
      <c r="AA658" s="1102"/>
      <c r="AB658" s="1103"/>
      <c r="AC658" s="1099"/>
      <c r="AD658" s="1100"/>
      <c r="AE658" s="1104"/>
      <c r="AF658" s="1104"/>
      <c r="AG658" s="1104"/>
      <c r="AH658" s="1105"/>
      <c r="AI658" s="1101"/>
      <c r="AJ658" s="1041" t="s">
        <v>596</v>
      </c>
      <c r="AK658" s="906">
        <v>0</v>
      </c>
      <c r="AL658" s="49">
        <f t="shared" si="1403"/>
        <v>1</v>
      </c>
      <c r="AM658" s="907">
        <f t="shared" si="1404"/>
        <v>1.0526158167136324</v>
      </c>
    </row>
    <row r="659" spans="1:39" ht="11.25" customHeight="1" thickBot="1" x14ac:dyDescent="0.25">
      <c r="D659" s="532" t="s">
        <v>418</v>
      </c>
      <c r="E659" s="533"/>
      <c r="F659" s="534"/>
      <c r="G659" s="535"/>
      <c r="H659" s="535"/>
      <c r="I659" s="534"/>
      <c r="J659" s="535"/>
      <c r="K659" s="535"/>
      <c r="L659" s="535"/>
      <c r="M659" s="536"/>
      <c r="N659" s="537">
        <f>SUM(N653:N658)</f>
        <v>0</v>
      </c>
      <c r="O659" s="537">
        <f t="shared" ref="O659" si="1426">SUM(O653:O658)</f>
        <v>0</v>
      </c>
      <c r="P659" s="536"/>
      <c r="Q659" s="1020" t="s">
        <v>701</v>
      </c>
      <c r="R659" s="538"/>
      <c r="S659" s="539">
        <f t="shared" ref="S659" si="1427">SUM(S653:S658)</f>
        <v>0</v>
      </c>
      <c r="T659" s="1012" t="s">
        <v>701</v>
      </c>
      <c r="U659" s="538"/>
      <c r="V659" s="539">
        <f t="shared" ref="V659:Y659" si="1428">SUM(V653:V658)</f>
        <v>0</v>
      </c>
      <c r="W659" s="1012" t="s">
        <v>701</v>
      </c>
      <c r="X659" s="1012" t="s">
        <v>701</v>
      </c>
      <c r="Y659" s="539">
        <f t="shared" si="1428"/>
        <v>0</v>
      </c>
      <c r="Z659" s="1012" t="s">
        <v>701</v>
      </c>
      <c r="AA659" s="1012" t="s">
        <v>701</v>
      </c>
      <c r="AB659" s="1007" t="s">
        <v>701</v>
      </c>
      <c r="AC659" s="1013" t="s">
        <v>701</v>
      </c>
      <c r="AD659" s="540"/>
      <c r="AE659" s="1008" t="s">
        <v>701</v>
      </c>
      <c r="AF659" s="1008" t="s">
        <v>701</v>
      </c>
      <c r="AG659" s="1008" t="s">
        <v>701</v>
      </c>
      <c r="AH659" s="1008" t="s">
        <v>701</v>
      </c>
      <c r="AI659" s="1008" t="s">
        <v>701</v>
      </c>
      <c r="AJ659" s="1042" t="s">
        <v>596</v>
      </c>
      <c r="AK659" s="906">
        <v>0</v>
      </c>
      <c r="AL659" s="49">
        <f t="shared" si="1403"/>
        <v>1</v>
      </c>
      <c r="AM659" s="907">
        <f t="shared" si="1404"/>
        <v>1.0526158167136324</v>
      </c>
    </row>
    <row r="660" spans="1:39" ht="11.25" customHeight="1" x14ac:dyDescent="0.25">
      <c r="D660" s="1092"/>
      <c r="E660" s="1093"/>
      <c r="F660" s="1093"/>
      <c r="G660" s="1093"/>
      <c r="H660" s="1094"/>
      <c r="I660" s="1095"/>
      <c r="J660" s="1096"/>
      <c r="K660" s="1096"/>
      <c r="L660" s="1096"/>
      <c r="M660" s="1097"/>
      <c r="N660" s="522"/>
      <c r="O660" s="523"/>
      <c r="P660" s="524"/>
      <c r="Q660" s="1018" t="s">
        <v>701</v>
      </c>
      <c r="R660" s="525"/>
      <c r="S660" s="524"/>
      <c r="T660" s="1017" t="s">
        <v>701</v>
      </c>
      <c r="U660" s="526"/>
      <c r="V660" s="524"/>
      <c r="W660" s="1010" t="s">
        <v>701</v>
      </c>
      <c r="X660" s="1015" t="s">
        <v>701</v>
      </c>
      <c r="Y660" s="527"/>
      <c r="Z660" s="1011" t="s">
        <v>701</v>
      </c>
      <c r="AA660" s="1102"/>
      <c r="AB660" s="1103"/>
      <c r="AC660" s="1099"/>
      <c r="AD660" s="1100"/>
      <c r="AE660" s="1104"/>
      <c r="AF660" s="1104"/>
      <c r="AG660" s="1104"/>
      <c r="AH660" s="1105"/>
      <c r="AI660" s="1101"/>
      <c r="AJ660" s="1040" t="s">
        <v>596</v>
      </c>
      <c r="AK660" s="906">
        <v>0</v>
      </c>
      <c r="AL660" s="49">
        <f t="shared" si="1403"/>
        <v>1</v>
      </c>
      <c r="AM660" s="907">
        <f t="shared" si="1404"/>
        <v>1.0526158167136324</v>
      </c>
    </row>
    <row r="661" spans="1:39" ht="11.25" customHeight="1" x14ac:dyDescent="0.2">
      <c r="D661" s="1092"/>
      <c r="E661" s="1093"/>
      <c r="F661" s="1093"/>
      <c r="G661" s="1093"/>
      <c r="H661" s="1094"/>
      <c r="I661" s="1095"/>
      <c r="J661" s="1096"/>
      <c r="K661" s="1096"/>
      <c r="L661" s="1096"/>
      <c r="M661" s="1097"/>
      <c r="N661" s="528"/>
      <c r="O661" s="529"/>
      <c r="P661" s="529"/>
      <c r="Q661" s="1019" t="s">
        <v>701</v>
      </c>
      <c r="R661" s="528"/>
      <c r="S661" s="529"/>
      <c r="T661" s="1011" t="s">
        <v>701</v>
      </c>
      <c r="U661" s="530"/>
      <c r="V661" s="529"/>
      <c r="W661" s="1011" t="s">
        <v>701</v>
      </c>
      <c r="X661" s="1016" t="s">
        <v>701</v>
      </c>
      <c r="Y661" s="531"/>
      <c r="Z661" s="1011" t="s">
        <v>701</v>
      </c>
      <c r="AA661" s="1102"/>
      <c r="AB661" s="1103"/>
      <c r="AC661" s="1099"/>
      <c r="AD661" s="1100"/>
      <c r="AE661" s="1104"/>
      <c r="AF661" s="1104"/>
      <c r="AG661" s="1104"/>
      <c r="AH661" s="1105"/>
      <c r="AI661" s="1101"/>
      <c r="AJ661" s="1041" t="s">
        <v>596</v>
      </c>
      <c r="AK661" s="906">
        <v>0</v>
      </c>
      <c r="AL661" s="49">
        <f t="shared" si="1403"/>
        <v>1</v>
      </c>
      <c r="AM661" s="907">
        <f t="shared" si="1404"/>
        <v>1.0526158167136324</v>
      </c>
    </row>
    <row r="662" spans="1:39" ht="11.25" customHeight="1" x14ac:dyDescent="0.2">
      <c r="D662" s="1092"/>
      <c r="E662" s="1093"/>
      <c r="F662" s="1093"/>
      <c r="G662" s="1093"/>
      <c r="H662" s="1094"/>
      <c r="I662" s="1095"/>
      <c r="J662" s="1096"/>
      <c r="K662" s="1096"/>
      <c r="L662" s="1096"/>
      <c r="M662" s="1097"/>
      <c r="N662" s="528"/>
      <c r="O662" s="529"/>
      <c r="P662" s="529"/>
      <c r="Q662" s="1019" t="s">
        <v>701</v>
      </c>
      <c r="R662" s="528"/>
      <c r="S662" s="529"/>
      <c r="T662" s="1011" t="s">
        <v>701</v>
      </c>
      <c r="U662" s="530"/>
      <c r="V662" s="529"/>
      <c r="W662" s="1011" t="s">
        <v>701</v>
      </c>
      <c r="X662" s="1016" t="s">
        <v>701</v>
      </c>
      <c r="Y662" s="529"/>
      <c r="Z662" s="1011" t="s">
        <v>701</v>
      </c>
      <c r="AA662" s="1102"/>
      <c r="AB662" s="1103"/>
      <c r="AC662" s="1099"/>
      <c r="AD662" s="1100"/>
      <c r="AE662" s="1104"/>
      <c r="AF662" s="1104"/>
      <c r="AG662" s="1104"/>
      <c r="AH662" s="1105"/>
      <c r="AI662" s="1101"/>
      <c r="AJ662" s="1041" t="s">
        <v>596</v>
      </c>
      <c r="AK662" s="906">
        <v>0</v>
      </c>
      <c r="AL662" s="49">
        <f t="shared" si="1403"/>
        <v>1</v>
      </c>
      <c r="AM662" s="907">
        <f t="shared" si="1404"/>
        <v>1.0526158167136324</v>
      </c>
    </row>
    <row r="663" spans="1:39" ht="11.25" customHeight="1" x14ac:dyDescent="0.2">
      <c r="D663" s="1092"/>
      <c r="E663" s="1093"/>
      <c r="F663" s="1093"/>
      <c r="G663" s="1093"/>
      <c r="H663" s="1094"/>
      <c r="I663" s="1095"/>
      <c r="J663" s="1096"/>
      <c r="K663" s="1096"/>
      <c r="L663" s="1096"/>
      <c r="M663" s="1097"/>
      <c r="N663" s="528"/>
      <c r="O663" s="529"/>
      <c r="P663" s="529"/>
      <c r="Q663" s="1019" t="s">
        <v>701</v>
      </c>
      <c r="R663" s="528"/>
      <c r="S663" s="529"/>
      <c r="T663" s="1011" t="s">
        <v>701</v>
      </c>
      <c r="U663" s="530"/>
      <c r="V663" s="529"/>
      <c r="W663" s="1011" t="s">
        <v>701</v>
      </c>
      <c r="X663" s="1016" t="s">
        <v>701</v>
      </c>
      <c r="Y663" s="529"/>
      <c r="Z663" s="1011" t="s">
        <v>701</v>
      </c>
      <c r="AA663" s="1102"/>
      <c r="AB663" s="1103"/>
      <c r="AC663" s="1099"/>
      <c r="AD663" s="1100"/>
      <c r="AE663" s="1104"/>
      <c r="AF663" s="1104"/>
      <c r="AG663" s="1104"/>
      <c r="AH663" s="1105"/>
      <c r="AI663" s="1101"/>
      <c r="AJ663" s="1041" t="s">
        <v>596</v>
      </c>
      <c r="AK663" s="906">
        <v>0</v>
      </c>
      <c r="AL663" s="49">
        <f t="shared" si="1403"/>
        <v>1</v>
      </c>
      <c r="AM663" s="907">
        <f t="shared" si="1404"/>
        <v>1.0526158167136324</v>
      </c>
    </row>
    <row r="664" spans="1:39" ht="11.25" customHeight="1" x14ac:dyDescent="0.2">
      <c r="D664" s="1092"/>
      <c r="E664" s="1093"/>
      <c r="F664" s="1093"/>
      <c r="G664" s="1093"/>
      <c r="H664" s="1094"/>
      <c r="I664" s="1095"/>
      <c r="J664" s="1096"/>
      <c r="K664" s="1096"/>
      <c r="L664" s="1096"/>
      <c r="M664" s="1097"/>
      <c r="N664" s="528"/>
      <c r="O664" s="529"/>
      <c r="P664" s="529"/>
      <c r="Q664" s="1019" t="s">
        <v>701</v>
      </c>
      <c r="R664" s="528"/>
      <c r="S664" s="529"/>
      <c r="T664" s="1011" t="s">
        <v>701</v>
      </c>
      <c r="U664" s="530"/>
      <c r="V664" s="529"/>
      <c r="W664" s="1011" t="s">
        <v>701</v>
      </c>
      <c r="X664" s="1016" t="s">
        <v>701</v>
      </c>
      <c r="Y664" s="529"/>
      <c r="Z664" s="1011" t="s">
        <v>701</v>
      </c>
      <c r="AA664" s="1102"/>
      <c r="AB664" s="1103"/>
      <c r="AC664" s="1099"/>
      <c r="AD664" s="1100"/>
      <c r="AE664" s="1104"/>
      <c r="AF664" s="1104"/>
      <c r="AG664" s="1104"/>
      <c r="AH664" s="1105"/>
      <c r="AI664" s="1101"/>
      <c r="AJ664" s="1041" t="s">
        <v>596</v>
      </c>
      <c r="AK664" s="906">
        <v>0</v>
      </c>
      <c r="AL664" s="49">
        <f t="shared" si="1403"/>
        <v>1</v>
      </c>
      <c r="AM664" s="907">
        <f t="shared" si="1404"/>
        <v>1.0526158167136324</v>
      </c>
    </row>
    <row r="665" spans="1:39" ht="11.25" customHeight="1" x14ac:dyDescent="0.2">
      <c r="D665" s="1092"/>
      <c r="E665" s="1093"/>
      <c r="F665" s="1093"/>
      <c r="G665" s="1093"/>
      <c r="H665" s="1094"/>
      <c r="I665" s="1095"/>
      <c r="J665" s="1096"/>
      <c r="K665" s="1096"/>
      <c r="L665" s="1096"/>
      <c r="M665" s="1097"/>
      <c r="N665" s="528"/>
      <c r="O665" s="529"/>
      <c r="P665" s="529"/>
      <c r="Q665" s="1019" t="s">
        <v>701</v>
      </c>
      <c r="R665" s="528"/>
      <c r="S665" s="529"/>
      <c r="T665" s="1011" t="s">
        <v>701</v>
      </c>
      <c r="U665" s="530"/>
      <c r="V665" s="529"/>
      <c r="W665" s="1011" t="s">
        <v>701</v>
      </c>
      <c r="X665" s="1016" t="s">
        <v>701</v>
      </c>
      <c r="Y665" s="529"/>
      <c r="Z665" s="1011" t="s">
        <v>701</v>
      </c>
      <c r="AA665" s="1102"/>
      <c r="AB665" s="1103"/>
      <c r="AC665" s="1099"/>
      <c r="AD665" s="1100"/>
      <c r="AE665" s="1104"/>
      <c r="AF665" s="1104"/>
      <c r="AG665" s="1104"/>
      <c r="AH665" s="1105"/>
      <c r="AI665" s="1101"/>
      <c r="AJ665" s="1041" t="s">
        <v>596</v>
      </c>
      <c r="AK665" s="906">
        <v>0</v>
      </c>
      <c r="AL665" s="49">
        <f t="shared" si="1403"/>
        <v>1</v>
      </c>
      <c r="AM665" s="907">
        <f t="shared" si="1404"/>
        <v>1.0526158167136324</v>
      </c>
    </row>
    <row r="666" spans="1:39" ht="11.25" customHeight="1" thickBot="1" x14ac:dyDescent="0.25">
      <c r="D666" s="532" t="s">
        <v>418</v>
      </c>
      <c r="E666" s="533"/>
      <c r="F666" s="534"/>
      <c r="G666" s="535"/>
      <c r="H666" s="535"/>
      <c r="I666" s="534"/>
      <c r="J666" s="535"/>
      <c r="K666" s="535"/>
      <c r="L666" s="535"/>
      <c r="M666" s="536"/>
      <c r="N666" s="537">
        <f>SUM(N660:N665)</f>
        <v>0</v>
      </c>
      <c r="O666" s="537">
        <f t="shared" ref="O666" si="1429">SUM(O660:O665)</f>
        <v>0</v>
      </c>
      <c r="P666" s="536"/>
      <c r="Q666" s="1020" t="s">
        <v>701</v>
      </c>
      <c r="R666" s="538"/>
      <c r="S666" s="539">
        <f t="shared" ref="S666" si="1430">SUM(S660:S665)</f>
        <v>0</v>
      </c>
      <c r="T666" s="1012" t="s">
        <v>701</v>
      </c>
      <c r="U666" s="538"/>
      <c r="V666" s="539">
        <f t="shared" ref="V666:Y666" si="1431">SUM(V660:V665)</f>
        <v>0</v>
      </c>
      <c r="W666" s="1012" t="s">
        <v>701</v>
      </c>
      <c r="X666" s="1012" t="s">
        <v>701</v>
      </c>
      <c r="Y666" s="539">
        <f t="shared" si="1431"/>
        <v>0</v>
      </c>
      <c r="Z666" s="1012" t="s">
        <v>701</v>
      </c>
      <c r="AA666" s="1012" t="s">
        <v>701</v>
      </c>
      <c r="AB666" s="1007" t="s">
        <v>701</v>
      </c>
      <c r="AC666" s="1013" t="s">
        <v>701</v>
      </c>
      <c r="AD666" s="540"/>
      <c r="AE666" s="1008" t="s">
        <v>701</v>
      </c>
      <c r="AF666" s="1008" t="s">
        <v>701</v>
      </c>
      <c r="AG666" s="1008" t="s">
        <v>701</v>
      </c>
      <c r="AH666" s="1008" t="s">
        <v>701</v>
      </c>
      <c r="AI666" s="1008" t="s">
        <v>701</v>
      </c>
      <c r="AJ666" s="1042" t="s">
        <v>596</v>
      </c>
      <c r="AK666" s="906">
        <v>0</v>
      </c>
      <c r="AL666" s="49">
        <f t="shared" si="1403"/>
        <v>1</v>
      </c>
      <c r="AM666" s="907">
        <f t="shared" si="1404"/>
        <v>1.0526158167136324</v>
      </c>
    </row>
    <row r="667" spans="1:39" ht="11.25" customHeight="1" thickBot="1" x14ac:dyDescent="0.3">
      <c r="D667" s="543"/>
      <c r="E667" s="544"/>
      <c r="F667" s="1088" t="s">
        <v>777</v>
      </c>
      <c r="G667" s="1089">
        <v>0</v>
      </c>
      <c r="H667" s="1089">
        <v>0</v>
      </c>
      <c r="I667" s="1089">
        <v>0</v>
      </c>
      <c r="J667" s="1089">
        <v>0</v>
      </c>
      <c r="K667" s="1089">
        <v>0</v>
      </c>
      <c r="L667" s="1089">
        <v>0</v>
      </c>
      <c r="M667" s="1090">
        <v>0</v>
      </c>
      <c r="N667" s="545"/>
      <c r="O667" s="546"/>
      <c r="P667" s="546"/>
      <c r="Q667" s="940"/>
      <c r="R667" s="546"/>
      <c r="S667" s="546"/>
      <c r="T667" s="944"/>
      <c r="U667" s="546"/>
      <c r="V667" s="546"/>
      <c r="W667" s="940"/>
      <c r="X667" s="940"/>
      <c r="Y667" s="546"/>
      <c r="Z667" s="945"/>
      <c r="AA667" s="945"/>
      <c r="AB667" s="946"/>
      <c r="AC667" s="1014" t="s">
        <v>701</v>
      </c>
      <c r="AD667" s="1039" t="s">
        <v>716</v>
      </c>
      <c r="AE667" s="948"/>
      <c r="AF667" s="945"/>
      <c r="AG667" s="945"/>
      <c r="AH667" s="1009" t="s">
        <v>701</v>
      </c>
      <c r="AI667" s="1009" t="s">
        <v>701</v>
      </c>
      <c r="AJ667" s="1043" t="s">
        <v>596</v>
      </c>
      <c r="AK667" s="906">
        <v>0</v>
      </c>
      <c r="AL667" s="49">
        <f t="shared" si="1403"/>
        <v>1</v>
      </c>
      <c r="AM667" s="907">
        <f t="shared" si="1404"/>
        <v>1.0526158167136324</v>
      </c>
    </row>
    <row r="668" spans="1:39" ht="11.25" customHeight="1" thickBot="1" x14ac:dyDescent="0.3">
      <c r="D668" s="543"/>
      <c r="E668" s="544"/>
      <c r="F668" s="1088" t="str">
        <f>F667</f>
        <v>Non material projects</v>
      </c>
      <c r="G668" s="1089"/>
      <c r="H668" s="1089"/>
      <c r="I668" s="1089"/>
      <c r="J668" s="1089"/>
      <c r="K668" s="1089"/>
      <c r="L668" s="1089"/>
      <c r="M668" s="1090"/>
      <c r="N668" s="545"/>
      <c r="O668" s="546"/>
      <c r="P668" s="546"/>
      <c r="Q668" s="940"/>
      <c r="R668" s="546"/>
      <c r="S668" s="546"/>
      <c r="T668" s="944"/>
      <c r="U668" s="546"/>
      <c r="V668" s="546"/>
      <c r="W668" s="940"/>
      <c r="X668" s="940"/>
      <c r="Y668" s="546"/>
      <c r="Z668" s="945"/>
      <c r="AA668" s="945"/>
      <c r="AB668" s="946"/>
      <c r="AC668" s="947">
        <v>5434293.54</v>
      </c>
      <c r="AD668" s="852"/>
      <c r="AE668" s="948"/>
      <c r="AF668" s="945"/>
      <c r="AG668" s="945"/>
      <c r="AH668" s="945"/>
      <c r="AI668" s="945"/>
      <c r="AJ668" s="547"/>
      <c r="AK668" s="906">
        <v>1</v>
      </c>
      <c r="AL668" s="49">
        <f t="shared" si="1403"/>
        <v>0</v>
      </c>
      <c r="AM668" s="907">
        <f t="shared" ref="AM668" si="1432">AK668*$N$335+AL668*$O$345</f>
        <v>1.0506187499999999</v>
      </c>
    </row>
    <row r="669" spans="1:39" ht="11.25" customHeight="1" x14ac:dyDescent="0.2">
      <c r="Q669" s="941"/>
      <c r="T669" s="941"/>
      <c r="W669" s="941"/>
      <c r="X669" s="941"/>
      <c r="Z669" s="941"/>
      <c r="AA669" s="941"/>
      <c r="AB669" s="941"/>
      <c r="AC669" s="941"/>
      <c r="AE669" s="941"/>
      <c r="AF669" s="941"/>
      <c r="AG669" s="941"/>
      <c r="AH669" s="941"/>
      <c r="AI669" s="941"/>
    </row>
    <row r="670" spans="1:39" ht="11.25" customHeight="1" x14ac:dyDescent="0.2">
      <c r="D670" s="6" t="s">
        <v>179</v>
      </c>
      <c r="Q670" s="942" t="s">
        <v>701</v>
      </c>
      <c r="T670" s="942" t="s">
        <v>701</v>
      </c>
      <c r="W670" s="942" t="s">
        <v>701</v>
      </c>
      <c r="X670" s="941"/>
      <c r="Z670" s="942" t="s">
        <v>701</v>
      </c>
      <c r="AA670" s="942" t="s">
        <v>701</v>
      </c>
      <c r="AB670" s="942" t="s">
        <v>701</v>
      </c>
      <c r="AC670" s="942" t="s">
        <v>701</v>
      </c>
      <c r="AE670" s="942" t="s">
        <v>701</v>
      </c>
      <c r="AF670" s="942" t="s">
        <v>701</v>
      </c>
      <c r="AG670" s="942" t="s">
        <v>701</v>
      </c>
      <c r="AH670" s="942" t="s">
        <v>701</v>
      </c>
      <c r="AI670" s="942" t="s">
        <v>701</v>
      </c>
      <c r="AJ670" s="144">
        <v>1216158477.3439765</v>
      </c>
    </row>
    <row r="671" spans="1:39" ht="11.25" customHeight="1" x14ac:dyDescent="0.2">
      <c r="D671" s="6" t="s">
        <v>564</v>
      </c>
      <c r="Q671" s="943" t="s">
        <v>701</v>
      </c>
      <c r="T671" s="943" t="s">
        <v>701</v>
      </c>
      <c r="W671" s="943" t="s">
        <v>701</v>
      </c>
      <c r="X671" s="941"/>
      <c r="Z671" s="943" t="s">
        <v>701</v>
      </c>
      <c r="AA671" s="943" t="s">
        <v>701</v>
      </c>
      <c r="AB671" s="943" t="s">
        <v>701</v>
      </c>
      <c r="AC671" s="943" t="s">
        <v>701</v>
      </c>
      <c r="AE671" s="943" t="s">
        <v>701</v>
      </c>
      <c r="AF671" s="943" t="s">
        <v>701</v>
      </c>
      <c r="AG671" s="943" t="s">
        <v>701</v>
      </c>
      <c r="AH671" s="943" t="s">
        <v>701</v>
      </c>
      <c r="AI671" s="943" t="s">
        <v>701</v>
      </c>
      <c r="AJ671" s="144">
        <v>1216158477.3439765</v>
      </c>
    </row>
    <row r="672" spans="1:39" ht="11.25" customHeight="1" x14ac:dyDescent="0.2">
      <c r="A672" s="42">
        <f>IF(SUM($E672:$AJ672)&gt;0,1,0)</f>
        <v>0</v>
      </c>
      <c r="D672" s="6" t="s">
        <v>569</v>
      </c>
      <c r="Q672" s="739">
        <v>0</v>
      </c>
      <c r="T672" s="739">
        <v>0</v>
      </c>
      <c r="W672" s="739">
        <v>0</v>
      </c>
      <c r="Z672" s="739">
        <v>0</v>
      </c>
      <c r="AA672" s="739">
        <v>0</v>
      </c>
      <c r="AB672" s="739">
        <v>0</v>
      </c>
      <c r="AC672" s="739">
        <v>0</v>
      </c>
      <c r="AE672" s="739">
        <v>0</v>
      </c>
      <c r="AF672" s="739">
        <v>0</v>
      </c>
      <c r="AG672" s="739">
        <v>0</v>
      </c>
      <c r="AH672" s="739">
        <v>0</v>
      </c>
      <c r="AI672" s="739">
        <v>0</v>
      </c>
      <c r="AJ672" s="739">
        <f t="shared" ref="AJ672" si="1433">IF(ROUND(AJ670-AJ671,1)=0,0,1)</f>
        <v>0</v>
      </c>
    </row>
    <row r="673" spans="2:2" ht="11.25" customHeight="1" x14ac:dyDescent="0.2"/>
    <row r="674" spans="2:2" s="47" customFormat="1" ht="15.75" x14ac:dyDescent="0.2">
      <c r="B674" s="47" t="s">
        <v>32</v>
      </c>
    </row>
  </sheetData>
  <mergeCells count="1759">
    <mergeCell ref="D350:D351"/>
    <mergeCell ref="E350:E351"/>
    <mergeCell ref="F350:F351"/>
    <mergeCell ref="G350:G351"/>
    <mergeCell ref="H350:H351"/>
    <mergeCell ref="I350:I351"/>
    <mergeCell ref="J350:K350"/>
    <mergeCell ref="D349:M349"/>
    <mergeCell ref="N349:Z349"/>
    <mergeCell ref="AA349:AB349"/>
    <mergeCell ref="AC349:AC351"/>
    <mergeCell ref="AD349:AD351"/>
    <mergeCell ref="L350:M350"/>
    <mergeCell ref="N350:Q350"/>
    <mergeCell ref="R350:T350"/>
    <mergeCell ref="U350:W350"/>
    <mergeCell ref="Y350:Z350"/>
    <mergeCell ref="AA351:AB351"/>
    <mergeCell ref="E359:E364"/>
    <mergeCell ref="F359:F364"/>
    <mergeCell ref="G359:G364"/>
    <mergeCell ref="H359:H364"/>
    <mergeCell ref="I359:I364"/>
    <mergeCell ref="J359:J364"/>
    <mergeCell ref="K359:K364"/>
    <mergeCell ref="L359:L364"/>
    <mergeCell ref="AC352:AC357"/>
    <mergeCell ref="AD352:AD357"/>
    <mergeCell ref="AE352:AE357"/>
    <mergeCell ref="AF352:AF357"/>
    <mergeCell ref="AG352:AG357"/>
    <mergeCell ref="AH352:AH357"/>
    <mergeCell ref="J352:J357"/>
    <mergeCell ref="K352:K357"/>
    <mergeCell ref="AE349:AF349"/>
    <mergeCell ref="AG349:AG350"/>
    <mergeCell ref="AH349:AI349"/>
    <mergeCell ref="AE351:AG351"/>
    <mergeCell ref="AH351:AI351"/>
    <mergeCell ref="L352:L357"/>
    <mergeCell ref="M352:M357"/>
    <mergeCell ref="AA352:AA357"/>
    <mergeCell ref="AB352:AB357"/>
    <mergeCell ref="AF359:AF364"/>
    <mergeCell ref="AG359:AG364"/>
    <mergeCell ref="AH359:AH364"/>
    <mergeCell ref="AI359:AI364"/>
    <mergeCell ref="D366:D371"/>
    <mergeCell ref="E366:E371"/>
    <mergeCell ref="F366:F371"/>
    <mergeCell ref="G366:G371"/>
    <mergeCell ref="H366:H371"/>
    <mergeCell ref="I366:I371"/>
    <mergeCell ref="M359:M364"/>
    <mergeCell ref="AA359:AA364"/>
    <mergeCell ref="AB359:AB364"/>
    <mergeCell ref="AC359:AC364"/>
    <mergeCell ref="AD359:AD364"/>
    <mergeCell ref="AE359:AE364"/>
    <mergeCell ref="AI366:AI371"/>
    <mergeCell ref="AC366:AC371"/>
    <mergeCell ref="AD366:AD371"/>
    <mergeCell ref="AE366:AE371"/>
    <mergeCell ref="D352:D357"/>
    <mergeCell ref="E352:E357"/>
    <mergeCell ref="F352:F357"/>
    <mergeCell ref="G352:G357"/>
    <mergeCell ref="H352:H357"/>
    <mergeCell ref="I352:I357"/>
    <mergeCell ref="AI352:AI357"/>
    <mergeCell ref="D359:D364"/>
    <mergeCell ref="AF366:AF371"/>
    <mergeCell ref="AG366:AG371"/>
    <mergeCell ref="AH366:AH371"/>
    <mergeCell ref="J366:J371"/>
    <mergeCell ref="K366:K371"/>
    <mergeCell ref="L366:L371"/>
    <mergeCell ref="M366:M371"/>
    <mergeCell ref="AA366:AA371"/>
    <mergeCell ref="AB366:AB371"/>
    <mergeCell ref="D373:D378"/>
    <mergeCell ref="E373:E378"/>
    <mergeCell ref="F373:F378"/>
    <mergeCell ref="G373:G378"/>
    <mergeCell ref="H373:H378"/>
    <mergeCell ref="I373:I378"/>
    <mergeCell ref="J373:J378"/>
    <mergeCell ref="K373:K378"/>
    <mergeCell ref="L373:L378"/>
    <mergeCell ref="AH387:AH392"/>
    <mergeCell ref="AI387:AI392"/>
    <mergeCell ref="AC387:AC392"/>
    <mergeCell ref="AD387:AD392"/>
    <mergeCell ref="AE387:AE392"/>
    <mergeCell ref="K387:K392"/>
    <mergeCell ref="L387:L392"/>
    <mergeCell ref="AF373:AF378"/>
    <mergeCell ref="AG373:AG378"/>
    <mergeCell ref="AH373:AH378"/>
    <mergeCell ref="AI373:AI378"/>
    <mergeCell ref="D380:D385"/>
    <mergeCell ref="E380:E385"/>
    <mergeCell ref="F380:F385"/>
    <mergeCell ref="G380:G385"/>
    <mergeCell ref="H380:H385"/>
    <mergeCell ref="I380:I385"/>
    <mergeCell ref="M373:M378"/>
    <mergeCell ref="AA373:AA378"/>
    <mergeCell ref="AB373:AB378"/>
    <mergeCell ref="AC373:AC378"/>
    <mergeCell ref="AD373:AD378"/>
    <mergeCell ref="AE373:AE378"/>
    <mergeCell ref="AI380:AI385"/>
    <mergeCell ref="AC380:AC385"/>
    <mergeCell ref="AD380:AD385"/>
    <mergeCell ref="AE380:AE385"/>
    <mergeCell ref="AF380:AF385"/>
    <mergeCell ref="AG380:AG385"/>
    <mergeCell ref="AH380:AH385"/>
    <mergeCell ref="J380:J385"/>
    <mergeCell ref="M387:M392"/>
    <mergeCell ref="AA387:AA392"/>
    <mergeCell ref="AB387:AB392"/>
    <mergeCell ref="D387:D392"/>
    <mergeCell ref="E387:E392"/>
    <mergeCell ref="F387:F392"/>
    <mergeCell ref="G387:G392"/>
    <mergeCell ref="H387:H392"/>
    <mergeCell ref="I387:I392"/>
    <mergeCell ref="J387:J392"/>
    <mergeCell ref="K380:K385"/>
    <mergeCell ref="L380:L385"/>
    <mergeCell ref="M380:M385"/>
    <mergeCell ref="AA380:AA385"/>
    <mergeCell ref="AB380:AB385"/>
    <mergeCell ref="AF387:AF392"/>
    <mergeCell ref="AG387:AG392"/>
    <mergeCell ref="AI394:AI399"/>
    <mergeCell ref="D401:D406"/>
    <mergeCell ref="E401:E406"/>
    <mergeCell ref="F401:F406"/>
    <mergeCell ref="G401:G406"/>
    <mergeCell ref="H401:H406"/>
    <mergeCell ref="I401:I406"/>
    <mergeCell ref="J401:J406"/>
    <mergeCell ref="K401:K406"/>
    <mergeCell ref="L401:L406"/>
    <mergeCell ref="AC394:AC399"/>
    <mergeCell ref="AD394:AD399"/>
    <mergeCell ref="AE394:AE399"/>
    <mergeCell ref="AF394:AF399"/>
    <mergeCell ref="AG394:AG399"/>
    <mergeCell ref="AH394:AH399"/>
    <mergeCell ref="J394:J399"/>
    <mergeCell ref="K394:K399"/>
    <mergeCell ref="L394:L399"/>
    <mergeCell ref="M394:M399"/>
    <mergeCell ref="AA394:AA399"/>
    <mergeCell ref="AB394:AB399"/>
    <mergeCell ref="AF401:AF406"/>
    <mergeCell ref="AG401:AG406"/>
    <mergeCell ref="D394:D399"/>
    <mergeCell ref="E394:E399"/>
    <mergeCell ref="F394:F399"/>
    <mergeCell ref="G394:G399"/>
    <mergeCell ref="H394:H399"/>
    <mergeCell ref="I394:I399"/>
    <mergeCell ref="AH401:AH406"/>
    <mergeCell ref="AI401:AI406"/>
    <mergeCell ref="D408:D413"/>
    <mergeCell ref="E408:E413"/>
    <mergeCell ref="F408:F413"/>
    <mergeCell ref="G408:G413"/>
    <mergeCell ref="H408:H413"/>
    <mergeCell ref="I408:I413"/>
    <mergeCell ref="M401:M406"/>
    <mergeCell ref="AA401:AA406"/>
    <mergeCell ref="AB401:AB406"/>
    <mergeCell ref="AC401:AC406"/>
    <mergeCell ref="AD401:AD406"/>
    <mergeCell ref="AE401:AE406"/>
    <mergeCell ref="AI408:AI413"/>
    <mergeCell ref="AC408:AC413"/>
    <mergeCell ref="AD408:AD413"/>
    <mergeCell ref="AE408:AE413"/>
    <mergeCell ref="AF408:AF413"/>
    <mergeCell ref="AG408:AG413"/>
    <mergeCell ref="AH408:AH413"/>
    <mergeCell ref="J408:J413"/>
    <mergeCell ref="K408:K413"/>
    <mergeCell ref="L408:L413"/>
    <mergeCell ref="M408:M413"/>
    <mergeCell ref="AA408:AA413"/>
    <mergeCell ref="AB408:AB413"/>
    <mergeCell ref="AC415:AC420"/>
    <mergeCell ref="AD415:AD420"/>
    <mergeCell ref="AE415:AE420"/>
    <mergeCell ref="AI422:AI427"/>
    <mergeCell ref="AC422:AC427"/>
    <mergeCell ref="AD422:AD427"/>
    <mergeCell ref="AE422:AE427"/>
    <mergeCell ref="AF422:AF427"/>
    <mergeCell ref="D415:D420"/>
    <mergeCell ref="E415:E420"/>
    <mergeCell ref="F415:F420"/>
    <mergeCell ref="G415:G420"/>
    <mergeCell ref="H415:H420"/>
    <mergeCell ref="I415:I420"/>
    <mergeCell ref="J415:J420"/>
    <mergeCell ref="K415:K420"/>
    <mergeCell ref="AG422:AG427"/>
    <mergeCell ref="AH422:AH427"/>
    <mergeCell ref="J422:J427"/>
    <mergeCell ref="K422:K427"/>
    <mergeCell ref="L422:L427"/>
    <mergeCell ref="M422:M427"/>
    <mergeCell ref="AA422:AA427"/>
    <mergeCell ref="L415:L420"/>
    <mergeCell ref="AF415:AF420"/>
    <mergeCell ref="AG415:AG420"/>
    <mergeCell ref="AH415:AH420"/>
    <mergeCell ref="AI415:AI420"/>
    <mergeCell ref="AG429:AG434"/>
    <mergeCell ref="AH429:AH434"/>
    <mergeCell ref="AA436:AA441"/>
    <mergeCell ref="AB436:AB441"/>
    <mergeCell ref="D429:D434"/>
    <mergeCell ref="E429:E434"/>
    <mergeCell ref="F429:F434"/>
    <mergeCell ref="G429:G434"/>
    <mergeCell ref="H429:H434"/>
    <mergeCell ref="I429:I434"/>
    <mergeCell ref="J429:J434"/>
    <mergeCell ref="K429:K434"/>
    <mergeCell ref="L429:L434"/>
    <mergeCell ref="AI429:AI434"/>
    <mergeCell ref="D436:D441"/>
    <mergeCell ref="E436:E441"/>
    <mergeCell ref="F436:F441"/>
    <mergeCell ref="G436:G441"/>
    <mergeCell ref="H436:H441"/>
    <mergeCell ref="I436:I441"/>
    <mergeCell ref="M429:M434"/>
    <mergeCell ref="AA429:AA434"/>
    <mergeCell ref="AB429:AB434"/>
    <mergeCell ref="AC429:AC434"/>
    <mergeCell ref="AD429:AD434"/>
    <mergeCell ref="AE429:AE434"/>
    <mergeCell ref="AI436:AI441"/>
    <mergeCell ref="AC436:AC441"/>
    <mergeCell ref="AD436:AD441"/>
    <mergeCell ref="AE436:AE441"/>
    <mergeCell ref="AH492:AH497"/>
    <mergeCell ref="AF436:AF441"/>
    <mergeCell ref="AG436:AG441"/>
    <mergeCell ref="AH436:AH441"/>
    <mergeCell ref="J436:J441"/>
    <mergeCell ref="K436:K441"/>
    <mergeCell ref="L436:L441"/>
    <mergeCell ref="M436:M441"/>
    <mergeCell ref="AF443:AF448"/>
    <mergeCell ref="AG443:AG448"/>
    <mergeCell ref="AH443:AH448"/>
    <mergeCell ref="AI443:AI448"/>
    <mergeCell ref="D450:D455"/>
    <mergeCell ref="E450:E455"/>
    <mergeCell ref="F450:F455"/>
    <mergeCell ref="G450:G455"/>
    <mergeCell ref="H450:H455"/>
    <mergeCell ref="I450:I455"/>
    <mergeCell ref="M443:M448"/>
    <mergeCell ref="AA443:AA448"/>
    <mergeCell ref="AB443:AB448"/>
    <mergeCell ref="AC443:AC448"/>
    <mergeCell ref="AD443:AD448"/>
    <mergeCell ref="AE443:AE448"/>
    <mergeCell ref="AI450:AI455"/>
    <mergeCell ref="D443:D448"/>
    <mergeCell ref="E443:E448"/>
    <mergeCell ref="F443:F448"/>
    <mergeCell ref="G443:G448"/>
    <mergeCell ref="H443:H448"/>
    <mergeCell ref="I443:I448"/>
    <mergeCell ref="J443:J448"/>
    <mergeCell ref="AG450:AG455"/>
    <mergeCell ref="AH450:AH455"/>
    <mergeCell ref="J450:J455"/>
    <mergeCell ref="K450:K455"/>
    <mergeCell ref="L450:L455"/>
    <mergeCell ref="M450:M455"/>
    <mergeCell ref="AA450:AA455"/>
    <mergeCell ref="AB450:AB455"/>
    <mergeCell ref="M457:M462"/>
    <mergeCell ref="AA457:AA462"/>
    <mergeCell ref="AB457:AB462"/>
    <mergeCell ref="AC457:AC462"/>
    <mergeCell ref="AD457:AD462"/>
    <mergeCell ref="AE457:AE462"/>
    <mergeCell ref="AF457:AF462"/>
    <mergeCell ref="AG457:AG462"/>
    <mergeCell ref="AH457:AH462"/>
    <mergeCell ref="J457:J462"/>
    <mergeCell ref="K457:K462"/>
    <mergeCell ref="L457:L462"/>
    <mergeCell ref="D8:D9"/>
    <mergeCell ref="E8:E9"/>
    <mergeCell ref="F8:F9"/>
    <mergeCell ref="G8:G9"/>
    <mergeCell ref="H8:H9"/>
    <mergeCell ref="I8:I9"/>
    <mergeCell ref="M17:M22"/>
    <mergeCell ref="AA17:AA22"/>
    <mergeCell ref="AB17:AB22"/>
    <mergeCell ref="AC17:AC22"/>
    <mergeCell ref="AD17:AD22"/>
    <mergeCell ref="L443:L448"/>
    <mergeCell ref="F667:M667"/>
    <mergeCell ref="AC450:AC455"/>
    <mergeCell ref="AD450:AD455"/>
    <mergeCell ref="AE450:AE455"/>
    <mergeCell ref="AF450:AF455"/>
    <mergeCell ref="M471:M476"/>
    <mergeCell ref="AA471:AA476"/>
    <mergeCell ref="AF492:AF497"/>
    <mergeCell ref="K443:K448"/>
    <mergeCell ref="AB422:AB427"/>
    <mergeCell ref="AF429:AF434"/>
    <mergeCell ref="D422:D427"/>
    <mergeCell ref="E422:E427"/>
    <mergeCell ref="F422:F427"/>
    <mergeCell ref="G422:G427"/>
    <mergeCell ref="H422:H427"/>
    <mergeCell ref="I422:I427"/>
    <mergeCell ref="M415:M420"/>
    <mergeCell ref="AA415:AA420"/>
    <mergeCell ref="AB415:AB420"/>
    <mergeCell ref="G10:G15"/>
    <mergeCell ref="H10:H15"/>
    <mergeCell ref="I10:I15"/>
    <mergeCell ref="AF17:AF22"/>
    <mergeCell ref="AG17:AG22"/>
    <mergeCell ref="AH17:AH22"/>
    <mergeCell ref="AI17:AI22"/>
    <mergeCell ref="R8:T8"/>
    <mergeCell ref="U8:W8"/>
    <mergeCell ref="Y8:Z8"/>
    <mergeCell ref="AA9:AB9"/>
    <mergeCell ref="AE9:AG9"/>
    <mergeCell ref="J8:K8"/>
    <mergeCell ref="L8:M8"/>
    <mergeCell ref="N8:Q8"/>
    <mergeCell ref="AH9:AI9"/>
    <mergeCell ref="AG7:AG8"/>
    <mergeCell ref="AH7:AI7"/>
    <mergeCell ref="AE17:AE22"/>
    <mergeCell ref="AC24:AC29"/>
    <mergeCell ref="AD24:AD29"/>
    <mergeCell ref="AE24:AE29"/>
    <mergeCell ref="AF24:AF29"/>
    <mergeCell ref="AG24:AG29"/>
    <mergeCell ref="AH24:AH29"/>
    <mergeCell ref="J24:J29"/>
    <mergeCell ref="AI10:AI15"/>
    <mergeCell ref="D17:D22"/>
    <mergeCell ref="E17:E22"/>
    <mergeCell ref="F17:F22"/>
    <mergeCell ref="G17:G22"/>
    <mergeCell ref="H17:H22"/>
    <mergeCell ref="I17:I22"/>
    <mergeCell ref="J17:J22"/>
    <mergeCell ref="K17:K22"/>
    <mergeCell ref="L17:L22"/>
    <mergeCell ref="AC10:AC15"/>
    <mergeCell ref="AD10:AD15"/>
    <mergeCell ref="AE10:AE15"/>
    <mergeCell ref="AF10:AF15"/>
    <mergeCell ref="AG10:AG15"/>
    <mergeCell ref="AH10:AH15"/>
    <mergeCell ref="J10:J15"/>
    <mergeCell ref="K10:K15"/>
    <mergeCell ref="L10:L15"/>
    <mergeCell ref="M10:M15"/>
    <mergeCell ref="AA10:AA15"/>
    <mergeCell ref="AB10:AB15"/>
    <mergeCell ref="D10:D15"/>
    <mergeCell ref="E10:E15"/>
    <mergeCell ref="F10:F15"/>
    <mergeCell ref="AA31:AA36"/>
    <mergeCell ref="AB31:AB36"/>
    <mergeCell ref="D31:D36"/>
    <mergeCell ref="E31:E36"/>
    <mergeCell ref="F31:F36"/>
    <mergeCell ref="G31:G36"/>
    <mergeCell ref="H31:H36"/>
    <mergeCell ref="I31:I36"/>
    <mergeCell ref="J31:J36"/>
    <mergeCell ref="K24:K29"/>
    <mergeCell ref="L24:L29"/>
    <mergeCell ref="M24:M29"/>
    <mergeCell ref="AA24:AA29"/>
    <mergeCell ref="AB24:AB29"/>
    <mergeCell ref="AF31:AF36"/>
    <mergeCell ref="AG31:AG36"/>
    <mergeCell ref="AI38:AI43"/>
    <mergeCell ref="AH31:AH36"/>
    <mergeCell ref="AI31:AI36"/>
    <mergeCell ref="AC31:AC36"/>
    <mergeCell ref="AD31:AD36"/>
    <mergeCell ref="AE31:AE36"/>
    <mergeCell ref="K31:K36"/>
    <mergeCell ref="L31:L36"/>
    <mergeCell ref="M31:M36"/>
    <mergeCell ref="D24:D29"/>
    <mergeCell ref="E24:E29"/>
    <mergeCell ref="F24:F29"/>
    <mergeCell ref="G24:G29"/>
    <mergeCell ref="H24:H29"/>
    <mergeCell ref="I24:I29"/>
    <mergeCell ref="AI24:AI29"/>
    <mergeCell ref="D45:D50"/>
    <mergeCell ref="E45:E50"/>
    <mergeCell ref="F45:F50"/>
    <mergeCell ref="G45:G50"/>
    <mergeCell ref="H45:H50"/>
    <mergeCell ref="I45:I50"/>
    <mergeCell ref="J45:J50"/>
    <mergeCell ref="K45:K50"/>
    <mergeCell ref="L45:L50"/>
    <mergeCell ref="AC38:AC43"/>
    <mergeCell ref="AD38:AD43"/>
    <mergeCell ref="AE38:AE43"/>
    <mergeCell ref="AF38:AF43"/>
    <mergeCell ref="AG38:AG43"/>
    <mergeCell ref="AH38:AH43"/>
    <mergeCell ref="J38:J43"/>
    <mergeCell ref="K38:K43"/>
    <mergeCell ref="L38:L43"/>
    <mergeCell ref="M38:M43"/>
    <mergeCell ref="AA38:AA43"/>
    <mergeCell ref="AB38:AB43"/>
    <mergeCell ref="AF45:AF50"/>
    <mergeCell ref="AG45:AG50"/>
    <mergeCell ref="D38:D43"/>
    <mergeCell ref="E38:E43"/>
    <mergeCell ref="F38:F43"/>
    <mergeCell ref="G38:G43"/>
    <mergeCell ref="H38:H43"/>
    <mergeCell ref="I38:I43"/>
    <mergeCell ref="L59:L64"/>
    <mergeCell ref="AH45:AH50"/>
    <mergeCell ref="AI45:AI50"/>
    <mergeCell ref="D52:D57"/>
    <mergeCell ref="E52:E57"/>
    <mergeCell ref="F52:F57"/>
    <mergeCell ref="G52:G57"/>
    <mergeCell ref="H52:H57"/>
    <mergeCell ref="I52:I57"/>
    <mergeCell ref="M45:M50"/>
    <mergeCell ref="AA45:AA50"/>
    <mergeCell ref="AB45:AB50"/>
    <mergeCell ref="AC45:AC50"/>
    <mergeCell ref="AD45:AD50"/>
    <mergeCell ref="AE45:AE50"/>
    <mergeCell ref="AI52:AI57"/>
    <mergeCell ref="AC52:AC57"/>
    <mergeCell ref="AD52:AD57"/>
    <mergeCell ref="AE52:AE57"/>
    <mergeCell ref="AF52:AF57"/>
    <mergeCell ref="AG52:AG57"/>
    <mergeCell ref="AH52:AH57"/>
    <mergeCell ref="J52:J57"/>
    <mergeCell ref="K52:K57"/>
    <mergeCell ref="L52:L57"/>
    <mergeCell ref="M52:M57"/>
    <mergeCell ref="AA52:AA57"/>
    <mergeCell ref="AB52:AB57"/>
    <mergeCell ref="AF59:AF64"/>
    <mergeCell ref="AG59:AG64"/>
    <mergeCell ref="AH59:AH64"/>
    <mergeCell ref="AI59:AI64"/>
    <mergeCell ref="D66:D71"/>
    <mergeCell ref="E66:E71"/>
    <mergeCell ref="F66:F71"/>
    <mergeCell ref="G66:G71"/>
    <mergeCell ref="H66:H71"/>
    <mergeCell ref="I66:I71"/>
    <mergeCell ref="M59:M64"/>
    <mergeCell ref="AA59:AA64"/>
    <mergeCell ref="AB59:AB64"/>
    <mergeCell ref="AC59:AC64"/>
    <mergeCell ref="AD59:AD64"/>
    <mergeCell ref="AE59:AE64"/>
    <mergeCell ref="AI66:AI71"/>
    <mergeCell ref="AC66:AC71"/>
    <mergeCell ref="AD66:AD71"/>
    <mergeCell ref="AE66:AE71"/>
    <mergeCell ref="AF66:AF71"/>
    <mergeCell ref="D59:D64"/>
    <mergeCell ref="E59:E64"/>
    <mergeCell ref="F59:F64"/>
    <mergeCell ref="G59:G64"/>
    <mergeCell ref="H59:H64"/>
    <mergeCell ref="I59:I64"/>
    <mergeCell ref="J59:J64"/>
    <mergeCell ref="K59:K64"/>
    <mergeCell ref="AG66:AG71"/>
    <mergeCell ref="AH66:AH71"/>
    <mergeCell ref="J66:J71"/>
    <mergeCell ref="K66:K71"/>
    <mergeCell ref="L66:L71"/>
    <mergeCell ref="M66:M71"/>
    <mergeCell ref="AA66:AA71"/>
    <mergeCell ref="AB66:AB71"/>
    <mergeCell ref="AF73:AF78"/>
    <mergeCell ref="AG73:AG78"/>
    <mergeCell ref="AH73:AH78"/>
    <mergeCell ref="D73:D78"/>
    <mergeCell ref="E73:E78"/>
    <mergeCell ref="F73:F78"/>
    <mergeCell ref="G73:G78"/>
    <mergeCell ref="H73:H78"/>
    <mergeCell ref="I73:I78"/>
    <mergeCell ref="J73:J78"/>
    <mergeCell ref="K73:K78"/>
    <mergeCell ref="L73:L78"/>
    <mergeCell ref="F87:F92"/>
    <mergeCell ref="L87:L92"/>
    <mergeCell ref="AI73:AI78"/>
    <mergeCell ref="D80:D85"/>
    <mergeCell ref="E80:E85"/>
    <mergeCell ref="F80:F85"/>
    <mergeCell ref="G80:G85"/>
    <mergeCell ref="H80:H85"/>
    <mergeCell ref="I80:I85"/>
    <mergeCell ref="M73:M78"/>
    <mergeCell ref="AA73:AA78"/>
    <mergeCell ref="AB73:AB78"/>
    <mergeCell ref="AC73:AC78"/>
    <mergeCell ref="AD73:AD78"/>
    <mergeCell ref="AE73:AE78"/>
    <mergeCell ref="AI80:AI85"/>
    <mergeCell ref="AC80:AC85"/>
    <mergeCell ref="AD80:AD85"/>
    <mergeCell ref="AE80:AE85"/>
    <mergeCell ref="AF80:AF85"/>
    <mergeCell ref="AG80:AG85"/>
    <mergeCell ref="AH80:AH85"/>
    <mergeCell ref="J80:J85"/>
    <mergeCell ref="K80:K85"/>
    <mergeCell ref="L80:L85"/>
    <mergeCell ref="M80:M85"/>
    <mergeCell ref="AH94:AH99"/>
    <mergeCell ref="J94:J99"/>
    <mergeCell ref="K94:K99"/>
    <mergeCell ref="L94:L99"/>
    <mergeCell ref="M94:M99"/>
    <mergeCell ref="AA94:AA99"/>
    <mergeCell ref="AB94:AB99"/>
    <mergeCell ref="AB108:AB113"/>
    <mergeCell ref="AF101:AF106"/>
    <mergeCell ref="AG101:AG106"/>
    <mergeCell ref="AH101:AH106"/>
    <mergeCell ref="J101:J106"/>
    <mergeCell ref="K101:K106"/>
    <mergeCell ref="L101:L106"/>
    <mergeCell ref="AG87:AG92"/>
    <mergeCell ref="AH87:AH92"/>
    <mergeCell ref="AI87:AI92"/>
    <mergeCell ref="M87:M92"/>
    <mergeCell ref="AA87:AA92"/>
    <mergeCell ref="AB87:AB92"/>
    <mergeCell ref="AC87:AC92"/>
    <mergeCell ref="AD87:AD92"/>
    <mergeCell ref="AE87:AE92"/>
    <mergeCell ref="AI94:AI99"/>
    <mergeCell ref="AC94:AC99"/>
    <mergeCell ref="AD94:AD99"/>
    <mergeCell ref="AE94:AE99"/>
    <mergeCell ref="AF94:AF99"/>
    <mergeCell ref="AG94:AG99"/>
    <mergeCell ref="AI101:AI106"/>
    <mergeCell ref="D108:D113"/>
    <mergeCell ref="E108:E113"/>
    <mergeCell ref="F108:F113"/>
    <mergeCell ref="G108:G113"/>
    <mergeCell ref="H108:H113"/>
    <mergeCell ref="I108:I113"/>
    <mergeCell ref="M101:M106"/>
    <mergeCell ref="AA101:AA106"/>
    <mergeCell ref="AB101:AB106"/>
    <mergeCell ref="AC101:AC106"/>
    <mergeCell ref="AD101:AD106"/>
    <mergeCell ref="AE101:AE106"/>
    <mergeCell ref="AI108:AI113"/>
    <mergeCell ref="AG108:AG113"/>
    <mergeCell ref="AH108:AH113"/>
    <mergeCell ref="D101:D106"/>
    <mergeCell ref="E101:E106"/>
    <mergeCell ref="F101:F106"/>
    <mergeCell ref="G101:G106"/>
    <mergeCell ref="H101:H106"/>
    <mergeCell ref="I101:I106"/>
    <mergeCell ref="F325:M325"/>
    <mergeCell ref="D7:M7"/>
    <mergeCell ref="N7:Z7"/>
    <mergeCell ref="AA7:AB7"/>
    <mergeCell ref="AC7:AC9"/>
    <mergeCell ref="AD7:AD9"/>
    <mergeCell ref="AE7:AF7"/>
    <mergeCell ref="AC108:AC113"/>
    <mergeCell ref="AD108:AD113"/>
    <mergeCell ref="AE108:AE113"/>
    <mergeCell ref="AF108:AF113"/>
    <mergeCell ref="J108:J113"/>
    <mergeCell ref="K108:K113"/>
    <mergeCell ref="L108:L113"/>
    <mergeCell ref="M108:M113"/>
    <mergeCell ref="AA108:AA113"/>
    <mergeCell ref="AA80:AA85"/>
    <mergeCell ref="AB80:AB85"/>
    <mergeCell ref="AF87:AF92"/>
    <mergeCell ref="G87:G92"/>
    <mergeCell ref="H87:H92"/>
    <mergeCell ref="I87:I92"/>
    <mergeCell ref="J87:J92"/>
    <mergeCell ref="K87:K92"/>
    <mergeCell ref="D94:D99"/>
    <mergeCell ref="E94:E99"/>
    <mergeCell ref="F94:F99"/>
    <mergeCell ref="G94:G99"/>
    <mergeCell ref="H94:H99"/>
    <mergeCell ref="I94:I99"/>
    <mergeCell ref="D87:D92"/>
    <mergeCell ref="E87:E92"/>
    <mergeCell ref="J471:J476"/>
    <mergeCell ref="K471:K476"/>
    <mergeCell ref="L471:L476"/>
    <mergeCell ref="AI457:AI462"/>
    <mergeCell ref="D464:D469"/>
    <mergeCell ref="E464:E469"/>
    <mergeCell ref="F464:F469"/>
    <mergeCell ref="G464:G469"/>
    <mergeCell ref="H464:H469"/>
    <mergeCell ref="I464:I469"/>
    <mergeCell ref="J464:J469"/>
    <mergeCell ref="K464:K469"/>
    <mergeCell ref="L464:L469"/>
    <mergeCell ref="M464:M469"/>
    <mergeCell ref="AA464:AA469"/>
    <mergeCell ref="AB464:AB469"/>
    <mergeCell ref="AC464:AC469"/>
    <mergeCell ref="AD464:AD469"/>
    <mergeCell ref="AE464:AE469"/>
    <mergeCell ref="AF464:AF469"/>
    <mergeCell ref="AG464:AG469"/>
    <mergeCell ref="AH464:AH469"/>
    <mergeCell ref="AI464:AI469"/>
    <mergeCell ref="D457:D462"/>
    <mergeCell ref="E457:E462"/>
    <mergeCell ref="F457:F462"/>
    <mergeCell ref="G457:G462"/>
    <mergeCell ref="H457:H462"/>
    <mergeCell ref="I457:I462"/>
    <mergeCell ref="AB471:AB476"/>
    <mergeCell ref="AC471:AC476"/>
    <mergeCell ref="AD471:AD476"/>
    <mergeCell ref="AE471:AE476"/>
    <mergeCell ref="AF471:AF476"/>
    <mergeCell ref="AG471:AG476"/>
    <mergeCell ref="AH471:AH476"/>
    <mergeCell ref="AI471:AI476"/>
    <mergeCell ref="D478:D483"/>
    <mergeCell ref="E478:E483"/>
    <mergeCell ref="F478:F483"/>
    <mergeCell ref="G478:G483"/>
    <mergeCell ref="H478:H483"/>
    <mergeCell ref="I478:I483"/>
    <mergeCell ref="J478:J483"/>
    <mergeCell ref="K478:K483"/>
    <mergeCell ref="L478:L483"/>
    <mergeCell ref="M478:M483"/>
    <mergeCell ref="AA478:AA483"/>
    <mergeCell ref="AB478:AB483"/>
    <mergeCell ref="AC478:AC483"/>
    <mergeCell ref="AD478:AD483"/>
    <mergeCell ref="AE478:AE483"/>
    <mergeCell ref="AF478:AF483"/>
    <mergeCell ref="D471:D476"/>
    <mergeCell ref="E471:E476"/>
    <mergeCell ref="F471:F476"/>
    <mergeCell ref="G471:G476"/>
    <mergeCell ref="H471:H476"/>
    <mergeCell ref="I471:I476"/>
    <mergeCell ref="D492:D497"/>
    <mergeCell ref="E492:E497"/>
    <mergeCell ref="F492:F497"/>
    <mergeCell ref="G492:G497"/>
    <mergeCell ref="H492:H497"/>
    <mergeCell ref="I492:I497"/>
    <mergeCell ref="J492:J497"/>
    <mergeCell ref="K492:K497"/>
    <mergeCell ref="L492:L497"/>
    <mergeCell ref="AG478:AG483"/>
    <mergeCell ref="AH478:AH483"/>
    <mergeCell ref="AI478:AI483"/>
    <mergeCell ref="D485:D490"/>
    <mergeCell ref="E485:E490"/>
    <mergeCell ref="F485:F490"/>
    <mergeCell ref="G485:G490"/>
    <mergeCell ref="H485:H490"/>
    <mergeCell ref="I485:I490"/>
    <mergeCell ref="J485:J490"/>
    <mergeCell ref="K485:K490"/>
    <mergeCell ref="L485:L490"/>
    <mergeCell ref="M485:M490"/>
    <mergeCell ref="AA485:AA490"/>
    <mergeCell ref="AB485:AB490"/>
    <mergeCell ref="AC485:AC490"/>
    <mergeCell ref="AD485:AD490"/>
    <mergeCell ref="AE485:AE490"/>
    <mergeCell ref="AF485:AF490"/>
    <mergeCell ref="AG485:AG490"/>
    <mergeCell ref="AI485:AI490"/>
    <mergeCell ref="AH485:AH490"/>
    <mergeCell ref="AG492:AG497"/>
    <mergeCell ref="G506:G511"/>
    <mergeCell ref="H506:H511"/>
    <mergeCell ref="I506:I511"/>
    <mergeCell ref="J506:J511"/>
    <mergeCell ref="K506:K511"/>
    <mergeCell ref="L506:L511"/>
    <mergeCell ref="AI492:AI497"/>
    <mergeCell ref="D499:D504"/>
    <mergeCell ref="E499:E504"/>
    <mergeCell ref="F499:F504"/>
    <mergeCell ref="G499:G504"/>
    <mergeCell ref="H499:H504"/>
    <mergeCell ref="I499:I504"/>
    <mergeCell ref="J499:J504"/>
    <mergeCell ref="K499:K504"/>
    <mergeCell ref="L499:L504"/>
    <mergeCell ref="M499:M504"/>
    <mergeCell ref="AA499:AA504"/>
    <mergeCell ref="AB499:AB504"/>
    <mergeCell ref="AC499:AC504"/>
    <mergeCell ref="AD499:AD504"/>
    <mergeCell ref="AE499:AE504"/>
    <mergeCell ref="AF499:AF504"/>
    <mergeCell ref="AG499:AG504"/>
    <mergeCell ref="AH499:AH504"/>
    <mergeCell ref="AI499:AI504"/>
    <mergeCell ref="M492:M497"/>
    <mergeCell ref="AA492:AA497"/>
    <mergeCell ref="AB492:AB497"/>
    <mergeCell ref="AC492:AC497"/>
    <mergeCell ref="AD492:AD497"/>
    <mergeCell ref="AE492:AE497"/>
    <mergeCell ref="AI506:AI511"/>
    <mergeCell ref="D513:D518"/>
    <mergeCell ref="E513:E518"/>
    <mergeCell ref="F513:F518"/>
    <mergeCell ref="G513:G518"/>
    <mergeCell ref="H513:H518"/>
    <mergeCell ref="I513:I518"/>
    <mergeCell ref="J513:J518"/>
    <mergeCell ref="K513:K518"/>
    <mergeCell ref="L513:L518"/>
    <mergeCell ref="M513:M518"/>
    <mergeCell ref="AA513:AA518"/>
    <mergeCell ref="AB513:AB518"/>
    <mergeCell ref="AC513:AC518"/>
    <mergeCell ref="AD513:AD518"/>
    <mergeCell ref="AE513:AE518"/>
    <mergeCell ref="AF513:AF518"/>
    <mergeCell ref="AG513:AG518"/>
    <mergeCell ref="AH513:AH518"/>
    <mergeCell ref="AI513:AI518"/>
    <mergeCell ref="M506:M511"/>
    <mergeCell ref="AA506:AA511"/>
    <mergeCell ref="AB506:AB511"/>
    <mergeCell ref="AC506:AC511"/>
    <mergeCell ref="AD506:AD511"/>
    <mergeCell ref="AE506:AE511"/>
    <mergeCell ref="AF506:AF511"/>
    <mergeCell ref="AG506:AG511"/>
    <mergeCell ref="AH506:AH511"/>
    <mergeCell ref="D506:D511"/>
    <mergeCell ref="E506:E511"/>
    <mergeCell ref="F506:F511"/>
    <mergeCell ref="M520:M525"/>
    <mergeCell ref="AA520:AA525"/>
    <mergeCell ref="AB520:AB525"/>
    <mergeCell ref="AC520:AC525"/>
    <mergeCell ref="AD520:AD525"/>
    <mergeCell ref="AE520:AE525"/>
    <mergeCell ref="AF520:AF525"/>
    <mergeCell ref="AG520:AG525"/>
    <mergeCell ref="AH520:AH525"/>
    <mergeCell ref="D520:D525"/>
    <mergeCell ref="E520:E525"/>
    <mergeCell ref="F520:F525"/>
    <mergeCell ref="G520:G525"/>
    <mergeCell ref="H520:H525"/>
    <mergeCell ref="I520:I525"/>
    <mergeCell ref="J520:J525"/>
    <mergeCell ref="K520:K525"/>
    <mergeCell ref="L520:L525"/>
    <mergeCell ref="AF534:AF539"/>
    <mergeCell ref="AG534:AG539"/>
    <mergeCell ref="AH534:AH539"/>
    <mergeCell ref="D534:D539"/>
    <mergeCell ref="E534:E539"/>
    <mergeCell ref="F534:F539"/>
    <mergeCell ref="G534:G539"/>
    <mergeCell ref="H534:H539"/>
    <mergeCell ref="I534:I539"/>
    <mergeCell ref="J534:J539"/>
    <mergeCell ref="K534:K539"/>
    <mergeCell ref="L534:L539"/>
    <mergeCell ref="AI520:AI525"/>
    <mergeCell ref="D527:D532"/>
    <mergeCell ref="E527:E532"/>
    <mergeCell ref="F527:F532"/>
    <mergeCell ref="G527:G532"/>
    <mergeCell ref="H527:H532"/>
    <mergeCell ref="I527:I532"/>
    <mergeCell ref="J527:J532"/>
    <mergeCell ref="K527:K532"/>
    <mergeCell ref="L527:L532"/>
    <mergeCell ref="M527:M532"/>
    <mergeCell ref="AA527:AA532"/>
    <mergeCell ref="AB527:AB532"/>
    <mergeCell ref="AC527:AC532"/>
    <mergeCell ref="AD527:AD532"/>
    <mergeCell ref="AE527:AE532"/>
    <mergeCell ref="AF527:AF532"/>
    <mergeCell ref="AG527:AG532"/>
    <mergeCell ref="AH527:AH532"/>
    <mergeCell ref="AI527:AI532"/>
    <mergeCell ref="G548:G553"/>
    <mergeCell ref="H548:H553"/>
    <mergeCell ref="I548:I553"/>
    <mergeCell ref="J548:J553"/>
    <mergeCell ref="K548:K553"/>
    <mergeCell ref="L548:L553"/>
    <mergeCell ref="AI534:AI539"/>
    <mergeCell ref="D541:D546"/>
    <mergeCell ref="E541:E546"/>
    <mergeCell ref="F541:F546"/>
    <mergeCell ref="G541:G546"/>
    <mergeCell ref="H541:H546"/>
    <mergeCell ref="I541:I546"/>
    <mergeCell ref="J541:J546"/>
    <mergeCell ref="K541:K546"/>
    <mergeCell ref="L541:L546"/>
    <mergeCell ref="M541:M546"/>
    <mergeCell ref="AA541:AA546"/>
    <mergeCell ref="AB541:AB546"/>
    <mergeCell ref="AC541:AC546"/>
    <mergeCell ref="AD541:AD546"/>
    <mergeCell ref="AE541:AE546"/>
    <mergeCell ref="AF541:AF546"/>
    <mergeCell ref="AG541:AG546"/>
    <mergeCell ref="AH541:AH546"/>
    <mergeCell ref="AI541:AI546"/>
    <mergeCell ref="M534:M539"/>
    <mergeCell ref="AA534:AA539"/>
    <mergeCell ref="AB534:AB539"/>
    <mergeCell ref="AC534:AC539"/>
    <mergeCell ref="AD534:AD539"/>
    <mergeCell ref="AE534:AE539"/>
    <mergeCell ref="AI548:AI553"/>
    <mergeCell ref="D555:D560"/>
    <mergeCell ref="E555:E560"/>
    <mergeCell ref="F555:F560"/>
    <mergeCell ref="G555:G560"/>
    <mergeCell ref="H555:H560"/>
    <mergeCell ref="I555:I560"/>
    <mergeCell ref="J555:J560"/>
    <mergeCell ref="K555:K560"/>
    <mergeCell ref="L555:L560"/>
    <mergeCell ref="M555:M560"/>
    <mergeCell ref="AA555:AA560"/>
    <mergeCell ref="AB555:AB560"/>
    <mergeCell ref="AC555:AC560"/>
    <mergeCell ref="AD555:AD560"/>
    <mergeCell ref="AE555:AE560"/>
    <mergeCell ref="AF555:AF560"/>
    <mergeCell ref="AG555:AG560"/>
    <mergeCell ref="AH555:AH560"/>
    <mergeCell ref="AI555:AI560"/>
    <mergeCell ref="M548:M553"/>
    <mergeCell ref="AA548:AA553"/>
    <mergeCell ref="AB548:AB553"/>
    <mergeCell ref="AC548:AC553"/>
    <mergeCell ref="AD548:AD553"/>
    <mergeCell ref="AE548:AE553"/>
    <mergeCell ref="AF548:AF553"/>
    <mergeCell ref="AG548:AG553"/>
    <mergeCell ref="AH548:AH553"/>
    <mergeCell ref="D548:D553"/>
    <mergeCell ref="E548:E553"/>
    <mergeCell ref="F548:F553"/>
    <mergeCell ref="M562:M567"/>
    <mergeCell ref="AA562:AA567"/>
    <mergeCell ref="AB562:AB567"/>
    <mergeCell ref="AC562:AC567"/>
    <mergeCell ref="AD562:AD567"/>
    <mergeCell ref="AE562:AE567"/>
    <mergeCell ref="AF562:AF567"/>
    <mergeCell ref="AG562:AG567"/>
    <mergeCell ref="AH562:AH567"/>
    <mergeCell ref="D562:D567"/>
    <mergeCell ref="E562:E567"/>
    <mergeCell ref="F562:F567"/>
    <mergeCell ref="G562:G567"/>
    <mergeCell ref="H562:H567"/>
    <mergeCell ref="I562:I567"/>
    <mergeCell ref="J562:J567"/>
    <mergeCell ref="K562:K567"/>
    <mergeCell ref="L562:L567"/>
    <mergeCell ref="AF576:AF581"/>
    <mergeCell ref="AG576:AG581"/>
    <mergeCell ref="AH576:AH581"/>
    <mergeCell ref="D576:D581"/>
    <mergeCell ref="E576:E581"/>
    <mergeCell ref="F576:F581"/>
    <mergeCell ref="G576:G581"/>
    <mergeCell ref="H576:H581"/>
    <mergeCell ref="I576:I581"/>
    <mergeCell ref="J576:J581"/>
    <mergeCell ref="K576:K581"/>
    <mergeCell ref="L576:L581"/>
    <mergeCell ref="AI562:AI567"/>
    <mergeCell ref="D569:D574"/>
    <mergeCell ref="E569:E574"/>
    <mergeCell ref="F569:F574"/>
    <mergeCell ref="G569:G574"/>
    <mergeCell ref="H569:H574"/>
    <mergeCell ref="I569:I574"/>
    <mergeCell ref="J569:J574"/>
    <mergeCell ref="K569:K574"/>
    <mergeCell ref="L569:L574"/>
    <mergeCell ref="M569:M574"/>
    <mergeCell ref="AA569:AA574"/>
    <mergeCell ref="AB569:AB574"/>
    <mergeCell ref="AC569:AC574"/>
    <mergeCell ref="AD569:AD574"/>
    <mergeCell ref="AE569:AE574"/>
    <mergeCell ref="AF569:AF574"/>
    <mergeCell ref="AG569:AG574"/>
    <mergeCell ref="AH569:AH574"/>
    <mergeCell ref="AI569:AI574"/>
    <mergeCell ref="G590:G595"/>
    <mergeCell ref="H590:H595"/>
    <mergeCell ref="I590:I595"/>
    <mergeCell ref="J590:J595"/>
    <mergeCell ref="K590:K595"/>
    <mergeCell ref="L590:L595"/>
    <mergeCell ref="AI576:AI581"/>
    <mergeCell ref="D583:D588"/>
    <mergeCell ref="E583:E588"/>
    <mergeCell ref="F583:F588"/>
    <mergeCell ref="G583:G588"/>
    <mergeCell ref="H583:H588"/>
    <mergeCell ref="I583:I588"/>
    <mergeCell ref="J583:J588"/>
    <mergeCell ref="K583:K588"/>
    <mergeCell ref="L583:L588"/>
    <mergeCell ref="M583:M588"/>
    <mergeCell ref="AA583:AA588"/>
    <mergeCell ref="AB583:AB588"/>
    <mergeCell ref="AC583:AC588"/>
    <mergeCell ref="AD583:AD588"/>
    <mergeCell ref="AE583:AE588"/>
    <mergeCell ref="AF583:AF588"/>
    <mergeCell ref="AG583:AG588"/>
    <mergeCell ref="AH583:AH588"/>
    <mergeCell ref="AI583:AI588"/>
    <mergeCell ref="M576:M581"/>
    <mergeCell ref="AA576:AA581"/>
    <mergeCell ref="AB576:AB581"/>
    <mergeCell ref="AC576:AC581"/>
    <mergeCell ref="AD576:AD581"/>
    <mergeCell ref="AE576:AE581"/>
    <mergeCell ref="AI590:AI595"/>
    <mergeCell ref="D597:D602"/>
    <mergeCell ref="E597:E602"/>
    <mergeCell ref="F597:F602"/>
    <mergeCell ref="G597:G602"/>
    <mergeCell ref="H597:H602"/>
    <mergeCell ref="I597:I602"/>
    <mergeCell ref="J597:J602"/>
    <mergeCell ref="K597:K602"/>
    <mergeCell ref="L597:L602"/>
    <mergeCell ref="M597:M602"/>
    <mergeCell ref="AA597:AA602"/>
    <mergeCell ref="AB597:AB602"/>
    <mergeCell ref="AC597:AC602"/>
    <mergeCell ref="AD597:AD602"/>
    <mergeCell ref="AE597:AE602"/>
    <mergeCell ref="AF597:AF602"/>
    <mergeCell ref="AG597:AG602"/>
    <mergeCell ref="AH597:AH602"/>
    <mergeCell ref="AI597:AI602"/>
    <mergeCell ref="M590:M595"/>
    <mergeCell ref="AA590:AA595"/>
    <mergeCell ref="AB590:AB595"/>
    <mergeCell ref="AC590:AC595"/>
    <mergeCell ref="AD590:AD595"/>
    <mergeCell ref="AE590:AE595"/>
    <mergeCell ref="AF590:AF595"/>
    <mergeCell ref="AG590:AG595"/>
    <mergeCell ref="AH590:AH595"/>
    <mergeCell ref="D590:D595"/>
    <mergeCell ref="E590:E595"/>
    <mergeCell ref="F590:F595"/>
    <mergeCell ref="M604:M609"/>
    <mergeCell ref="AA604:AA609"/>
    <mergeCell ref="AB604:AB609"/>
    <mergeCell ref="AC604:AC609"/>
    <mergeCell ref="AD604:AD609"/>
    <mergeCell ref="AE604:AE609"/>
    <mergeCell ref="AF604:AF609"/>
    <mergeCell ref="AG604:AG609"/>
    <mergeCell ref="AH604:AH609"/>
    <mergeCell ref="D604:D609"/>
    <mergeCell ref="E604:E609"/>
    <mergeCell ref="F604:F609"/>
    <mergeCell ref="G604:G609"/>
    <mergeCell ref="H604:H609"/>
    <mergeCell ref="I604:I609"/>
    <mergeCell ref="J604:J609"/>
    <mergeCell ref="K604:K609"/>
    <mergeCell ref="L604:L609"/>
    <mergeCell ref="AF618:AF623"/>
    <mergeCell ref="AG618:AG623"/>
    <mergeCell ref="AH618:AH623"/>
    <mergeCell ref="D618:D623"/>
    <mergeCell ref="E618:E623"/>
    <mergeCell ref="F618:F623"/>
    <mergeCell ref="G618:G623"/>
    <mergeCell ref="H618:H623"/>
    <mergeCell ref="I618:I623"/>
    <mergeCell ref="J618:J623"/>
    <mergeCell ref="K618:K623"/>
    <mergeCell ref="L618:L623"/>
    <mergeCell ref="AI604:AI609"/>
    <mergeCell ref="D611:D616"/>
    <mergeCell ref="E611:E616"/>
    <mergeCell ref="F611:F616"/>
    <mergeCell ref="G611:G616"/>
    <mergeCell ref="H611:H616"/>
    <mergeCell ref="I611:I616"/>
    <mergeCell ref="J611:J616"/>
    <mergeCell ref="K611:K616"/>
    <mergeCell ref="L611:L616"/>
    <mergeCell ref="M611:M616"/>
    <mergeCell ref="AA611:AA616"/>
    <mergeCell ref="AB611:AB616"/>
    <mergeCell ref="AC611:AC616"/>
    <mergeCell ref="AD611:AD616"/>
    <mergeCell ref="AE611:AE616"/>
    <mergeCell ref="AF611:AF616"/>
    <mergeCell ref="AG611:AG616"/>
    <mergeCell ref="AH611:AH616"/>
    <mergeCell ref="AI611:AI616"/>
    <mergeCell ref="G632:G637"/>
    <mergeCell ref="H632:H637"/>
    <mergeCell ref="I632:I637"/>
    <mergeCell ref="J632:J637"/>
    <mergeCell ref="K632:K637"/>
    <mergeCell ref="L632:L637"/>
    <mergeCell ref="AI618:AI623"/>
    <mergeCell ref="D625:D630"/>
    <mergeCell ref="E625:E630"/>
    <mergeCell ref="F625:F630"/>
    <mergeCell ref="G625:G630"/>
    <mergeCell ref="H625:H630"/>
    <mergeCell ref="I625:I630"/>
    <mergeCell ref="J625:J630"/>
    <mergeCell ref="K625:K630"/>
    <mergeCell ref="L625:L630"/>
    <mergeCell ref="M625:M630"/>
    <mergeCell ref="AA625:AA630"/>
    <mergeCell ref="AB625:AB630"/>
    <mergeCell ref="AC625:AC630"/>
    <mergeCell ref="AD625:AD630"/>
    <mergeCell ref="AE625:AE630"/>
    <mergeCell ref="AF625:AF630"/>
    <mergeCell ref="AG625:AG630"/>
    <mergeCell ref="AH625:AH630"/>
    <mergeCell ref="AI625:AI630"/>
    <mergeCell ref="M618:M623"/>
    <mergeCell ref="AA618:AA623"/>
    <mergeCell ref="AB618:AB623"/>
    <mergeCell ref="AC618:AC623"/>
    <mergeCell ref="AD618:AD623"/>
    <mergeCell ref="AE618:AE623"/>
    <mergeCell ref="AI632:AI637"/>
    <mergeCell ref="D639:D644"/>
    <mergeCell ref="E639:E644"/>
    <mergeCell ref="F639:F644"/>
    <mergeCell ref="G639:G644"/>
    <mergeCell ref="H639:H644"/>
    <mergeCell ref="I639:I644"/>
    <mergeCell ref="J639:J644"/>
    <mergeCell ref="K639:K644"/>
    <mergeCell ref="L639:L644"/>
    <mergeCell ref="M639:M644"/>
    <mergeCell ref="AA639:AA644"/>
    <mergeCell ref="AB639:AB644"/>
    <mergeCell ref="AC639:AC644"/>
    <mergeCell ref="AD639:AD644"/>
    <mergeCell ref="AE639:AE644"/>
    <mergeCell ref="AF639:AF644"/>
    <mergeCell ref="AG639:AG644"/>
    <mergeCell ref="AH639:AH644"/>
    <mergeCell ref="AI639:AI644"/>
    <mergeCell ref="M632:M637"/>
    <mergeCell ref="AA632:AA637"/>
    <mergeCell ref="AB632:AB637"/>
    <mergeCell ref="AC632:AC637"/>
    <mergeCell ref="AD632:AD637"/>
    <mergeCell ref="AE632:AE637"/>
    <mergeCell ref="AF632:AF637"/>
    <mergeCell ref="AG632:AG637"/>
    <mergeCell ref="AH632:AH637"/>
    <mergeCell ref="D632:D637"/>
    <mergeCell ref="E632:E637"/>
    <mergeCell ref="F632:F637"/>
    <mergeCell ref="AA646:AA651"/>
    <mergeCell ref="AB646:AB651"/>
    <mergeCell ref="AC646:AC651"/>
    <mergeCell ref="AD646:AD651"/>
    <mergeCell ref="AE646:AE651"/>
    <mergeCell ref="AF646:AF651"/>
    <mergeCell ref="AG646:AG651"/>
    <mergeCell ref="AH646:AH651"/>
    <mergeCell ref="D646:D651"/>
    <mergeCell ref="E646:E651"/>
    <mergeCell ref="F646:F651"/>
    <mergeCell ref="G646:G651"/>
    <mergeCell ref="H646:H651"/>
    <mergeCell ref="I646:I651"/>
    <mergeCell ref="J646:J651"/>
    <mergeCell ref="K646:K651"/>
    <mergeCell ref="L646:L651"/>
    <mergeCell ref="AG660:AG665"/>
    <mergeCell ref="AH660:AH665"/>
    <mergeCell ref="D660:D665"/>
    <mergeCell ref="E660:E665"/>
    <mergeCell ref="F660:F665"/>
    <mergeCell ref="G660:G665"/>
    <mergeCell ref="H660:H665"/>
    <mergeCell ref="I660:I665"/>
    <mergeCell ref="J660:J665"/>
    <mergeCell ref="K660:K665"/>
    <mergeCell ref="L660:L665"/>
    <mergeCell ref="AI646:AI651"/>
    <mergeCell ref="D653:D658"/>
    <mergeCell ref="E653:E658"/>
    <mergeCell ref="F653:F658"/>
    <mergeCell ref="G653:G658"/>
    <mergeCell ref="H653:H658"/>
    <mergeCell ref="I653:I658"/>
    <mergeCell ref="J653:J658"/>
    <mergeCell ref="K653:K658"/>
    <mergeCell ref="L653:L658"/>
    <mergeCell ref="M653:M658"/>
    <mergeCell ref="AA653:AA658"/>
    <mergeCell ref="AB653:AB658"/>
    <mergeCell ref="AC653:AC658"/>
    <mergeCell ref="AD653:AD658"/>
    <mergeCell ref="AE653:AE658"/>
    <mergeCell ref="AF653:AF658"/>
    <mergeCell ref="AG653:AG658"/>
    <mergeCell ref="AH653:AH658"/>
    <mergeCell ref="AI653:AI658"/>
    <mergeCell ref="M646:M651"/>
    <mergeCell ref="AC122:AC127"/>
    <mergeCell ref="AI660:AI665"/>
    <mergeCell ref="D115:D120"/>
    <mergeCell ref="E115:E120"/>
    <mergeCell ref="F115:F120"/>
    <mergeCell ref="G115:G120"/>
    <mergeCell ref="H115:H120"/>
    <mergeCell ref="I115:I120"/>
    <mergeCell ref="J115:J120"/>
    <mergeCell ref="K115:K120"/>
    <mergeCell ref="L115:L120"/>
    <mergeCell ref="M115:M120"/>
    <mergeCell ref="AA115:AA120"/>
    <mergeCell ref="AB115:AB120"/>
    <mergeCell ref="AC115:AC120"/>
    <mergeCell ref="AD115:AD120"/>
    <mergeCell ref="AE115:AE120"/>
    <mergeCell ref="AF115:AF120"/>
    <mergeCell ref="AG115:AG120"/>
    <mergeCell ref="AH115:AH120"/>
    <mergeCell ref="AI115:AI120"/>
    <mergeCell ref="D122:D127"/>
    <mergeCell ref="E122:E127"/>
    <mergeCell ref="F122:F127"/>
    <mergeCell ref="G122:G127"/>
    <mergeCell ref="M660:M665"/>
    <mergeCell ref="AA660:AA665"/>
    <mergeCell ref="AB660:AB665"/>
    <mergeCell ref="AC660:AC665"/>
    <mergeCell ref="AD660:AD665"/>
    <mergeCell ref="AE660:AE665"/>
    <mergeCell ref="AF660:AF665"/>
    <mergeCell ref="AD122:AD127"/>
    <mergeCell ref="AE122:AE127"/>
    <mergeCell ref="AF122:AF127"/>
    <mergeCell ref="AG122:AG127"/>
    <mergeCell ref="AH122:AH127"/>
    <mergeCell ref="AI122:AI127"/>
    <mergeCell ref="D129:D134"/>
    <mergeCell ref="E129:E134"/>
    <mergeCell ref="F129:F134"/>
    <mergeCell ref="G129:G134"/>
    <mergeCell ref="H129:H134"/>
    <mergeCell ref="I129:I134"/>
    <mergeCell ref="J129:J134"/>
    <mergeCell ref="K129:K134"/>
    <mergeCell ref="L129:L134"/>
    <mergeCell ref="M129:M134"/>
    <mergeCell ref="AA129:AA134"/>
    <mergeCell ref="AB129:AB134"/>
    <mergeCell ref="AC129:AC134"/>
    <mergeCell ref="AD129:AD134"/>
    <mergeCell ref="AE129:AE134"/>
    <mergeCell ref="AF129:AF134"/>
    <mergeCell ref="AG129:AG134"/>
    <mergeCell ref="AH129:AH134"/>
    <mergeCell ref="H122:H127"/>
    <mergeCell ref="I122:I127"/>
    <mergeCell ref="J122:J127"/>
    <mergeCell ref="K122:K127"/>
    <mergeCell ref="L122:L127"/>
    <mergeCell ref="M122:M127"/>
    <mergeCell ref="AA122:AA127"/>
    <mergeCell ref="AB122:AB127"/>
    <mergeCell ref="G143:G148"/>
    <mergeCell ref="H143:H148"/>
    <mergeCell ref="I143:I148"/>
    <mergeCell ref="J143:J148"/>
    <mergeCell ref="K143:K148"/>
    <mergeCell ref="L143:L148"/>
    <mergeCell ref="AI129:AI134"/>
    <mergeCell ref="D136:D141"/>
    <mergeCell ref="E136:E141"/>
    <mergeCell ref="F136:F141"/>
    <mergeCell ref="G136:G141"/>
    <mergeCell ref="H136:H141"/>
    <mergeCell ref="I136:I141"/>
    <mergeCell ref="J136:J141"/>
    <mergeCell ref="K136:K141"/>
    <mergeCell ref="L136:L141"/>
    <mergeCell ref="M136:M141"/>
    <mergeCell ref="AA136:AA141"/>
    <mergeCell ref="AB136:AB141"/>
    <mergeCell ref="AC136:AC141"/>
    <mergeCell ref="AD136:AD141"/>
    <mergeCell ref="AE136:AE141"/>
    <mergeCell ref="AF136:AF141"/>
    <mergeCell ref="AG136:AG141"/>
    <mergeCell ref="AH136:AH141"/>
    <mergeCell ref="AI136:AI141"/>
    <mergeCell ref="AI143:AI148"/>
    <mergeCell ref="D150:D155"/>
    <mergeCell ref="E150:E155"/>
    <mergeCell ref="F150:F155"/>
    <mergeCell ref="G150:G155"/>
    <mergeCell ref="H150:H155"/>
    <mergeCell ref="I150:I155"/>
    <mergeCell ref="J150:J155"/>
    <mergeCell ref="K150:K155"/>
    <mergeCell ref="L150:L155"/>
    <mergeCell ref="M150:M155"/>
    <mergeCell ref="AA150:AA155"/>
    <mergeCell ref="AB150:AB155"/>
    <mergeCell ref="AC150:AC155"/>
    <mergeCell ref="AD150:AD155"/>
    <mergeCell ref="AE150:AE155"/>
    <mergeCell ref="AF150:AF155"/>
    <mergeCell ref="AG150:AG155"/>
    <mergeCell ref="AH150:AH155"/>
    <mergeCell ref="AI150:AI155"/>
    <mergeCell ref="M143:M148"/>
    <mergeCell ref="AA143:AA148"/>
    <mergeCell ref="AB143:AB148"/>
    <mergeCell ref="AC143:AC148"/>
    <mergeCell ref="AD143:AD148"/>
    <mergeCell ref="AE143:AE148"/>
    <mergeCell ref="AF143:AF148"/>
    <mergeCell ref="AG143:AG148"/>
    <mergeCell ref="AH143:AH148"/>
    <mergeCell ref="D143:D148"/>
    <mergeCell ref="E143:E148"/>
    <mergeCell ref="F143:F148"/>
    <mergeCell ref="M157:M162"/>
    <mergeCell ref="AA157:AA162"/>
    <mergeCell ref="AB157:AB162"/>
    <mergeCell ref="AC157:AC162"/>
    <mergeCell ref="AD157:AD162"/>
    <mergeCell ref="AE157:AE162"/>
    <mergeCell ref="AF157:AF162"/>
    <mergeCell ref="AG157:AG162"/>
    <mergeCell ref="AH157:AH162"/>
    <mergeCell ref="D157:D162"/>
    <mergeCell ref="E157:E162"/>
    <mergeCell ref="F157:F162"/>
    <mergeCell ref="G157:G162"/>
    <mergeCell ref="H157:H162"/>
    <mergeCell ref="I157:I162"/>
    <mergeCell ref="J157:J162"/>
    <mergeCell ref="K157:K162"/>
    <mergeCell ref="L157:L162"/>
    <mergeCell ref="AF171:AF176"/>
    <mergeCell ref="AG171:AG176"/>
    <mergeCell ref="AH171:AH176"/>
    <mergeCell ref="D171:D176"/>
    <mergeCell ref="E171:E176"/>
    <mergeCell ref="F171:F176"/>
    <mergeCell ref="G171:G176"/>
    <mergeCell ref="H171:H176"/>
    <mergeCell ref="I171:I176"/>
    <mergeCell ref="J171:J176"/>
    <mergeCell ref="K171:K176"/>
    <mergeCell ref="L171:L176"/>
    <mergeCell ref="AI157:AI162"/>
    <mergeCell ref="D164:D169"/>
    <mergeCell ref="E164:E169"/>
    <mergeCell ref="F164:F169"/>
    <mergeCell ref="G164:G169"/>
    <mergeCell ref="H164:H169"/>
    <mergeCell ref="I164:I169"/>
    <mergeCell ref="J164:J169"/>
    <mergeCell ref="K164:K169"/>
    <mergeCell ref="L164:L169"/>
    <mergeCell ref="M164:M169"/>
    <mergeCell ref="AA164:AA169"/>
    <mergeCell ref="AB164:AB169"/>
    <mergeCell ref="AC164:AC169"/>
    <mergeCell ref="AD164:AD169"/>
    <mergeCell ref="AE164:AE169"/>
    <mergeCell ref="AF164:AF169"/>
    <mergeCell ref="AG164:AG169"/>
    <mergeCell ref="AH164:AH169"/>
    <mergeCell ref="AI164:AI169"/>
    <mergeCell ref="G185:G190"/>
    <mergeCell ref="H185:H190"/>
    <mergeCell ref="I185:I190"/>
    <mergeCell ref="J185:J190"/>
    <mergeCell ref="K185:K190"/>
    <mergeCell ref="L185:L190"/>
    <mergeCell ref="AI171:AI176"/>
    <mergeCell ref="D178:D183"/>
    <mergeCell ref="E178:E183"/>
    <mergeCell ref="F178:F183"/>
    <mergeCell ref="G178:G183"/>
    <mergeCell ref="H178:H183"/>
    <mergeCell ref="I178:I183"/>
    <mergeCell ref="J178:J183"/>
    <mergeCell ref="K178:K183"/>
    <mergeCell ref="L178:L183"/>
    <mergeCell ref="M178:M183"/>
    <mergeCell ref="AA178:AA183"/>
    <mergeCell ref="AB178:AB183"/>
    <mergeCell ref="AC178:AC183"/>
    <mergeCell ref="AD178:AD183"/>
    <mergeCell ref="AE178:AE183"/>
    <mergeCell ref="AF178:AF183"/>
    <mergeCell ref="AG178:AG183"/>
    <mergeCell ref="AH178:AH183"/>
    <mergeCell ref="AI178:AI183"/>
    <mergeCell ref="M171:M176"/>
    <mergeCell ref="AA171:AA176"/>
    <mergeCell ref="AB171:AB176"/>
    <mergeCell ref="AC171:AC176"/>
    <mergeCell ref="AD171:AD176"/>
    <mergeCell ref="AE171:AE176"/>
    <mergeCell ref="AI185:AI190"/>
    <mergeCell ref="D192:D197"/>
    <mergeCell ref="E192:E197"/>
    <mergeCell ref="F192:F197"/>
    <mergeCell ref="G192:G197"/>
    <mergeCell ref="H192:H197"/>
    <mergeCell ref="I192:I197"/>
    <mergeCell ref="J192:J197"/>
    <mergeCell ref="K192:K197"/>
    <mergeCell ref="L192:L197"/>
    <mergeCell ref="M192:M197"/>
    <mergeCell ref="AA192:AA197"/>
    <mergeCell ref="AB192:AB197"/>
    <mergeCell ref="AC192:AC197"/>
    <mergeCell ref="AD192:AD197"/>
    <mergeCell ref="AE192:AE197"/>
    <mergeCell ref="AF192:AF197"/>
    <mergeCell ref="AG192:AG197"/>
    <mergeCell ref="AH192:AH197"/>
    <mergeCell ref="AI192:AI197"/>
    <mergeCell ref="M185:M190"/>
    <mergeCell ref="AA185:AA190"/>
    <mergeCell ref="AB185:AB190"/>
    <mergeCell ref="AC185:AC190"/>
    <mergeCell ref="AD185:AD190"/>
    <mergeCell ref="AE185:AE190"/>
    <mergeCell ref="AF185:AF190"/>
    <mergeCell ref="AG185:AG190"/>
    <mergeCell ref="AH185:AH190"/>
    <mergeCell ref="D185:D190"/>
    <mergeCell ref="E185:E190"/>
    <mergeCell ref="F185:F190"/>
    <mergeCell ref="M199:M204"/>
    <mergeCell ref="AA199:AA204"/>
    <mergeCell ref="AB199:AB204"/>
    <mergeCell ref="AC199:AC204"/>
    <mergeCell ref="AD199:AD204"/>
    <mergeCell ref="AE199:AE204"/>
    <mergeCell ref="AF199:AF204"/>
    <mergeCell ref="AG199:AG204"/>
    <mergeCell ref="AH199:AH204"/>
    <mergeCell ref="D199:D204"/>
    <mergeCell ref="E199:E204"/>
    <mergeCell ref="F199:F204"/>
    <mergeCell ref="G199:G204"/>
    <mergeCell ref="H199:H204"/>
    <mergeCell ref="I199:I204"/>
    <mergeCell ref="J199:J204"/>
    <mergeCell ref="K199:K204"/>
    <mergeCell ref="L199:L204"/>
    <mergeCell ref="AF213:AF218"/>
    <mergeCell ref="AG213:AG218"/>
    <mergeCell ref="AH213:AH218"/>
    <mergeCell ref="D213:D218"/>
    <mergeCell ref="E213:E218"/>
    <mergeCell ref="F213:F218"/>
    <mergeCell ref="G213:G218"/>
    <mergeCell ref="H213:H218"/>
    <mergeCell ref="I213:I218"/>
    <mergeCell ref="J213:J218"/>
    <mergeCell ref="K213:K218"/>
    <mergeCell ref="L213:L218"/>
    <mergeCell ref="AI199:AI204"/>
    <mergeCell ref="D206:D211"/>
    <mergeCell ref="E206:E211"/>
    <mergeCell ref="F206:F211"/>
    <mergeCell ref="G206:G211"/>
    <mergeCell ref="H206:H211"/>
    <mergeCell ref="I206:I211"/>
    <mergeCell ref="J206:J211"/>
    <mergeCell ref="K206:K211"/>
    <mergeCell ref="L206:L211"/>
    <mergeCell ref="M206:M211"/>
    <mergeCell ref="AA206:AA211"/>
    <mergeCell ref="AB206:AB211"/>
    <mergeCell ref="AC206:AC211"/>
    <mergeCell ref="AD206:AD211"/>
    <mergeCell ref="AE206:AE211"/>
    <mergeCell ref="AF206:AF211"/>
    <mergeCell ref="AG206:AG211"/>
    <mergeCell ref="AH206:AH211"/>
    <mergeCell ref="AI206:AI211"/>
    <mergeCell ref="G227:G232"/>
    <mergeCell ref="H227:H232"/>
    <mergeCell ref="I227:I232"/>
    <mergeCell ref="J227:J232"/>
    <mergeCell ref="K227:K232"/>
    <mergeCell ref="L227:L232"/>
    <mergeCell ref="AI213:AI218"/>
    <mergeCell ref="D220:D225"/>
    <mergeCell ref="E220:E225"/>
    <mergeCell ref="F220:F225"/>
    <mergeCell ref="G220:G225"/>
    <mergeCell ref="H220:H225"/>
    <mergeCell ref="I220:I225"/>
    <mergeCell ref="J220:J225"/>
    <mergeCell ref="K220:K225"/>
    <mergeCell ref="L220:L225"/>
    <mergeCell ref="M220:M225"/>
    <mergeCell ref="AA220:AA225"/>
    <mergeCell ref="AB220:AB225"/>
    <mergeCell ref="AC220:AC225"/>
    <mergeCell ref="AD220:AD225"/>
    <mergeCell ref="AE220:AE225"/>
    <mergeCell ref="AF220:AF225"/>
    <mergeCell ref="AG220:AG225"/>
    <mergeCell ref="AH220:AH225"/>
    <mergeCell ref="AI220:AI225"/>
    <mergeCell ref="M213:M218"/>
    <mergeCell ref="AA213:AA218"/>
    <mergeCell ref="AB213:AB218"/>
    <mergeCell ref="AC213:AC218"/>
    <mergeCell ref="AD213:AD218"/>
    <mergeCell ref="AE213:AE218"/>
    <mergeCell ref="AI227:AI232"/>
    <mergeCell ref="D234:D239"/>
    <mergeCell ref="E234:E239"/>
    <mergeCell ref="F234:F239"/>
    <mergeCell ref="G234:G239"/>
    <mergeCell ref="H234:H239"/>
    <mergeCell ref="I234:I239"/>
    <mergeCell ref="J234:J239"/>
    <mergeCell ref="K234:K239"/>
    <mergeCell ref="L234:L239"/>
    <mergeCell ref="M234:M239"/>
    <mergeCell ref="AA234:AA239"/>
    <mergeCell ref="AB234:AB239"/>
    <mergeCell ref="AC234:AC239"/>
    <mergeCell ref="AD234:AD239"/>
    <mergeCell ref="AE234:AE239"/>
    <mergeCell ref="AF234:AF239"/>
    <mergeCell ref="AG234:AG239"/>
    <mergeCell ref="AH234:AH239"/>
    <mergeCell ref="AI234:AI239"/>
    <mergeCell ref="M227:M232"/>
    <mergeCell ref="AA227:AA232"/>
    <mergeCell ref="AB227:AB232"/>
    <mergeCell ref="AC227:AC232"/>
    <mergeCell ref="AD227:AD232"/>
    <mergeCell ref="AE227:AE232"/>
    <mergeCell ref="AF227:AF232"/>
    <mergeCell ref="AG227:AG232"/>
    <mergeCell ref="AH227:AH232"/>
    <mergeCell ref="D227:D232"/>
    <mergeCell ref="E227:E232"/>
    <mergeCell ref="F227:F232"/>
    <mergeCell ref="M241:M246"/>
    <mergeCell ref="AA241:AA246"/>
    <mergeCell ref="AB241:AB246"/>
    <mergeCell ref="AC241:AC246"/>
    <mergeCell ref="AD241:AD246"/>
    <mergeCell ref="AE241:AE246"/>
    <mergeCell ref="AF241:AF246"/>
    <mergeCell ref="AG241:AG246"/>
    <mergeCell ref="AH241:AH246"/>
    <mergeCell ref="D241:D246"/>
    <mergeCell ref="E241:E246"/>
    <mergeCell ref="F241:F246"/>
    <mergeCell ref="G241:G246"/>
    <mergeCell ref="H241:H246"/>
    <mergeCell ref="I241:I246"/>
    <mergeCell ref="J241:J246"/>
    <mergeCell ref="K241:K246"/>
    <mergeCell ref="L241:L246"/>
    <mergeCell ref="AF255:AF260"/>
    <mergeCell ref="AG255:AG260"/>
    <mergeCell ref="AH255:AH260"/>
    <mergeCell ref="D255:D260"/>
    <mergeCell ref="E255:E260"/>
    <mergeCell ref="F255:F260"/>
    <mergeCell ref="G255:G260"/>
    <mergeCell ref="H255:H260"/>
    <mergeCell ref="I255:I260"/>
    <mergeCell ref="J255:J260"/>
    <mergeCell ref="K255:K260"/>
    <mergeCell ref="L255:L260"/>
    <mergeCell ref="AI241:AI246"/>
    <mergeCell ref="D248:D253"/>
    <mergeCell ref="E248:E253"/>
    <mergeCell ref="F248:F253"/>
    <mergeCell ref="G248:G253"/>
    <mergeCell ref="H248:H253"/>
    <mergeCell ref="I248:I253"/>
    <mergeCell ref="J248:J253"/>
    <mergeCell ref="K248:K253"/>
    <mergeCell ref="L248:L253"/>
    <mergeCell ref="M248:M253"/>
    <mergeCell ref="AA248:AA253"/>
    <mergeCell ref="AB248:AB253"/>
    <mergeCell ref="AC248:AC253"/>
    <mergeCell ref="AD248:AD253"/>
    <mergeCell ref="AE248:AE253"/>
    <mergeCell ref="AF248:AF253"/>
    <mergeCell ref="AG248:AG253"/>
    <mergeCell ref="AH248:AH253"/>
    <mergeCell ref="AI248:AI253"/>
    <mergeCell ref="G269:G274"/>
    <mergeCell ref="H269:H274"/>
    <mergeCell ref="I269:I274"/>
    <mergeCell ref="J269:J274"/>
    <mergeCell ref="K269:K274"/>
    <mergeCell ref="L269:L274"/>
    <mergeCell ref="AI255:AI260"/>
    <mergeCell ref="D262:D267"/>
    <mergeCell ref="E262:E267"/>
    <mergeCell ref="F262:F267"/>
    <mergeCell ref="G262:G267"/>
    <mergeCell ref="H262:H267"/>
    <mergeCell ref="I262:I267"/>
    <mergeCell ref="J262:J267"/>
    <mergeCell ref="K262:K267"/>
    <mergeCell ref="L262:L267"/>
    <mergeCell ref="M262:M267"/>
    <mergeCell ref="AA262:AA267"/>
    <mergeCell ref="AB262:AB267"/>
    <mergeCell ref="AC262:AC267"/>
    <mergeCell ref="AD262:AD267"/>
    <mergeCell ref="AE262:AE267"/>
    <mergeCell ref="AF262:AF267"/>
    <mergeCell ref="AG262:AG267"/>
    <mergeCell ref="AH262:AH267"/>
    <mergeCell ref="AI262:AI267"/>
    <mergeCell ref="M255:M260"/>
    <mergeCell ref="AA255:AA260"/>
    <mergeCell ref="AB255:AB260"/>
    <mergeCell ref="AC255:AC260"/>
    <mergeCell ref="AD255:AD260"/>
    <mergeCell ref="AE255:AE260"/>
    <mergeCell ref="AI269:AI274"/>
    <mergeCell ref="D276:D281"/>
    <mergeCell ref="E276:E281"/>
    <mergeCell ref="F276:F281"/>
    <mergeCell ref="G276:G281"/>
    <mergeCell ref="H276:H281"/>
    <mergeCell ref="I276:I281"/>
    <mergeCell ref="J276:J281"/>
    <mergeCell ref="K276:K281"/>
    <mergeCell ref="L276:L281"/>
    <mergeCell ref="M276:M281"/>
    <mergeCell ref="AA276:AA281"/>
    <mergeCell ref="AB276:AB281"/>
    <mergeCell ref="AC276:AC281"/>
    <mergeCell ref="AD276:AD281"/>
    <mergeCell ref="AE276:AE281"/>
    <mergeCell ref="AF276:AF281"/>
    <mergeCell ref="AG276:AG281"/>
    <mergeCell ref="AH276:AH281"/>
    <mergeCell ref="AI276:AI281"/>
    <mergeCell ref="M269:M274"/>
    <mergeCell ref="AA269:AA274"/>
    <mergeCell ref="AB269:AB274"/>
    <mergeCell ref="AC269:AC274"/>
    <mergeCell ref="AD269:AD274"/>
    <mergeCell ref="AE269:AE274"/>
    <mergeCell ref="AF269:AF274"/>
    <mergeCell ref="AG269:AG274"/>
    <mergeCell ref="AH269:AH274"/>
    <mergeCell ref="D269:D274"/>
    <mergeCell ref="E269:E274"/>
    <mergeCell ref="F269:F274"/>
    <mergeCell ref="AI290:AI295"/>
    <mergeCell ref="M283:M288"/>
    <mergeCell ref="AA283:AA288"/>
    <mergeCell ref="AB283:AB288"/>
    <mergeCell ref="AC283:AC288"/>
    <mergeCell ref="AD283:AD288"/>
    <mergeCell ref="AE283:AE288"/>
    <mergeCell ref="AF283:AF288"/>
    <mergeCell ref="AG283:AG288"/>
    <mergeCell ref="AH283:AH288"/>
    <mergeCell ref="D283:D288"/>
    <mergeCell ref="E283:E288"/>
    <mergeCell ref="F283:F288"/>
    <mergeCell ref="G283:G288"/>
    <mergeCell ref="H283:H288"/>
    <mergeCell ref="I283:I288"/>
    <mergeCell ref="J283:J288"/>
    <mergeCell ref="K283:K288"/>
    <mergeCell ref="L283:L288"/>
    <mergeCell ref="AE297:AE302"/>
    <mergeCell ref="AF297:AF302"/>
    <mergeCell ref="AG297:AG302"/>
    <mergeCell ref="AH297:AH302"/>
    <mergeCell ref="D297:D302"/>
    <mergeCell ref="E297:E302"/>
    <mergeCell ref="F297:F302"/>
    <mergeCell ref="G297:G302"/>
    <mergeCell ref="H297:H302"/>
    <mergeCell ref="I297:I302"/>
    <mergeCell ref="J297:J302"/>
    <mergeCell ref="K297:K302"/>
    <mergeCell ref="L297:L302"/>
    <mergeCell ref="AI283:AI288"/>
    <mergeCell ref="D290:D295"/>
    <mergeCell ref="E290:E295"/>
    <mergeCell ref="F290:F295"/>
    <mergeCell ref="G290:G295"/>
    <mergeCell ref="H290:H295"/>
    <mergeCell ref="I290:I295"/>
    <mergeCell ref="J290:J295"/>
    <mergeCell ref="K290:K295"/>
    <mergeCell ref="L290:L295"/>
    <mergeCell ref="M290:M295"/>
    <mergeCell ref="AA290:AA295"/>
    <mergeCell ref="AB290:AB295"/>
    <mergeCell ref="AC290:AC295"/>
    <mergeCell ref="AD290:AD295"/>
    <mergeCell ref="AE290:AE295"/>
    <mergeCell ref="AF290:AF295"/>
    <mergeCell ref="AG290:AG295"/>
    <mergeCell ref="AH290:AH295"/>
    <mergeCell ref="F311:F316"/>
    <mergeCell ref="G311:G316"/>
    <mergeCell ref="H311:H316"/>
    <mergeCell ref="I311:I316"/>
    <mergeCell ref="J311:J316"/>
    <mergeCell ref="K311:K316"/>
    <mergeCell ref="L311:L316"/>
    <mergeCell ref="AI297:AI302"/>
    <mergeCell ref="D304:D309"/>
    <mergeCell ref="E304:E309"/>
    <mergeCell ref="F304:F309"/>
    <mergeCell ref="G304:G309"/>
    <mergeCell ref="H304:H309"/>
    <mergeCell ref="I304:I309"/>
    <mergeCell ref="J304:J309"/>
    <mergeCell ref="K304:K309"/>
    <mergeCell ref="L304:L309"/>
    <mergeCell ref="M304:M309"/>
    <mergeCell ref="AA304:AA309"/>
    <mergeCell ref="AB304:AB309"/>
    <mergeCell ref="AC304:AC309"/>
    <mergeCell ref="AD304:AD309"/>
    <mergeCell ref="AE304:AE309"/>
    <mergeCell ref="AF304:AF309"/>
    <mergeCell ref="AG304:AG309"/>
    <mergeCell ref="AH304:AH309"/>
    <mergeCell ref="AI304:AI309"/>
    <mergeCell ref="M297:M302"/>
    <mergeCell ref="AA297:AA302"/>
    <mergeCell ref="AB297:AB302"/>
    <mergeCell ref="AC297:AC302"/>
    <mergeCell ref="AD297:AD302"/>
    <mergeCell ref="F668:M668"/>
    <mergeCell ref="AI311:AI316"/>
    <mergeCell ref="D318:D323"/>
    <mergeCell ref="E318:E323"/>
    <mergeCell ref="F318:F323"/>
    <mergeCell ref="G318:G323"/>
    <mergeCell ref="H318:H323"/>
    <mergeCell ref="I318:I323"/>
    <mergeCell ref="J318:J323"/>
    <mergeCell ref="K318:K323"/>
    <mergeCell ref="L318:L323"/>
    <mergeCell ref="M318:M323"/>
    <mergeCell ref="AA318:AA323"/>
    <mergeCell ref="AB318:AB323"/>
    <mergeCell ref="AC318:AC323"/>
    <mergeCell ref="AD318:AD323"/>
    <mergeCell ref="AE318:AE323"/>
    <mergeCell ref="AF318:AF323"/>
    <mergeCell ref="AG318:AG323"/>
    <mergeCell ref="AH318:AH323"/>
    <mergeCell ref="AI318:AI323"/>
    <mergeCell ref="M311:M316"/>
    <mergeCell ref="AA311:AA316"/>
    <mergeCell ref="AB311:AB316"/>
    <mergeCell ref="AC311:AC316"/>
    <mergeCell ref="AD311:AD316"/>
    <mergeCell ref="AE311:AE316"/>
    <mergeCell ref="AF311:AF316"/>
    <mergeCell ref="AG311:AG316"/>
    <mergeCell ref="AH311:AH316"/>
    <mergeCell ref="D311:D316"/>
    <mergeCell ref="E311:E316"/>
  </mergeCells>
  <conditionalFormatting sqref="B2">
    <cfRule type="cellIs" dxfId="127" priority="2" operator="notEqual">
      <formula>"No Errors Found"</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95"/>
  <sheetViews>
    <sheetView showGridLines="0" zoomScaleNormal="100" workbookViewId="0">
      <pane xSplit="1" ySplit="2" topLeftCell="B15"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outlineLevelCol="1" x14ac:dyDescent="0.2"/>
  <cols>
    <col min="1" max="3" width="3.6640625" style="46" customWidth="1"/>
    <col min="4" max="4" width="58.33203125" style="46" customWidth="1"/>
    <col min="5" max="6" width="15.6640625" style="46" customWidth="1"/>
    <col min="7" max="9" width="15.6640625" style="46" customWidth="1" outlineLevel="1"/>
    <col min="10" max="12" width="14.6640625" style="46" customWidth="1" outlineLevel="1"/>
    <col min="13" max="13" width="15.6640625" style="46" customWidth="1" outlineLevel="1"/>
    <col min="14" max="32" width="14.6640625" style="46" customWidth="1" outlineLevel="1"/>
    <col min="33" max="33" width="17.83203125" style="46" customWidth="1"/>
    <col min="34" max="16384" width="9.33203125" style="46"/>
  </cols>
  <sheetData>
    <row r="1" spans="1:33" ht="19.5" x14ac:dyDescent="0.2">
      <c r="A1" s="42">
        <f>IF(SUM($A2:$A195)&gt;0,1,0)</f>
        <v>0</v>
      </c>
      <c r="B1" s="3" t="s">
        <v>700</v>
      </c>
    </row>
    <row r="2" spans="1:33" x14ac:dyDescent="0.2">
      <c r="B2" s="9" t="str">
        <f>Title_Msg</f>
        <v>No Errors Found</v>
      </c>
    </row>
    <row r="3" spans="1:33" s="47" customFormat="1" ht="15.75" x14ac:dyDescent="0.2">
      <c r="B3" s="47" t="str">
        <f>WkB_1_2.1.1!$B$3</f>
        <v>Data required to populate TransGrid's 2023-28 regulatory submission</v>
      </c>
    </row>
    <row r="4" spans="1:33" ht="4.5" customHeight="1" x14ac:dyDescent="0.2"/>
    <row r="5" spans="1:33" s="7" customFormat="1" ht="15" x14ac:dyDescent="0.2">
      <c r="C5" s="7" t="str">
        <f>WkB_1_2.1.1!$C$5</f>
        <v>Output - RIN template</v>
      </c>
    </row>
    <row r="6" spans="1:33" ht="11.25" customHeight="1" x14ac:dyDescent="0.2"/>
    <row r="7" spans="1:33" ht="18" x14ac:dyDescent="0.2">
      <c r="D7" s="548" t="s">
        <v>378</v>
      </c>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9"/>
    </row>
    <row r="8" spans="1:33" ht="11.25" customHeight="1" x14ac:dyDescent="0.2">
      <c r="D8" s="550" t="s">
        <v>419</v>
      </c>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row>
    <row r="9" spans="1:33" ht="11.25" customHeight="1" thickBot="1" x14ac:dyDescent="0.3">
      <c r="D9" s="552"/>
      <c r="E9" s="552"/>
      <c r="F9" s="553"/>
      <c r="G9" s="553"/>
      <c r="H9" s="553"/>
      <c r="I9" s="553"/>
      <c r="J9" s="553"/>
      <c r="K9" s="554" t="s">
        <v>420</v>
      </c>
      <c r="L9" s="554" t="s">
        <v>421</v>
      </c>
      <c r="M9" s="554" t="s">
        <v>422</v>
      </c>
      <c r="N9" s="554"/>
      <c r="O9" s="554" t="s">
        <v>423</v>
      </c>
      <c r="P9" s="554" t="s">
        <v>424</v>
      </c>
      <c r="Q9" s="554" t="s">
        <v>425</v>
      </c>
      <c r="R9" s="554" t="s">
        <v>426</v>
      </c>
      <c r="S9" s="554" t="s">
        <v>427</v>
      </c>
      <c r="T9" s="554" t="s">
        <v>428</v>
      </c>
      <c r="U9" s="554" t="s">
        <v>429</v>
      </c>
      <c r="V9" s="554" t="s">
        <v>430</v>
      </c>
      <c r="W9" s="554" t="s">
        <v>431</v>
      </c>
      <c r="X9" s="554" t="s">
        <v>432</v>
      </c>
      <c r="Y9" s="554" t="s">
        <v>433</v>
      </c>
      <c r="Z9" s="554" t="s">
        <v>434</v>
      </c>
      <c r="AA9" s="554" t="s">
        <v>435</v>
      </c>
      <c r="AB9" s="554" t="s">
        <v>436</v>
      </c>
      <c r="AC9" s="554" t="s">
        <v>437</v>
      </c>
      <c r="AD9" s="554" t="s">
        <v>438</v>
      </c>
      <c r="AE9" s="554" t="s">
        <v>439</v>
      </c>
      <c r="AF9" s="554" t="s">
        <v>440</v>
      </c>
      <c r="AG9" s="553"/>
    </row>
    <row r="10" spans="1:33" ht="31.15" customHeight="1" x14ac:dyDescent="0.2">
      <c r="D10" s="1112" t="s">
        <v>441</v>
      </c>
      <c r="E10" s="1113"/>
      <c r="F10" s="1113"/>
      <c r="G10" s="1113"/>
      <c r="H10" s="1113"/>
      <c r="I10" s="1114"/>
      <c r="J10" s="1115" t="s">
        <v>381</v>
      </c>
      <c r="K10" s="1116"/>
      <c r="L10" s="1116"/>
      <c r="M10" s="1116"/>
      <c r="N10" s="1116"/>
      <c r="O10" s="1116"/>
      <c r="P10" s="1116"/>
      <c r="Q10" s="1116"/>
      <c r="R10" s="1116"/>
      <c r="S10" s="1116"/>
      <c r="T10" s="1116"/>
      <c r="U10" s="1116"/>
      <c r="V10" s="1116"/>
      <c r="W10" s="1140"/>
      <c r="X10" s="1181" t="s">
        <v>382</v>
      </c>
      <c r="Y10" s="1182"/>
      <c r="Z10" s="1183" t="s">
        <v>499</v>
      </c>
      <c r="AA10" s="1186" t="s">
        <v>384</v>
      </c>
      <c r="AB10" s="1189" t="s">
        <v>442</v>
      </c>
      <c r="AC10" s="1190"/>
      <c r="AD10" s="1191" t="s">
        <v>386</v>
      </c>
      <c r="AE10" s="1115" t="s">
        <v>387</v>
      </c>
      <c r="AF10" s="1140"/>
      <c r="AG10" s="555"/>
    </row>
    <row r="11" spans="1:33" ht="40.5" customHeight="1" thickBot="1" x14ac:dyDescent="0.25">
      <c r="D11" s="1194" t="s">
        <v>443</v>
      </c>
      <c r="E11" s="1143" t="s">
        <v>390</v>
      </c>
      <c r="F11" s="1143" t="s">
        <v>391</v>
      </c>
      <c r="G11" s="1143" t="s">
        <v>392</v>
      </c>
      <c r="H11" s="1143" t="s">
        <v>393</v>
      </c>
      <c r="I11" s="1195" t="s">
        <v>444</v>
      </c>
      <c r="J11" s="1197" t="s">
        <v>445</v>
      </c>
      <c r="K11" s="1198"/>
      <c r="L11" s="1198"/>
      <c r="M11" s="1198"/>
      <c r="N11" s="1199" t="s">
        <v>446</v>
      </c>
      <c r="O11" s="1200"/>
      <c r="P11" s="1200"/>
      <c r="Q11" s="1200"/>
      <c r="R11" s="1200"/>
      <c r="S11" s="1200"/>
      <c r="T11" s="1201"/>
      <c r="U11" s="1174" t="s">
        <v>504</v>
      </c>
      <c r="V11" s="1197" t="s">
        <v>400</v>
      </c>
      <c r="W11" s="1202"/>
      <c r="X11" s="1203" t="s">
        <v>401</v>
      </c>
      <c r="Y11" s="1205" t="s">
        <v>402</v>
      </c>
      <c r="Z11" s="1184"/>
      <c r="AA11" s="1187"/>
      <c r="AB11" s="1207" t="s">
        <v>403</v>
      </c>
      <c r="AC11" s="1209" t="s">
        <v>404</v>
      </c>
      <c r="AD11" s="1192"/>
      <c r="AE11" s="1197" t="s">
        <v>405</v>
      </c>
      <c r="AF11" s="1211" t="s">
        <v>406</v>
      </c>
      <c r="AG11" s="556"/>
    </row>
    <row r="12" spans="1:33" ht="40.5" customHeight="1" x14ac:dyDescent="0.2">
      <c r="D12" s="1194"/>
      <c r="E12" s="1143"/>
      <c r="F12" s="1143"/>
      <c r="G12" s="1143"/>
      <c r="H12" s="1143"/>
      <c r="I12" s="1196"/>
      <c r="J12" s="1127"/>
      <c r="K12" s="1128"/>
      <c r="L12" s="1128"/>
      <c r="M12" s="1128"/>
      <c r="N12" s="1172" t="s">
        <v>448</v>
      </c>
      <c r="O12" s="1127" t="s">
        <v>449</v>
      </c>
      <c r="P12" s="1129"/>
      <c r="Q12" s="1127" t="s">
        <v>450</v>
      </c>
      <c r="R12" s="1129"/>
      <c r="S12" s="1172" t="s">
        <v>451</v>
      </c>
      <c r="T12" s="1174" t="s">
        <v>498</v>
      </c>
      <c r="U12" s="1174"/>
      <c r="V12" s="1127"/>
      <c r="W12" s="1129"/>
      <c r="X12" s="1204"/>
      <c r="Y12" s="1206"/>
      <c r="Z12" s="1184"/>
      <c r="AA12" s="1187"/>
      <c r="AB12" s="1208"/>
      <c r="AC12" s="1210"/>
      <c r="AD12" s="1193"/>
      <c r="AE12" s="1127"/>
      <c r="AF12" s="1212"/>
      <c r="AG12" s="514" t="s">
        <v>407</v>
      </c>
    </row>
    <row r="13" spans="1:33" ht="51.75" thickBot="1" x14ac:dyDescent="0.25">
      <c r="D13" s="1142"/>
      <c r="E13" s="1144"/>
      <c r="F13" s="1144"/>
      <c r="G13" s="1144"/>
      <c r="H13" s="1144"/>
      <c r="I13" s="516" t="s">
        <v>452</v>
      </c>
      <c r="J13" s="517" t="s">
        <v>453</v>
      </c>
      <c r="K13" s="740" t="s">
        <v>454</v>
      </c>
      <c r="L13" s="740" t="s">
        <v>455</v>
      </c>
      <c r="M13" s="557" t="s">
        <v>498</v>
      </c>
      <c r="N13" s="1173"/>
      <c r="O13" s="517" t="s">
        <v>408</v>
      </c>
      <c r="P13" s="741" t="s">
        <v>409</v>
      </c>
      <c r="Q13" s="517" t="s">
        <v>408</v>
      </c>
      <c r="R13" s="741" t="s">
        <v>409</v>
      </c>
      <c r="S13" s="1173"/>
      <c r="T13" s="1175"/>
      <c r="U13" s="1175"/>
      <c r="V13" s="517" t="s">
        <v>417</v>
      </c>
      <c r="W13" s="559" t="s">
        <v>498</v>
      </c>
      <c r="X13" s="1176" t="s">
        <v>498</v>
      </c>
      <c r="Y13" s="1177"/>
      <c r="Z13" s="1185"/>
      <c r="AA13" s="1188"/>
      <c r="AB13" s="1176" t="s">
        <v>498</v>
      </c>
      <c r="AC13" s="1178"/>
      <c r="AD13" s="1177"/>
      <c r="AE13" s="1179" t="s">
        <v>498</v>
      </c>
      <c r="AF13" s="1180"/>
      <c r="AG13" s="521"/>
    </row>
    <row r="14" spans="1:33" ht="11.25" customHeight="1" x14ac:dyDescent="0.25">
      <c r="D14" s="1153" t="str">
        <f t="shared" ref="D14:I14" si="0">D109</f>
        <v>94T Molong to Orange North</v>
      </c>
      <c r="E14" s="1154">
        <f t="shared" si="0"/>
        <v>2162</v>
      </c>
      <c r="F14" s="1154" t="str">
        <f t="shared" si="0"/>
        <v>Line upgrade - capacity</v>
      </c>
      <c r="G14" s="1154" t="str">
        <f t="shared" si="0"/>
        <v>Net market benefit</v>
      </c>
      <c r="H14" s="1154">
        <f t="shared" si="0"/>
        <v>132</v>
      </c>
      <c r="I14" s="1156">
        <f t="shared" si="0"/>
        <v>0</v>
      </c>
      <c r="J14" s="560" t="str">
        <f>J109</f>
        <v>Single Circuit</v>
      </c>
      <c r="K14" s="561">
        <f>K109</f>
        <v>0</v>
      </c>
      <c r="L14" s="541">
        <f>L109</f>
        <v>5</v>
      </c>
      <c r="M14" s="1035" t="s">
        <v>701</v>
      </c>
      <c r="N14" s="541">
        <f t="shared" ref="N14:S14" si="1">N109</f>
        <v>0</v>
      </c>
      <c r="O14" s="562">
        <f t="shared" si="1"/>
        <v>112</v>
      </c>
      <c r="P14" s="562">
        <f t="shared" si="1"/>
        <v>150</v>
      </c>
      <c r="Q14" s="562">
        <f t="shared" si="1"/>
        <v>120</v>
      </c>
      <c r="R14" s="562">
        <f t="shared" si="1"/>
        <v>165</v>
      </c>
      <c r="S14" s="541">
        <f t="shared" si="1"/>
        <v>0</v>
      </c>
      <c r="T14" s="1035" t="s">
        <v>701</v>
      </c>
      <c r="U14" s="1035" t="s">
        <v>701</v>
      </c>
      <c r="V14" s="542">
        <f>V109</f>
        <v>5042.7142857142853</v>
      </c>
      <c r="W14" s="1035" t="s">
        <v>701</v>
      </c>
      <c r="X14" s="1147" t="s">
        <v>701</v>
      </c>
      <c r="Y14" s="1147" t="s">
        <v>701</v>
      </c>
      <c r="Z14" s="1159"/>
      <c r="AA14" s="1166" t="str">
        <f t="shared" ref="AA14:AA78" si="2">AA109</f>
        <v>3 Years</v>
      </c>
      <c r="AB14" s="1147" t="s">
        <v>701</v>
      </c>
      <c r="AC14" s="1147" t="s">
        <v>701</v>
      </c>
      <c r="AD14" s="1147" t="s">
        <v>701</v>
      </c>
      <c r="AE14" s="1149" t="s">
        <v>701</v>
      </c>
      <c r="AF14" s="1151" t="s">
        <v>701</v>
      </c>
      <c r="AG14" s="1040" t="str">
        <f>AG109</f>
        <v/>
      </c>
    </row>
    <row r="15" spans="1:33" ht="11.25" customHeight="1" x14ac:dyDescent="0.25">
      <c r="D15" s="1092">
        <f t="shared" ref="D15:I15" si="3">D110</f>
        <v>0</v>
      </c>
      <c r="E15" s="1093">
        <f t="shared" si="3"/>
        <v>0</v>
      </c>
      <c r="F15" s="1093">
        <f t="shared" si="3"/>
        <v>0</v>
      </c>
      <c r="G15" s="1093">
        <f t="shared" si="3"/>
        <v>0</v>
      </c>
      <c r="H15" s="1093">
        <f t="shared" si="3"/>
        <v>0</v>
      </c>
      <c r="I15" s="1157">
        <f t="shared" si="3"/>
        <v>0</v>
      </c>
      <c r="J15" s="563">
        <f t="shared" ref="J15:L20" si="4">J110</f>
        <v>0</v>
      </c>
      <c r="K15" s="564">
        <f t="shared" si="4"/>
        <v>0</v>
      </c>
      <c r="L15" s="529">
        <f t="shared" si="4"/>
        <v>0</v>
      </c>
      <c r="M15" s="1036" t="s">
        <v>701</v>
      </c>
      <c r="N15" s="529">
        <f t="shared" ref="N15:S15" si="5">N110</f>
        <v>0</v>
      </c>
      <c r="O15" s="565">
        <f t="shared" si="5"/>
        <v>0</v>
      </c>
      <c r="P15" s="565">
        <f t="shared" si="5"/>
        <v>0</v>
      </c>
      <c r="Q15" s="529">
        <f t="shared" si="5"/>
        <v>0</v>
      </c>
      <c r="R15" s="529">
        <f t="shared" si="5"/>
        <v>0</v>
      </c>
      <c r="S15" s="529">
        <f t="shared" si="5"/>
        <v>0</v>
      </c>
      <c r="T15" s="1036" t="s">
        <v>701</v>
      </c>
      <c r="U15" s="1036" t="s">
        <v>701</v>
      </c>
      <c r="V15" s="529">
        <f t="shared" ref="V15" si="6">V110</f>
        <v>0</v>
      </c>
      <c r="W15" s="1036" t="s">
        <v>701</v>
      </c>
      <c r="X15" s="1148"/>
      <c r="Y15" s="1148"/>
      <c r="Z15" s="1099"/>
      <c r="AA15" s="1100">
        <f t="shared" si="2"/>
        <v>0</v>
      </c>
      <c r="AB15" s="1148"/>
      <c r="AC15" s="1148"/>
      <c r="AD15" s="1148"/>
      <c r="AE15" s="1150"/>
      <c r="AF15" s="1152"/>
      <c r="AG15" s="1041" t="str">
        <f t="shared" ref="AG15" si="7">AG110</f>
        <v/>
      </c>
    </row>
    <row r="16" spans="1:33" ht="11.25" customHeight="1" x14ac:dyDescent="0.25">
      <c r="D16" s="1092">
        <f t="shared" ref="D16:I16" si="8">D111</f>
        <v>0</v>
      </c>
      <c r="E16" s="1093">
        <f t="shared" si="8"/>
        <v>0</v>
      </c>
      <c r="F16" s="1093">
        <f t="shared" si="8"/>
        <v>0</v>
      </c>
      <c r="G16" s="1093">
        <f t="shared" si="8"/>
        <v>0</v>
      </c>
      <c r="H16" s="1093">
        <f t="shared" si="8"/>
        <v>0</v>
      </c>
      <c r="I16" s="1157">
        <f t="shared" si="8"/>
        <v>0</v>
      </c>
      <c r="J16" s="563">
        <f t="shared" si="4"/>
        <v>0</v>
      </c>
      <c r="K16" s="564">
        <f t="shared" si="4"/>
        <v>0</v>
      </c>
      <c r="L16" s="529">
        <f t="shared" si="4"/>
        <v>0</v>
      </c>
      <c r="M16" s="1036" t="s">
        <v>701</v>
      </c>
      <c r="N16" s="529">
        <f t="shared" ref="N16:S16" si="9">N111</f>
        <v>0</v>
      </c>
      <c r="O16" s="565">
        <f t="shared" si="9"/>
        <v>0</v>
      </c>
      <c r="P16" s="565">
        <f t="shared" si="9"/>
        <v>0</v>
      </c>
      <c r="Q16" s="529">
        <f t="shared" si="9"/>
        <v>0</v>
      </c>
      <c r="R16" s="529">
        <f t="shared" si="9"/>
        <v>0</v>
      </c>
      <c r="S16" s="529">
        <f t="shared" si="9"/>
        <v>0</v>
      </c>
      <c r="T16" s="1036" t="s">
        <v>701</v>
      </c>
      <c r="U16" s="1036" t="s">
        <v>701</v>
      </c>
      <c r="V16" s="529">
        <f t="shared" ref="V16" si="10">V111</f>
        <v>0</v>
      </c>
      <c r="W16" s="1036" t="s">
        <v>701</v>
      </c>
      <c r="X16" s="1148"/>
      <c r="Y16" s="1148"/>
      <c r="Z16" s="1099"/>
      <c r="AA16" s="1100">
        <f t="shared" si="2"/>
        <v>0</v>
      </c>
      <c r="AB16" s="1148"/>
      <c r="AC16" s="1148"/>
      <c r="AD16" s="1148"/>
      <c r="AE16" s="1150"/>
      <c r="AF16" s="1152"/>
      <c r="AG16" s="1041" t="str">
        <f t="shared" ref="AG16" si="11">AG111</f>
        <v/>
      </c>
    </row>
    <row r="17" spans="4:33" ht="11.25" customHeight="1" x14ac:dyDescent="0.25">
      <c r="D17" s="1092">
        <f t="shared" ref="D17:I17" si="12">D112</f>
        <v>0</v>
      </c>
      <c r="E17" s="1093">
        <f t="shared" si="12"/>
        <v>0</v>
      </c>
      <c r="F17" s="1093">
        <f t="shared" si="12"/>
        <v>0</v>
      </c>
      <c r="G17" s="1093">
        <f t="shared" si="12"/>
        <v>0</v>
      </c>
      <c r="H17" s="1093">
        <f t="shared" si="12"/>
        <v>0</v>
      </c>
      <c r="I17" s="1157">
        <f t="shared" si="12"/>
        <v>0</v>
      </c>
      <c r="J17" s="563">
        <f t="shared" si="4"/>
        <v>0</v>
      </c>
      <c r="K17" s="564">
        <f t="shared" si="4"/>
        <v>0</v>
      </c>
      <c r="L17" s="529">
        <f t="shared" si="4"/>
        <v>0</v>
      </c>
      <c r="M17" s="1036" t="s">
        <v>701</v>
      </c>
      <c r="N17" s="529">
        <f t="shared" ref="N17:S17" si="13">N112</f>
        <v>0</v>
      </c>
      <c r="O17" s="565">
        <f t="shared" si="13"/>
        <v>0</v>
      </c>
      <c r="P17" s="565">
        <f t="shared" si="13"/>
        <v>0</v>
      </c>
      <c r="Q17" s="529">
        <f t="shared" si="13"/>
        <v>0</v>
      </c>
      <c r="R17" s="529">
        <f t="shared" si="13"/>
        <v>0</v>
      </c>
      <c r="S17" s="529">
        <f t="shared" si="13"/>
        <v>0</v>
      </c>
      <c r="T17" s="1036" t="s">
        <v>701</v>
      </c>
      <c r="U17" s="1036" t="s">
        <v>701</v>
      </c>
      <c r="V17" s="529">
        <f t="shared" ref="V17" si="14">V112</f>
        <v>0</v>
      </c>
      <c r="W17" s="1036" t="s">
        <v>701</v>
      </c>
      <c r="X17" s="1148"/>
      <c r="Y17" s="1148"/>
      <c r="Z17" s="1099"/>
      <c r="AA17" s="1100">
        <f t="shared" si="2"/>
        <v>0</v>
      </c>
      <c r="AB17" s="1148"/>
      <c r="AC17" s="1148"/>
      <c r="AD17" s="1148"/>
      <c r="AE17" s="1150"/>
      <c r="AF17" s="1152"/>
      <c r="AG17" s="1041" t="str">
        <f t="shared" ref="AG17" si="15">AG112</f>
        <v/>
      </c>
    </row>
    <row r="18" spans="4:33" ht="11.25" customHeight="1" x14ac:dyDescent="0.25">
      <c r="D18" s="1092">
        <f t="shared" ref="D18:I18" si="16">D113</f>
        <v>0</v>
      </c>
      <c r="E18" s="1093">
        <f t="shared" si="16"/>
        <v>0</v>
      </c>
      <c r="F18" s="1093">
        <f t="shared" si="16"/>
        <v>0</v>
      </c>
      <c r="G18" s="1093">
        <f t="shared" si="16"/>
        <v>0</v>
      </c>
      <c r="H18" s="1093">
        <f t="shared" si="16"/>
        <v>0</v>
      </c>
      <c r="I18" s="1157">
        <f t="shared" si="16"/>
        <v>0</v>
      </c>
      <c r="J18" s="563">
        <f t="shared" si="4"/>
        <v>0</v>
      </c>
      <c r="K18" s="564">
        <f t="shared" si="4"/>
        <v>0</v>
      </c>
      <c r="L18" s="529">
        <f t="shared" si="4"/>
        <v>0</v>
      </c>
      <c r="M18" s="1036" t="s">
        <v>701</v>
      </c>
      <c r="N18" s="529">
        <f t="shared" ref="N18:S18" si="17">N113</f>
        <v>0</v>
      </c>
      <c r="O18" s="565">
        <f t="shared" si="17"/>
        <v>0</v>
      </c>
      <c r="P18" s="565">
        <f t="shared" si="17"/>
        <v>0</v>
      </c>
      <c r="Q18" s="529">
        <f t="shared" si="17"/>
        <v>0</v>
      </c>
      <c r="R18" s="529">
        <f t="shared" si="17"/>
        <v>0</v>
      </c>
      <c r="S18" s="529">
        <f t="shared" si="17"/>
        <v>0</v>
      </c>
      <c r="T18" s="1036" t="s">
        <v>701</v>
      </c>
      <c r="U18" s="1036" t="s">
        <v>701</v>
      </c>
      <c r="V18" s="529">
        <f t="shared" ref="V18" si="18">V113</f>
        <v>0</v>
      </c>
      <c r="W18" s="1036" t="s">
        <v>701</v>
      </c>
      <c r="X18" s="1148"/>
      <c r="Y18" s="1148"/>
      <c r="Z18" s="1099"/>
      <c r="AA18" s="1100">
        <f t="shared" si="2"/>
        <v>0</v>
      </c>
      <c r="AB18" s="1148"/>
      <c r="AC18" s="1148"/>
      <c r="AD18" s="1148"/>
      <c r="AE18" s="1150"/>
      <c r="AF18" s="1152"/>
      <c r="AG18" s="1041" t="str">
        <f t="shared" ref="AG18" si="19">AG113</f>
        <v/>
      </c>
    </row>
    <row r="19" spans="4:33" ht="11.25" customHeight="1" x14ac:dyDescent="0.25">
      <c r="D19" s="1092">
        <f t="shared" ref="D19:I19" si="20">D114</f>
        <v>0</v>
      </c>
      <c r="E19" s="1093">
        <f t="shared" si="20"/>
        <v>0</v>
      </c>
      <c r="F19" s="1093">
        <f t="shared" si="20"/>
        <v>0</v>
      </c>
      <c r="G19" s="1093">
        <f t="shared" si="20"/>
        <v>0</v>
      </c>
      <c r="H19" s="1093">
        <f t="shared" si="20"/>
        <v>0</v>
      </c>
      <c r="I19" s="1157">
        <f t="shared" si="20"/>
        <v>0</v>
      </c>
      <c r="J19" s="563">
        <f t="shared" si="4"/>
        <v>0</v>
      </c>
      <c r="K19" s="564">
        <f t="shared" si="4"/>
        <v>0</v>
      </c>
      <c r="L19" s="529">
        <f t="shared" si="4"/>
        <v>0</v>
      </c>
      <c r="M19" s="1036" t="s">
        <v>701</v>
      </c>
      <c r="N19" s="529">
        <f t="shared" ref="N19:S19" si="21">N114</f>
        <v>0</v>
      </c>
      <c r="O19" s="565">
        <f t="shared" si="21"/>
        <v>0</v>
      </c>
      <c r="P19" s="565">
        <f t="shared" si="21"/>
        <v>0</v>
      </c>
      <c r="Q19" s="529">
        <f t="shared" si="21"/>
        <v>0</v>
      </c>
      <c r="R19" s="529">
        <f t="shared" si="21"/>
        <v>0</v>
      </c>
      <c r="S19" s="529">
        <f t="shared" si="21"/>
        <v>0</v>
      </c>
      <c r="T19" s="1036" t="s">
        <v>701</v>
      </c>
      <c r="U19" s="1036" t="s">
        <v>701</v>
      </c>
      <c r="V19" s="529">
        <f t="shared" ref="V19" si="22">V114</f>
        <v>0</v>
      </c>
      <c r="W19" s="1036" t="s">
        <v>701</v>
      </c>
      <c r="X19" s="1148"/>
      <c r="Y19" s="1148"/>
      <c r="Z19" s="1099"/>
      <c r="AA19" s="1100">
        <f t="shared" si="2"/>
        <v>0</v>
      </c>
      <c r="AB19" s="1148"/>
      <c r="AC19" s="1148"/>
      <c r="AD19" s="1148"/>
      <c r="AE19" s="1150"/>
      <c r="AF19" s="1152"/>
      <c r="AG19" s="1041" t="str">
        <f t="shared" ref="AG19" si="23">AG114</f>
        <v/>
      </c>
    </row>
    <row r="20" spans="4:33" ht="11.25" customHeight="1" x14ac:dyDescent="0.25">
      <c r="D20" s="1092">
        <f t="shared" ref="D20:I20" si="24">D115</f>
        <v>0</v>
      </c>
      <c r="E20" s="1155">
        <f t="shared" si="24"/>
        <v>0</v>
      </c>
      <c r="F20" s="1155">
        <f t="shared" si="24"/>
        <v>0</v>
      </c>
      <c r="G20" s="1155">
        <f t="shared" si="24"/>
        <v>0</v>
      </c>
      <c r="H20" s="1155">
        <f t="shared" si="24"/>
        <v>0</v>
      </c>
      <c r="I20" s="1158">
        <f t="shared" si="24"/>
        <v>0</v>
      </c>
      <c r="J20" s="566">
        <f t="shared" si="4"/>
        <v>0</v>
      </c>
      <c r="K20" s="567">
        <f t="shared" si="4"/>
        <v>0</v>
      </c>
      <c r="L20" s="568">
        <f t="shared" si="4"/>
        <v>0</v>
      </c>
      <c r="M20" s="1037" t="s">
        <v>701</v>
      </c>
      <c r="N20" s="568">
        <f t="shared" ref="N20:S20" si="25">N115</f>
        <v>0</v>
      </c>
      <c r="O20" s="569">
        <f t="shared" si="25"/>
        <v>0</v>
      </c>
      <c r="P20" s="569">
        <f t="shared" si="25"/>
        <v>0</v>
      </c>
      <c r="Q20" s="568">
        <f t="shared" si="25"/>
        <v>0</v>
      </c>
      <c r="R20" s="568">
        <f t="shared" si="25"/>
        <v>0</v>
      </c>
      <c r="S20" s="568">
        <f t="shared" si="25"/>
        <v>0</v>
      </c>
      <c r="T20" s="1037" t="s">
        <v>701</v>
      </c>
      <c r="U20" s="1037" t="s">
        <v>701</v>
      </c>
      <c r="V20" s="568">
        <f t="shared" ref="V20" si="26">V115</f>
        <v>0</v>
      </c>
      <c r="W20" s="1037" t="s">
        <v>701</v>
      </c>
      <c r="X20" s="1148"/>
      <c r="Y20" s="1148"/>
      <c r="Z20" s="1099"/>
      <c r="AA20" s="1100">
        <f t="shared" si="2"/>
        <v>0</v>
      </c>
      <c r="AB20" s="1148"/>
      <c r="AC20" s="1148"/>
      <c r="AD20" s="1148"/>
      <c r="AE20" s="1150"/>
      <c r="AF20" s="1152"/>
      <c r="AG20" s="1044" t="str">
        <f t="shared" ref="AG20" si="27">AG115</f>
        <v/>
      </c>
    </row>
    <row r="21" spans="4:33" ht="11.25" customHeight="1" thickBot="1" x14ac:dyDescent="0.25">
      <c r="D21" s="532" t="s">
        <v>418</v>
      </c>
      <c r="E21" s="570"/>
      <c r="F21" s="571"/>
      <c r="G21" s="571"/>
      <c r="H21" s="571"/>
      <c r="I21" s="572"/>
      <c r="J21" s="573"/>
      <c r="K21" s="908">
        <f>SUM(K14:K20)</f>
        <v>0</v>
      </c>
      <c r="L21" s="908">
        <f t="shared" ref="L21" si="28">SUM(L14:L20)</f>
        <v>5</v>
      </c>
      <c r="M21" s="1033" t="s">
        <v>701</v>
      </c>
      <c r="N21" s="909"/>
      <c r="O21" s="910"/>
      <c r="P21" s="910"/>
      <c r="Q21" s="910"/>
      <c r="R21" s="910"/>
      <c r="S21" s="908">
        <f t="shared" ref="S21:V21" si="29">SUM(S14:S20)</f>
        <v>0</v>
      </c>
      <c r="T21" s="1033" t="s">
        <v>701</v>
      </c>
      <c r="U21" s="1038" t="s">
        <v>701</v>
      </c>
      <c r="V21" s="911">
        <f t="shared" si="29"/>
        <v>5042.7142857142853</v>
      </c>
      <c r="W21" s="1033" t="s">
        <v>701</v>
      </c>
      <c r="X21" s="1033" t="s">
        <v>701</v>
      </c>
      <c r="Y21" s="1033" t="s">
        <v>701</v>
      </c>
      <c r="Z21" s="1033" t="s">
        <v>701</v>
      </c>
      <c r="AA21" s="912"/>
      <c r="AB21" s="1033" t="s">
        <v>701</v>
      </c>
      <c r="AC21" s="1033" t="s">
        <v>701</v>
      </c>
      <c r="AD21" s="1033" t="s">
        <v>701</v>
      </c>
      <c r="AE21" s="1033" t="s">
        <v>701</v>
      </c>
      <c r="AF21" s="1033" t="s">
        <v>701</v>
      </c>
      <c r="AG21" s="1045"/>
    </row>
    <row r="22" spans="4:33" ht="11.25" customHeight="1" x14ac:dyDescent="0.25">
      <c r="D22" s="1153" t="str">
        <f t="shared" ref="D22:I22" si="30">D117</f>
        <v>9R5 Wagga 330 to Wagga North</v>
      </c>
      <c r="E22" s="1154" t="str">
        <f t="shared" si="30"/>
        <v>N2205</v>
      </c>
      <c r="F22" s="1154" t="str">
        <f t="shared" si="30"/>
        <v>Line upgrade - capacity</v>
      </c>
      <c r="G22" s="1154" t="str">
        <f t="shared" si="30"/>
        <v>Net market benefit</v>
      </c>
      <c r="H22" s="1154">
        <f t="shared" si="30"/>
        <v>132</v>
      </c>
      <c r="I22" s="1156">
        <f t="shared" si="30"/>
        <v>0</v>
      </c>
      <c r="J22" s="560" t="str">
        <f>J117</f>
        <v>Single Circuit</v>
      </c>
      <c r="K22" s="561">
        <f t="shared" ref="K22:L22" si="31">K117</f>
        <v>0</v>
      </c>
      <c r="L22" s="541">
        <f t="shared" si="31"/>
        <v>6</v>
      </c>
      <c r="M22" s="1035" t="s">
        <v>701</v>
      </c>
      <c r="N22" s="541" t="str">
        <f t="shared" ref="N22:S22" si="32">N117</f>
        <v>Overhead line</v>
      </c>
      <c r="O22" s="562">
        <f t="shared" si="32"/>
        <v>125</v>
      </c>
      <c r="P22" s="562">
        <f t="shared" si="32"/>
        <v>160</v>
      </c>
      <c r="Q22" s="562">
        <f t="shared" si="32"/>
        <v>137</v>
      </c>
      <c r="R22" s="562">
        <f t="shared" si="32"/>
        <v>180</v>
      </c>
      <c r="S22" s="541">
        <f t="shared" si="32"/>
        <v>0</v>
      </c>
      <c r="T22" s="1035" t="s">
        <v>701</v>
      </c>
      <c r="U22" s="1035" t="s">
        <v>701</v>
      </c>
      <c r="V22" s="542">
        <f>V117</f>
        <v>4378.0621118012423</v>
      </c>
      <c r="W22" s="1035" t="s">
        <v>701</v>
      </c>
      <c r="X22" s="1147" t="s">
        <v>701</v>
      </c>
      <c r="Y22" s="1147" t="s">
        <v>701</v>
      </c>
      <c r="Z22" s="1159"/>
      <c r="AA22" s="1166" t="str">
        <f t="shared" si="2"/>
        <v>3 Years</v>
      </c>
      <c r="AB22" s="1147" t="s">
        <v>701</v>
      </c>
      <c r="AC22" s="1147" t="s">
        <v>701</v>
      </c>
      <c r="AD22" s="1147" t="s">
        <v>701</v>
      </c>
      <c r="AE22" s="1149" t="s">
        <v>701</v>
      </c>
      <c r="AF22" s="1151" t="s">
        <v>701</v>
      </c>
      <c r="AG22" s="1040" t="str">
        <f>AG117</f>
        <v/>
      </c>
    </row>
    <row r="23" spans="4:33" ht="11.25" customHeight="1" x14ac:dyDescent="0.25">
      <c r="D23" s="1092">
        <f t="shared" ref="D23:L23" si="33">D118</f>
        <v>0</v>
      </c>
      <c r="E23" s="1093">
        <f t="shared" si="33"/>
        <v>0</v>
      </c>
      <c r="F23" s="1093">
        <f t="shared" si="33"/>
        <v>0</v>
      </c>
      <c r="G23" s="1093">
        <f t="shared" si="33"/>
        <v>0</v>
      </c>
      <c r="H23" s="1093">
        <f t="shared" si="33"/>
        <v>0</v>
      </c>
      <c r="I23" s="1157">
        <f t="shared" si="33"/>
        <v>0</v>
      </c>
      <c r="J23" s="563">
        <f t="shared" si="33"/>
        <v>0</v>
      </c>
      <c r="K23" s="564">
        <f t="shared" si="33"/>
        <v>0</v>
      </c>
      <c r="L23" s="529">
        <f t="shared" si="33"/>
        <v>0</v>
      </c>
      <c r="M23" s="1036" t="s">
        <v>701</v>
      </c>
      <c r="N23" s="529">
        <f t="shared" ref="N23:S23" si="34">N118</f>
        <v>0</v>
      </c>
      <c r="O23" s="565">
        <f t="shared" si="34"/>
        <v>0</v>
      </c>
      <c r="P23" s="565">
        <f t="shared" si="34"/>
        <v>0</v>
      </c>
      <c r="Q23" s="529">
        <f t="shared" si="34"/>
        <v>0</v>
      </c>
      <c r="R23" s="529">
        <f t="shared" si="34"/>
        <v>0</v>
      </c>
      <c r="S23" s="529">
        <f t="shared" si="34"/>
        <v>0</v>
      </c>
      <c r="T23" s="1036" t="s">
        <v>701</v>
      </c>
      <c r="U23" s="1036" t="s">
        <v>701</v>
      </c>
      <c r="V23" s="529">
        <f t="shared" ref="V23:V28" si="35">V118</f>
        <v>0</v>
      </c>
      <c r="W23" s="1036" t="s">
        <v>701</v>
      </c>
      <c r="X23" s="1148"/>
      <c r="Y23" s="1148"/>
      <c r="Z23" s="1099"/>
      <c r="AA23" s="1100">
        <f t="shared" si="2"/>
        <v>0</v>
      </c>
      <c r="AB23" s="1148"/>
      <c r="AC23" s="1148"/>
      <c r="AD23" s="1148"/>
      <c r="AE23" s="1150"/>
      <c r="AF23" s="1152"/>
      <c r="AG23" s="1041" t="str">
        <f t="shared" ref="AG23:AG28" si="36">AG118</f>
        <v/>
      </c>
    </row>
    <row r="24" spans="4:33" ht="11.25" customHeight="1" x14ac:dyDescent="0.25">
      <c r="D24" s="1092">
        <f t="shared" ref="D24:L24" si="37">D119</f>
        <v>0</v>
      </c>
      <c r="E24" s="1093">
        <f t="shared" si="37"/>
        <v>0</v>
      </c>
      <c r="F24" s="1093">
        <f t="shared" si="37"/>
        <v>0</v>
      </c>
      <c r="G24" s="1093">
        <f t="shared" si="37"/>
        <v>0</v>
      </c>
      <c r="H24" s="1093">
        <f t="shared" si="37"/>
        <v>0</v>
      </c>
      <c r="I24" s="1157">
        <f t="shared" si="37"/>
        <v>0</v>
      </c>
      <c r="J24" s="563">
        <f t="shared" si="37"/>
        <v>0</v>
      </c>
      <c r="K24" s="564">
        <f t="shared" si="37"/>
        <v>0</v>
      </c>
      <c r="L24" s="529">
        <f t="shared" si="37"/>
        <v>0</v>
      </c>
      <c r="M24" s="1036" t="s">
        <v>701</v>
      </c>
      <c r="N24" s="529">
        <f t="shared" ref="N24:S24" si="38">N119</f>
        <v>0</v>
      </c>
      <c r="O24" s="565">
        <f t="shared" si="38"/>
        <v>0</v>
      </c>
      <c r="P24" s="565">
        <f t="shared" si="38"/>
        <v>0</v>
      </c>
      <c r="Q24" s="529">
        <f t="shared" si="38"/>
        <v>0</v>
      </c>
      <c r="R24" s="529">
        <f t="shared" si="38"/>
        <v>0</v>
      </c>
      <c r="S24" s="529">
        <f t="shared" si="38"/>
        <v>0</v>
      </c>
      <c r="T24" s="1036" t="s">
        <v>701</v>
      </c>
      <c r="U24" s="1036" t="s">
        <v>701</v>
      </c>
      <c r="V24" s="529">
        <f t="shared" si="35"/>
        <v>0</v>
      </c>
      <c r="W24" s="1036" t="s">
        <v>701</v>
      </c>
      <c r="X24" s="1148"/>
      <c r="Y24" s="1148"/>
      <c r="Z24" s="1099"/>
      <c r="AA24" s="1100">
        <f t="shared" si="2"/>
        <v>0</v>
      </c>
      <c r="AB24" s="1148"/>
      <c r="AC24" s="1148"/>
      <c r="AD24" s="1148"/>
      <c r="AE24" s="1150"/>
      <c r="AF24" s="1152"/>
      <c r="AG24" s="1041" t="str">
        <f t="shared" si="36"/>
        <v/>
      </c>
    </row>
    <row r="25" spans="4:33" ht="11.25" customHeight="1" x14ac:dyDescent="0.25">
      <c r="D25" s="1092">
        <f t="shared" ref="D25:L25" si="39">D120</f>
        <v>0</v>
      </c>
      <c r="E25" s="1093">
        <f t="shared" si="39"/>
        <v>0</v>
      </c>
      <c r="F25" s="1093">
        <f t="shared" si="39"/>
        <v>0</v>
      </c>
      <c r="G25" s="1093">
        <f t="shared" si="39"/>
        <v>0</v>
      </c>
      <c r="H25" s="1093">
        <f t="shared" si="39"/>
        <v>0</v>
      </c>
      <c r="I25" s="1157">
        <f t="shared" si="39"/>
        <v>0</v>
      </c>
      <c r="J25" s="563">
        <f t="shared" si="39"/>
        <v>0</v>
      </c>
      <c r="K25" s="564">
        <f t="shared" si="39"/>
        <v>0</v>
      </c>
      <c r="L25" s="529">
        <f t="shared" si="39"/>
        <v>0</v>
      </c>
      <c r="M25" s="1036" t="s">
        <v>701</v>
      </c>
      <c r="N25" s="529">
        <f t="shared" ref="N25:S25" si="40">N120</f>
        <v>0</v>
      </c>
      <c r="O25" s="565">
        <f t="shared" si="40"/>
        <v>0</v>
      </c>
      <c r="P25" s="565">
        <f t="shared" si="40"/>
        <v>0</v>
      </c>
      <c r="Q25" s="529">
        <f t="shared" si="40"/>
        <v>0</v>
      </c>
      <c r="R25" s="529">
        <f t="shared" si="40"/>
        <v>0</v>
      </c>
      <c r="S25" s="529">
        <f t="shared" si="40"/>
        <v>0</v>
      </c>
      <c r="T25" s="1036" t="s">
        <v>701</v>
      </c>
      <c r="U25" s="1036" t="s">
        <v>701</v>
      </c>
      <c r="V25" s="529">
        <f t="shared" si="35"/>
        <v>0</v>
      </c>
      <c r="W25" s="1036" t="s">
        <v>701</v>
      </c>
      <c r="X25" s="1148"/>
      <c r="Y25" s="1148"/>
      <c r="Z25" s="1099"/>
      <c r="AA25" s="1100">
        <f t="shared" si="2"/>
        <v>0</v>
      </c>
      <c r="AB25" s="1148"/>
      <c r="AC25" s="1148"/>
      <c r="AD25" s="1148"/>
      <c r="AE25" s="1150"/>
      <c r="AF25" s="1152"/>
      <c r="AG25" s="1041" t="str">
        <f t="shared" si="36"/>
        <v/>
      </c>
    </row>
    <row r="26" spans="4:33" ht="11.25" customHeight="1" x14ac:dyDescent="0.25">
      <c r="D26" s="1092">
        <f t="shared" ref="D26:L26" si="41">D121</f>
        <v>0</v>
      </c>
      <c r="E26" s="1093">
        <f t="shared" si="41"/>
        <v>0</v>
      </c>
      <c r="F26" s="1093">
        <f t="shared" si="41"/>
        <v>0</v>
      </c>
      <c r="G26" s="1093">
        <f t="shared" si="41"/>
        <v>0</v>
      </c>
      <c r="H26" s="1093">
        <f t="shared" si="41"/>
        <v>0</v>
      </c>
      <c r="I26" s="1157">
        <f t="shared" si="41"/>
        <v>0</v>
      </c>
      <c r="J26" s="563">
        <f t="shared" si="41"/>
        <v>0</v>
      </c>
      <c r="K26" s="564">
        <f t="shared" si="41"/>
        <v>0</v>
      </c>
      <c r="L26" s="529">
        <f t="shared" si="41"/>
        <v>0</v>
      </c>
      <c r="M26" s="1036" t="s">
        <v>701</v>
      </c>
      <c r="N26" s="529">
        <f t="shared" ref="N26:S26" si="42">N121</f>
        <v>0</v>
      </c>
      <c r="O26" s="565">
        <f t="shared" si="42"/>
        <v>0</v>
      </c>
      <c r="P26" s="565">
        <f t="shared" si="42"/>
        <v>0</v>
      </c>
      <c r="Q26" s="529">
        <f t="shared" si="42"/>
        <v>0</v>
      </c>
      <c r="R26" s="529">
        <f t="shared" si="42"/>
        <v>0</v>
      </c>
      <c r="S26" s="529">
        <f t="shared" si="42"/>
        <v>0</v>
      </c>
      <c r="T26" s="1036" t="s">
        <v>701</v>
      </c>
      <c r="U26" s="1036" t="s">
        <v>701</v>
      </c>
      <c r="V26" s="529">
        <f t="shared" si="35"/>
        <v>0</v>
      </c>
      <c r="W26" s="1036" t="s">
        <v>701</v>
      </c>
      <c r="X26" s="1148"/>
      <c r="Y26" s="1148"/>
      <c r="Z26" s="1099"/>
      <c r="AA26" s="1100">
        <f t="shared" si="2"/>
        <v>0</v>
      </c>
      <c r="AB26" s="1148"/>
      <c r="AC26" s="1148"/>
      <c r="AD26" s="1148"/>
      <c r="AE26" s="1150"/>
      <c r="AF26" s="1152"/>
      <c r="AG26" s="1041" t="str">
        <f t="shared" si="36"/>
        <v/>
      </c>
    </row>
    <row r="27" spans="4:33" ht="11.25" customHeight="1" x14ac:dyDescent="0.25">
      <c r="D27" s="1092">
        <f t="shared" ref="D27:L27" si="43">D122</f>
        <v>0</v>
      </c>
      <c r="E27" s="1093">
        <f t="shared" si="43"/>
        <v>0</v>
      </c>
      <c r="F27" s="1093">
        <f t="shared" si="43"/>
        <v>0</v>
      </c>
      <c r="G27" s="1093">
        <f t="shared" si="43"/>
        <v>0</v>
      </c>
      <c r="H27" s="1093">
        <f t="shared" si="43"/>
        <v>0</v>
      </c>
      <c r="I27" s="1157">
        <f t="shared" si="43"/>
        <v>0</v>
      </c>
      <c r="J27" s="563">
        <f t="shared" si="43"/>
        <v>0</v>
      </c>
      <c r="K27" s="564">
        <f t="shared" si="43"/>
        <v>0</v>
      </c>
      <c r="L27" s="529">
        <f t="shared" si="43"/>
        <v>0</v>
      </c>
      <c r="M27" s="1036" t="s">
        <v>701</v>
      </c>
      <c r="N27" s="529">
        <f t="shared" ref="N27:S27" si="44">N122</f>
        <v>0</v>
      </c>
      <c r="O27" s="565">
        <f t="shared" si="44"/>
        <v>0</v>
      </c>
      <c r="P27" s="565">
        <f t="shared" si="44"/>
        <v>0</v>
      </c>
      <c r="Q27" s="529">
        <f t="shared" si="44"/>
        <v>0</v>
      </c>
      <c r="R27" s="529">
        <f t="shared" si="44"/>
        <v>0</v>
      </c>
      <c r="S27" s="529">
        <f t="shared" si="44"/>
        <v>0</v>
      </c>
      <c r="T27" s="1036" t="s">
        <v>701</v>
      </c>
      <c r="U27" s="1036" t="s">
        <v>701</v>
      </c>
      <c r="V27" s="529">
        <f t="shared" si="35"/>
        <v>0</v>
      </c>
      <c r="W27" s="1036" t="s">
        <v>701</v>
      </c>
      <c r="X27" s="1148"/>
      <c r="Y27" s="1148"/>
      <c r="Z27" s="1099"/>
      <c r="AA27" s="1100">
        <f t="shared" si="2"/>
        <v>0</v>
      </c>
      <c r="AB27" s="1148"/>
      <c r="AC27" s="1148"/>
      <c r="AD27" s="1148"/>
      <c r="AE27" s="1150"/>
      <c r="AF27" s="1152"/>
      <c r="AG27" s="1041" t="str">
        <f t="shared" si="36"/>
        <v/>
      </c>
    </row>
    <row r="28" spans="4:33" ht="11.25" customHeight="1" x14ac:dyDescent="0.25">
      <c r="D28" s="1092">
        <f t="shared" ref="D28:L28" si="45">D123</f>
        <v>0</v>
      </c>
      <c r="E28" s="1155">
        <f t="shared" si="45"/>
        <v>0</v>
      </c>
      <c r="F28" s="1155">
        <f t="shared" si="45"/>
        <v>0</v>
      </c>
      <c r="G28" s="1155">
        <f t="shared" si="45"/>
        <v>0</v>
      </c>
      <c r="H28" s="1155">
        <f t="shared" si="45"/>
        <v>0</v>
      </c>
      <c r="I28" s="1158">
        <f t="shared" si="45"/>
        <v>0</v>
      </c>
      <c r="J28" s="566">
        <f t="shared" si="45"/>
        <v>0</v>
      </c>
      <c r="K28" s="567">
        <f t="shared" si="45"/>
        <v>0</v>
      </c>
      <c r="L28" s="568">
        <f t="shared" si="45"/>
        <v>0</v>
      </c>
      <c r="M28" s="1037" t="s">
        <v>701</v>
      </c>
      <c r="N28" s="568">
        <f t="shared" ref="N28:S28" si="46">N123</f>
        <v>0</v>
      </c>
      <c r="O28" s="569">
        <f t="shared" si="46"/>
        <v>0</v>
      </c>
      <c r="P28" s="569">
        <f t="shared" si="46"/>
        <v>0</v>
      </c>
      <c r="Q28" s="568">
        <f t="shared" si="46"/>
        <v>0</v>
      </c>
      <c r="R28" s="568">
        <f t="shared" si="46"/>
        <v>0</v>
      </c>
      <c r="S28" s="568">
        <f t="shared" si="46"/>
        <v>0</v>
      </c>
      <c r="T28" s="1037" t="s">
        <v>701</v>
      </c>
      <c r="U28" s="1037" t="s">
        <v>701</v>
      </c>
      <c r="V28" s="568">
        <f t="shared" si="35"/>
        <v>0</v>
      </c>
      <c r="W28" s="1037" t="s">
        <v>701</v>
      </c>
      <c r="X28" s="1148"/>
      <c r="Y28" s="1148"/>
      <c r="Z28" s="1099"/>
      <c r="AA28" s="1100">
        <f t="shared" si="2"/>
        <v>0</v>
      </c>
      <c r="AB28" s="1148"/>
      <c r="AC28" s="1148"/>
      <c r="AD28" s="1148"/>
      <c r="AE28" s="1150"/>
      <c r="AF28" s="1152"/>
      <c r="AG28" s="1044" t="str">
        <f t="shared" si="36"/>
        <v/>
      </c>
    </row>
    <row r="29" spans="4:33" ht="11.25" customHeight="1" thickBot="1" x14ac:dyDescent="0.25">
      <c r="D29" s="532" t="s">
        <v>418</v>
      </c>
      <c r="E29" s="570"/>
      <c r="F29" s="571"/>
      <c r="G29" s="571"/>
      <c r="H29" s="571"/>
      <c r="I29" s="572"/>
      <c r="J29" s="573"/>
      <c r="K29" s="908">
        <f>SUM(K22:K28)</f>
        <v>0</v>
      </c>
      <c r="L29" s="908">
        <f t="shared" ref="L29" si="47">SUM(L22:L28)</f>
        <v>6</v>
      </c>
      <c r="M29" s="1033" t="s">
        <v>701</v>
      </c>
      <c r="N29" s="909"/>
      <c r="O29" s="910"/>
      <c r="P29" s="910"/>
      <c r="Q29" s="910"/>
      <c r="R29" s="910"/>
      <c r="S29" s="908">
        <f t="shared" ref="S29:V29" si="48">SUM(S22:S28)</f>
        <v>0</v>
      </c>
      <c r="T29" s="1033" t="s">
        <v>701</v>
      </c>
      <c r="U29" s="1038" t="s">
        <v>701</v>
      </c>
      <c r="V29" s="911">
        <f t="shared" si="48"/>
        <v>4378.0621118012423</v>
      </c>
      <c r="W29" s="1033" t="s">
        <v>701</v>
      </c>
      <c r="X29" s="1033" t="s">
        <v>701</v>
      </c>
      <c r="Y29" s="1033" t="s">
        <v>701</v>
      </c>
      <c r="Z29" s="1033" t="s">
        <v>701</v>
      </c>
      <c r="AA29" s="912"/>
      <c r="AB29" s="1033" t="s">
        <v>701</v>
      </c>
      <c r="AC29" s="1033" t="s">
        <v>701</v>
      </c>
      <c r="AD29" s="1033" t="s">
        <v>701</v>
      </c>
      <c r="AE29" s="1033" t="s">
        <v>701</v>
      </c>
      <c r="AF29" s="1033" t="s">
        <v>701</v>
      </c>
      <c r="AG29" s="1045"/>
    </row>
    <row r="30" spans="4:33" ht="11.25" customHeight="1" x14ac:dyDescent="0.25">
      <c r="D30" s="1153" t="str">
        <f t="shared" ref="D30:I30" si="49">D125</f>
        <v>9R6 Wagga 132 to Wagga North</v>
      </c>
      <c r="E30" s="1154" t="str">
        <f t="shared" si="49"/>
        <v>N2205</v>
      </c>
      <c r="F30" s="1154" t="str">
        <f t="shared" si="49"/>
        <v>Line upgrade - capacity</v>
      </c>
      <c r="G30" s="1154" t="str">
        <f t="shared" si="49"/>
        <v>Net market benefit</v>
      </c>
      <c r="H30" s="1154">
        <f t="shared" si="49"/>
        <v>132</v>
      </c>
      <c r="I30" s="1156">
        <f t="shared" si="49"/>
        <v>0</v>
      </c>
      <c r="J30" s="560" t="str">
        <f>J125</f>
        <v>Single Circuit</v>
      </c>
      <c r="K30" s="561">
        <f t="shared" ref="K30:L30" si="50">K125</f>
        <v>0</v>
      </c>
      <c r="L30" s="541">
        <f t="shared" si="50"/>
        <v>7</v>
      </c>
      <c r="M30" s="1035" t="s">
        <v>701</v>
      </c>
      <c r="N30" s="541" t="str">
        <f t="shared" ref="N30:S30" si="51">N125</f>
        <v>Overhead line</v>
      </c>
      <c r="O30" s="562">
        <f t="shared" si="51"/>
        <v>125</v>
      </c>
      <c r="P30" s="562">
        <f t="shared" si="51"/>
        <v>160</v>
      </c>
      <c r="Q30" s="562">
        <f t="shared" si="51"/>
        <v>137</v>
      </c>
      <c r="R30" s="562">
        <f t="shared" si="51"/>
        <v>180</v>
      </c>
      <c r="S30" s="541">
        <f t="shared" si="51"/>
        <v>0</v>
      </c>
      <c r="T30" s="1035" t="s">
        <v>701</v>
      </c>
      <c r="U30" s="1035" t="s">
        <v>701</v>
      </c>
      <c r="V30" s="542">
        <f>V125</f>
        <v>3383.6149068322979</v>
      </c>
      <c r="W30" s="1035" t="s">
        <v>701</v>
      </c>
      <c r="X30" s="1147" t="s">
        <v>701</v>
      </c>
      <c r="Y30" s="1147" t="s">
        <v>701</v>
      </c>
      <c r="Z30" s="1159"/>
      <c r="AA30" s="1166" t="str">
        <f t="shared" si="2"/>
        <v>3 Years</v>
      </c>
      <c r="AB30" s="1147" t="s">
        <v>701</v>
      </c>
      <c r="AC30" s="1147" t="s">
        <v>701</v>
      </c>
      <c r="AD30" s="1147" t="s">
        <v>701</v>
      </c>
      <c r="AE30" s="1149" t="s">
        <v>701</v>
      </c>
      <c r="AF30" s="1151" t="s">
        <v>701</v>
      </c>
      <c r="AG30" s="1040" t="str">
        <f>AG125</f>
        <v/>
      </c>
    </row>
    <row r="31" spans="4:33" ht="11.25" customHeight="1" x14ac:dyDescent="0.25">
      <c r="D31" s="1092">
        <f t="shared" ref="D31:L31" si="52">D126</f>
        <v>0</v>
      </c>
      <c r="E31" s="1093">
        <f t="shared" si="52"/>
        <v>0</v>
      </c>
      <c r="F31" s="1093">
        <f t="shared" si="52"/>
        <v>0</v>
      </c>
      <c r="G31" s="1093">
        <f t="shared" si="52"/>
        <v>0</v>
      </c>
      <c r="H31" s="1093">
        <f t="shared" si="52"/>
        <v>0</v>
      </c>
      <c r="I31" s="1157">
        <f t="shared" si="52"/>
        <v>0</v>
      </c>
      <c r="J31" s="563">
        <f t="shared" si="52"/>
        <v>0</v>
      </c>
      <c r="K31" s="564">
        <f t="shared" si="52"/>
        <v>0</v>
      </c>
      <c r="L31" s="529">
        <f t="shared" si="52"/>
        <v>0</v>
      </c>
      <c r="M31" s="1036" t="s">
        <v>701</v>
      </c>
      <c r="N31" s="529">
        <f t="shared" ref="N31:S31" si="53">N126</f>
        <v>0</v>
      </c>
      <c r="O31" s="565">
        <f t="shared" si="53"/>
        <v>0</v>
      </c>
      <c r="P31" s="565">
        <f t="shared" si="53"/>
        <v>0</v>
      </c>
      <c r="Q31" s="529">
        <f t="shared" si="53"/>
        <v>0</v>
      </c>
      <c r="R31" s="529">
        <f t="shared" si="53"/>
        <v>0</v>
      </c>
      <c r="S31" s="529">
        <f t="shared" si="53"/>
        <v>0</v>
      </c>
      <c r="T31" s="1036" t="s">
        <v>701</v>
      </c>
      <c r="U31" s="1036" t="s">
        <v>701</v>
      </c>
      <c r="V31" s="529">
        <f t="shared" ref="V31:V36" si="54">V126</f>
        <v>0</v>
      </c>
      <c r="W31" s="1036" t="s">
        <v>701</v>
      </c>
      <c r="X31" s="1148"/>
      <c r="Y31" s="1148"/>
      <c r="Z31" s="1099"/>
      <c r="AA31" s="1100">
        <f t="shared" si="2"/>
        <v>0</v>
      </c>
      <c r="AB31" s="1148"/>
      <c r="AC31" s="1148"/>
      <c r="AD31" s="1148"/>
      <c r="AE31" s="1150"/>
      <c r="AF31" s="1152"/>
      <c r="AG31" s="1041" t="str">
        <f t="shared" ref="AG31:AG36" si="55">AG126</f>
        <v/>
      </c>
    </row>
    <row r="32" spans="4:33" ht="11.25" customHeight="1" x14ac:dyDescent="0.25">
      <c r="D32" s="1092">
        <f t="shared" ref="D32:L32" si="56">D127</f>
        <v>0</v>
      </c>
      <c r="E32" s="1093">
        <f t="shared" si="56"/>
        <v>0</v>
      </c>
      <c r="F32" s="1093">
        <f t="shared" si="56"/>
        <v>0</v>
      </c>
      <c r="G32" s="1093">
        <f t="shared" si="56"/>
        <v>0</v>
      </c>
      <c r="H32" s="1093">
        <f t="shared" si="56"/>
        <v>0</v>
      </c>
      <c r="I32" s="1157">
        <f t="shared" si="56"/>
        <v>0</v>
      </c>
      <c r="J32" s="563">
        <f t="shared" si="56"/>
        <v>0</v>
      </c>
      <c r="K32" s="564">
        <f t="shared" si="56"/>
        <v>0</v>
      </c>
      <c r="L32" s="529">
        <f t="shared" si="56"/>
        <v>0</v>
      </c>
      <c r="M32" s="1036" t="s">
        <v>701</v>
      </c>
      <c r="N32" s="529">
        <f t="shared" ref="N32:S32" si="57">N127</f>
        <v>0</v>
      </c>
      <c r="O32" s="565">
        <f t="shared" si="57"/>
        <v>0</v>
      </c>
      <c r="P32" s="565">
        <f t="shared" si="57"/>
        <v>0</v>
      </c>
      <c r="Q32" s="529">
        <f t="shared" si="57"/>
        <v>0</v>
      </c>
      <c r="R32" s="529">
        <f t="shared" si="57"/>
        <v>0</v>
      </c>
      <c r="S32" s="529">
        <f t="shared" si="57"/>
        <v>0</v>
      </c>
      <c r="T32" s="1036" t="s">
        <v>701</v>
      </c>
      <c r="U32" s="1036" t="s">
        <v>701</v>
      </c>
      <c r="V32" s="529">
        <f t="shared" si="54"/>
        <v>0</v>
      </c>
      <c r="W32" s="1036" t="s">
        <v>701</v>
      </c>
      <c r="X32" s="1148"/>
      <c r="Y32" s="1148"/>
      <c r="Z32" s="1099"/>
      <c r="AA32" s="1100">
        <f t="shared" si="2"/>
        <v>0</v>
      </c>
      <c r="AB32" s="1148"/>
      <c r="AC32" s="1148"/>
      <c r="AD32" s="1148"/>
      <c r="AE32" s="1150"/>
      <c r="AF32" s="1152"/>
      <c r="AG32" s="1041" t="str">
        <f t="shared" si="55"/>
        <v/>
      </c>
    </row>
    <row r="33" spans="4:33" ht="11.25" customHeight="1" x14ac:dyDescent="0.25">
      <c r="D33" s="1092">
        <f t="shared" ref="D33:L33" si="58">D128</f>
        <v>0</v>
      </c>
      <c r="E33" s="1093">
        <f t="shared" si="58"/>
        <v>0</v>
      </c>
      <c r="F33" s="1093">
        <f t="shared" si="58"/>
        <v>0</v>
      </c>
      <c r="G33" s="1093">
        <f t="shared" si="58"/>
        <v>0</v>
      </c>
      <c r="H33" s="1093">
        <f t="shared" si="58"/>
        <v>0</v>
      </c>
      <c r="I33" s="1157">
        <f t="shared" si="58"/>
        <v>0</v>
      </c>
      <c r="J33" s="563">
        <f t="shared" si="58"/>
        <v>0</v>
      </c>
      <c r="K33" s="564">
        <f t="shared" si="58"/>
        <v>0</v>
      </c>
      <c r="L33" s="529">
        <f t="shared" si="58"/>
        <v>0</v>
      </c>
      <c r="M33" s="1036" t="s">
        <v>701</v>
      </c>
      <c r="N33" s="529">
        <f t="shared" ref="N33:S33" si="59">N128</f>
        <v>0</v>
      </c>
      <c r="O33" s="565">
        <f t="shared" si="59"/>
        <v>0</v>
      </c>
      <c r="P33" s="565">
        <f t="shared" si="59"/>
        <v>0</v>
      </c>
      <c r="Q33" s="529">
        <f t="shared" si="59"/>
        <v>0</v>
      </c>
      <c r="R33" s="529">
        <f t="shared" si="59"/>
        <v>0</v>
      </c>
      <c r="S33" s="529">
        <f t="shared" si="59"/>
        <v>0</v>
      </c>
      <c r="T33" s="1036" t="s">
        <v>701</v>
      </c>
      <c r="U33" s="1036" t="s">
        <v>701</v>
      </c>
      <c r="V33" s="529">
        <f t="shared" si="54"/>
        <v>0</v>
      </c>
      <c r="W33" s="1036" t="s">
        <v>701</v>
      </c>
      <c r="X33" s="1148"/>
      <c r="Y33" s="1148"/>
      <c r="Z33" s="1099"/>
      <c r="AA33" s="1100">
        <f t="shared" si="2"/>
        <v>0</v>
      </c>
      <c r="AB33" s="1148"/>
      <c r="AC33" s="1148"/>
      <c r="AD33" s="1148"/>
      <c r="AE33" s="1150"/>
      <c r="AF33" s="1152"/>
      <c r="AG33" s="1041" t="str">
        <f t="shared" si="55"/>
        <v/>
      </c>
    </row>
    <row r="34" spans="4:33" ht="11.25" customHeight="1" x14ac:dyDescent="0.25">
      <c r="D34" s="1092">
        <f t="shared" ref="D34:L34" si="60">D129</f>
        <v>0</v>
      </c>
      <c r="E34" s="1093">
        <f t="shared" si="60"/>
        <v>0</v>
      </c>
      <c r="F34" s="1093">
        <f t="shared" si="60"/>
        <v>0</v>
      </c>
      <c r="G34" s="1093">
        <f t="shared" si="60"/>
        <v>0</v>
      </c>
      <c r="H34" s="1093">
        <f t="shared" si="60"/>
        <v>0</v>
      </c>
      <c r="I34" s="1157">
        <f t="shared" si="60"/>
        <v>0</v>
      </c>
      <c r="J34" s="563">
        <f t="shared" si="60"/>
        <v>0</v>
      </c>
      <c r="K34" s="564">
        <f t="shared" si="60"/>
        <v>0</v>
      </c>
      <c r="L34" s="529">
        <f t="shared" si="60"/>
        <v>0</v>
      </c>
      <c r="M34" s="1036" t="s">
        <v>701</v>
      </c>
      <c r="N34" s="529">
        <f t="shared" ref="N34:S34" si="61">N129</f>
        <v>0</v>
      </c>
      <c r="O34" s="565">
        <f t="shared" si="61"/>
        <v>0</v>
      </c>
      <c r="P34" s="565">
        <f t="shared" si="61"/>
        <v>0</v>
      </c>
      <c r="Q34" s="529">
        <f t="shared" si="61"/>
        <v>0</v>
      </c>
      <c r="R34" s="529">
        <f t="shared" si="61"/>
        <v>0</v>
      </c>
      <c r="S34" s="529">
        <f t="shared" si="61"/>
        <v>0</v>
      </c>
      <c r="T34" s="1036" t="s">
        <v>701</v>
      </c>
      <c r="U34" s="1036" t="s">
        <v>701</v>
      </c>
      <c r="V34" s="529">
        <f t="shared" si="54"/>
        <v>0</v>
      </c>
      <c r="W34" s="1036" t="s">
        <v>701</v>
      </c>
      <c r="X34" s="1148"/>
      <c r="Y34" s="1148"/>
      <c r="Z34" s="1099"/>
      <c r="AA34" s="1100">
        <f t="shared" si="2"/>
        <v>0</v>
      </c>
      <c r="AB34" s="1148"/>
      <c r="AC34" s="1148"/>
      <c r="AD34" s="1148"/>
      <c r="AE34" s="1150"/>
      <c r="AF34" s="1152"/>
      <c r="AG34" s="1041" t="str">
        <f t="shared" si="55"/>
        <v/>
      </c>
    </row>
    <row r="35" spans="4:33" ht="11.25" customHeight="1" x14ac:dyDescent="0.25">
      <c r="D35" s="1092">
        <f t="shared" ref="D35:L35" si="62">D130</f>
        <v>0</v>
      </c>
      <c r="E35" s="1093">
        <f t="shared" si="62"/>
        <v>0</v>
      </c>
      <c r="F35" s="1093">
        <f t="shared" si="62"/>
        <v>0</v>
      </c>
      <c r="G35" s="1093">
        <f t="shared" si="62"/>
        <v>0</v>
      </c>
      <c r="H35" s="1093">
        <f t="shared" si="62"/>
        <v>0</v>
      </c>
      <c r="I35" s="1157">
        <f t="shared" si="62"/>
        <v>0</v>
      </c>
      <c r="J35" s="563">
        <f t="shared" si="62"/>
        <v>0</v>
      </c>
      <c r="K35" s="564">
        <f t="shared" si="62"/>
        <v>0</v>
      </c>
      <c r="L35" s="529">
        <f t="shared" si="62"/>
        <v>0</v>
      </c>
      <c r="M35" s="1036" t="s">
        <v>701</v>
      </c>
      <c r="N35" s="529">
        <f t="shared" ref="N35:S35" si="63">N130</f>
        <v>0</v>
      </c>
      <c r="O35" s="565">
        <f t="shared" si="63"/>
        <v>0</v>
      </c>
      <c r="P35" s="565">
        <f t="shared" si="63"/>
        <v>0</v>
      </c>
      <c r="Q35" s="529">
        <f t="shared" si="63"/>
        <v>0</v>
      </c>
      <c r="R35" s="529">
        <f t="shared" si="63"/>
        <v>0</v>
      </c>
      <c r="S35" s="529">
        <f t="shared" si="63"/>
        <v>0</v>
      </c>
      <c r="T35" s="1036" t="s">
        <v>701</v>
      </c>
      <c r="U35" s="1036" t="s">
        <v>701</v>
      </c>
      <c r="V35" s="529">
        <f t="shared" si="54"/>
        <v>0</v>
      </c>
      <c r="W35" s="1036" t="s">
        <v>701</v>
      </c>
      <c r="X35" s="1148"/>
      <c r="Y35" s="1148"/>
      <c r="Z35" s="1099"/>
      <c r="AA35" s="1100">
        <f t="shared" si="2"/>
        <v>0</v>
      </c>
      <c r="AB35" s="1148"/>
      <c r="AC35" s="1148"/>
      <c r="AD35" s="1148"/>
      <c r="AE35" s="1150"/>
      <c r="AF35" s="1152"/>
      <c r="AG35" s="1041" t="str">
        <f t="shared" si="55"/>
        <v/>
      </c>
    </row>
    <row r="36" spans="4:33" ht="11.25" customHeight="1" x14ac:dyDescent="0.25">
      <c r="D36" s="1092">
        <f t="shared" ref="D36:L36" si="64">D131</f>
        <v>0</v>
      </c>
      <c r="E36" s="1155">
        <f t="shared" si="64"/>
        <v>0</v>
      </c>
      <c r="F36" s="1155">
        <f t="shared" si="64"/>
        <v>0</v>
      </c>
      <c r="G36" s="1155">
        <f t="shared" si="64"/>
        <v>0</v>
      </c>
      <c r="H36" s="1155">
        <f t="shared" si="64"/>
        <v>0</v>
      </c>
      <c r="I36" s="1158">
        <f t="shared" si="64"/>
        <v>0</v>
      </c>
      <c r="J36" s="566">
        <f t="shared" si="64"/>
        <v>0</v>
      </c>
      <c r="K36" s="567">
        <f t="shared" si="64"/>
        <v>0</v>
      </c>
      <c r="L36" s="568">
        <f t="shared" si="64"/>
        <v>0</v>
      </c>
      <c r="M36" s="1037" t="s">
        <v>701</v>
      </c>
      <c r="N36" s="568">
        <f t="shared" ref="N36:S36" si="65">N131</f>
        <v>0</v>
      </c>
      <c r="O36" s="569">
        <f t="shared" si="65"/>
        <v>0</v>
      </c>
      <c r="P36" s="569">
        <f t="shared" si="65"/>
        <v>0</v>
      </c>
      <c r="Q36" s="568">
        <f t="shared" si="65"/>
        <v>0</v>
      </c>
      <c r="R36" s="568">
        <f t="shared" si="65"/>
        <v>0</v>
      </c>
      <c r="S36" s="568">
        <f t="shared" si="65"/>
        <v>0</v>
      </c>
      <c r="T36" s="1037" t="s">
        <v>701</v>
      </c>
      <c r="U36" s="1037" t="s">
        <v>701</v>
      </c>
      <c r="V36" s="568">
        <f t="shared" si="54"/>
        <v>0</v>
      </c>
      <c r="W36" s="1037" t="s">
        <v>701</v>
      </c>
      <c r="X36" s="1148"/>
      <c r="Y36" s="1148"/>
      <c r="Z36" s="1099"/>
      <c r="AA36" s="1100">
        <f t="shared" si="2"/>
        <v>0</v>
      </c>
      <c r="AB36" s="1148"/>
      <c r="AC36" s="1148"/>
      <c r="AD36" s="1148"/>
      <c r="AE36" s="1150"/>
      <c r="AF36" s="1152"/>
      <c r="AG36" s="1044" t="str">
        <f t="shared" si="55"/>
        <v/>
      </c>
    </row>
    <row r="37" spans="4:33" ht="11.25" customHeight="1" thickBot="1" x14ac:dyDescent="0.25">
      <c r="D37" s="532" t="s">
        <v>418</v>
      </c>
      <c r="E37" s="570"/>
      <c r="F37" s="571"/>
      <c r="G37" s="571"/>
      <c r="H37" s="571"/>
      <c r="I37" s="572"/>
      <c r="J37" s="573"/>
      <c r="K37" s="908">
        <f>SUM(K30:K36)</f>
        <v>0</v>
      </c>
      <c r="L37" s="908">
        <f t="shared" ref="L37" si="66">SUM(L30:L36)</f>
        <v>7</v>
      </c>
      <c r="M37" s="1033" t="s">
        <v>701</v>
      </c>
      <c r="N37" s="909"/>
      <c r="O37" s="910"/>
      <c r="P37" s="910"/>
      <c r="Q37" s="910"/>
      <c r="R37" s="910"/>
      <c r="S37" s="908">
        <f t="shared" ref="S37:V37" si="67">SUM(S30:S36)</f>
        <v>0</v>
      </c>
      <c r="T37" s="1033" t="s">
        <v>701</v>
      </c>
      <c r="U37" s="1038" t="s">
        <v>701</v>
      </c>
      <c r="V37" s="911">
        <f t="shared" si="67"/>
        <v>3383.6149068322979</v>
      </c>
      <c r="W37" s="1033" t="s">
        <v>701</v>
      </c>
      <c r="X37" s="1033" t="s">
        <v>701</v>
      </c>
      <c r="Y37" s="1033" t="s">
        <v>701</v>
      </c>
      <c r="Z37" s="1033" t="s">
        <v>701</v>
      </c>
      <c r="AA37" s="912"/>
      <c r="AB37" s="1033" t="s">
        <v>701</v>
      </c>
      <c r="AC37" s="1033" t="s">
        <v>701</v>
      </c>
      <c r="AD37" s="1033" t="s">
        <v>701</v>
      </c>
      <c r="AE37" s="1033" t="s">
        <v>701</v>
      </c>
      <c r="AF37" s="1033" t="s">
        <v>701</v>
      </c>
      <c r="AG37" s="1045"/>
    </row>
    <row r="38" spans="4:33" ht="11.25" customHeight="1" x14ac:dyDescent="0.25">
      <c r="D38" s="1153" t="str">
        <f t="shared" ref="D38:I38" si="68">D133</f>
        <v>Cable 46</v>
      </c>
      <c r="E38" s="1154" t="str">
        <f t="shared" si="68"/>
        <v>DCN43</v>
      </c>
      <c r="F38" s="1154" t="str">
        <f t="shared" si="68"/>
        <v>New line on new route - single circuit</v>
      </c>
      <c r="G38" s="1154" t="str">
        <f t="shared" si="68"/>
        <v>Demand growth</v>
      </c>
      <c r="H38" s="1154">
        <f t="shared" si="68"/>
        <v>330</v>
      </c>
      <c r="I38" s="1156">
        <f t="shared" si="68"/>
        <v>20</v>
      </c>
      <c r="J38" s="560">
        <f>J133</f>
        <v>0</v>
      </c>
      <c r="K38" s="561">
        <f t="shared" ref="K38:L38" si="69">K133</f>
        <v>0</v>
      </c>
      <c r="L38" s="541">
        <f t="shared" si="69"/>
        <v>0</v>
      </c>
      <c r="M38" s="1035" t="s">
        <v>701</v>
      </c>
      <c r="N38" s="541" t="str">
        <f t="shared" ref="N38:S38" si="70">N133</f>
        <v>Cable</v>
      </c>
      <c r="O38" s="562">
        <f t="shared" si="70"/>
        <v>0</v>
      </c>
      <c r="P38" s="562">
        <f t="shared" si="70"/>
        <v>750</v>
      </c>
      <c r="Q38" s="562">
        <f t="shared" si="70"/>
        <v>0</v>
      </c>
      <c r="R38" s="562">
        <f t="shared" si="70"/>
        <v>900</v>
      </c>
      <c r="S38" s="541">
        <f t="shared" si="70"/>
        <v>20</v>
      </c>
      <c r="T38" s="1035" t="s">
        <v>701</v>
      </c>
      <c r="U38" s="1035" t="s">
        <v>701</v>
      </c>
      <c r="V38" s="542">
        <f>V133</f>
        <v>76696.168260085862</v>
      </c>
      <c r="W38" s="1035" t="s">
        <v>701</v>
      </c>
      <c r="X38" s="1147" t="s">
        <v>701</v>
      </c>
      <c r="Y38" s="1147" t="s">
        <v>701</v>
      </c>
      <c r="Z38" s="1159"/>
      <c r="AA38" s="1166">
        <f t="shared" si="2"/>
        <v>0</v>
      </c>
      <c r="AB38" s="1147" t="s">
        <v>701</v>
      </c>
      <c r="AC38" s="1147" t="s">
        <v>701</v>
      </c>
      <c r="AD38" s="1147" t="s">
        <v>701</v>
      </c>
      <c r="AE38" s="1149" t="s">
        <v>701</v>
      </c>
      <c r="AF38" s="1151" t="s">
        <v>701</v>
      </c>
      <c r="AG38" s="1040" t="str">
        <f>AG133</f>
        <v/>
      </c>
    </row>
    <row r="39" spans="4:33" ht="11.25" customHeight="1" x14ac:dyDescent="0.25">
      <c r="D39" s="1092">
        <f t="shared" ref="D39:L39" si="71">D134</f>
        <v>0</v>
      </c>
      <c r="E39" s="1093">
        <f t="shared" si="71"/>
        <v>0</v>
      </c>
      <c r="F39" s="1093">
        <f t="shared" si="71"/>
        <v>0</v>
      </c>
      <c r="G39" s="1093">
        <f t="shared" si="71"/>
        <v>0</v>
      </c>
      <c r="H39" s="1093">
        <f t="shared" si="71"/>
        <v>0</v>
      </c>
      <c r="I39" s="1157">
        <f t="shared" si="71"/>
        <v>0</v>
      </c>
      <c r="J39" s="563">
        <f t="shared" si="71"/>
        <v>0</v>
      </c>
      <c r="K39" s="564">
        <f t="shared" si="71"/>
        <v>0</v>
      </c>
      <c r="L39" s="529">
        <f t="shared" si="71"/>
        <v>0</v>
      </c>
      <c r="M39" s="1036" t="s">
        <v>701</v>
      </c>
      <c r="N39" s="529">
        <f t="shared" ref="N39:S39" si="72">N134</f>
        <v>0</v>
      </c>
      <c r="O39" s="565">
        <f t="shared" si="72"/>
        <v>0</v>
      </c>
      <c r="P39" s="565">
        <f t="shared" si="72"/>
        <v>0</v>
      </c>
      <c r="Q39" s="529">
        <f t="shared" si="72"/>
        <v>0</v>
      </c>
      <c r="R39" s="529">
        <f t="shared" si="72"/>
        <v>0</v>
      </c>
      <c r="S39" s="529">
        <f t="shared" si="72"/>
        <v>0</v>
      </c>
      <c r="T39" s="1036" t="s">
        <v>701</v>
      </c>
      <c r="U39" s="1036" t="s">
        <v>701</v>
      </c>
      <c r="V39" s="529">
        <f t="shared" ref="V39:V44" si="73">V134</f>
        <v>0</v>
      </c>
      <c r="W39" s="1036" t="s">
        <v>701</v>
      </c>
      <c r="X39" s="1148"/>
      <c r="Y39" s="1148"/>
      <c r="Z39" s="1099"/>
      <c r="AA39" s="1100">
        <f t="shared" si="2"/>
        <v>0</v>
      </c>
      <c r="AB39" s="1148"/>
      <c r="AC39" s="1148"/>
      <c r="AD39" s="1148"/>
      <c r="AE39" s="1150"/>
      <c r="AF39" s="1152"/>
      <c r="AG39" s="1041" t="str">
        <f t="shared" ref="AG39:AG44" si="74">AG134</f>
        <v/>
      </c>
    </row>
    <row r="40" spans="4:33" ht="11.25" customHeight="1" x14ac:dyDescent="0.25">
      <c r="D40" s="1092">
        <f t="shared" ref="D40:L40" si="75">D135</f>
        <v>0</v>
      </c>
      <c r="E40" s="1093">
        <f t="shared" si="75"/>
        <v>0</v>
      </c>
      <c r="F40" s="1093">
        <f t="shared" si="75"/>
        <v>0</v>
      </c>
      <c r="G40" s="1093">
        <f t="shared" si="75"/>
        <v>0</v>
      </c>
      <c r="H40" s="1093">
        <f t="shared" si="75"/>
        <v>0</v>
      </c>
      <c r="I40" s="1157">
        <f t="shared" si="75"/>
        <v>0</v>
      </c>
      <c r="J40" s="563">
        <f t="shared" si="75"/>
        <v>0</v>
      </c>
      <c r="K40" s="564">
        <f t="shared" si="75"/>
        <v>0</v>
      </c>
      <c r="L40" s="529">
        <f t="shared" si="75"/>
        <v>0</v>
      </c>
      <c r="M40" s="1036" t="s">
        <v>701</v>
      </c>
      <c r="N40" s="529">
        <f t="shared" ref="N40:S40" si="76">N135</f>
        <v>0</v>
      </c>
      <c r="O40" s="565">
        <f t="shared" si="76"/>
        <v>0</v>
      </c>
      <c r="P40" s="565">
        <f t="shared" si="76"/>
        <v>0</v>
      </c>
      <c r="Q40" s="529">
        <f t="shared" si="76"/>
        <v>0</v>
      </c>
      <c r="R40" s="529">
        <f t="shared" si="76"/>
        <v>0</v>
      </c>
      <c r="S40" s="529">
        <f t="shared" si="76"/>
        <v>0</v>
      </c>
      <c r="T40" s="1036" t="s">
        <v>701</v>
      </c>
      <c r="U40" s="1036" t="s">
        <v>701</v>
      </c>
      <c r="V40" s="529">
        <f t="shared" si="73"/>
        <v>0</v>
      </c>
      <c r="W40" s="1036" t="s">
        <v>701</v>
      </c>
      <c r="X40" s="1148"/>
      <c r="Y40" s="1148"/>
      <c r="Z40" s="1099"/>
      <c r="AA40" s="1100">
        <f t="shared" si="2"/>
        <v>0</v>
      </c>
      <c r="AB40" s="1148"/>
      <c r="AC40" s="1148"/>
      <c r="AD40" s="1148"/>
      <c r="AE40" s="1150"/>
      <c r="AF40" s="1152"/>
      <c r="AG40" s="1041" t="str">
        <f t="shared" si="74"/>
        <v/>
      </c>
    </row>
    <row r="41" spans="4:33" ht="11.25" customHeight="1" x14ac:dyDescent="0.25">
      <c r="D41" s="1092">
        <f t="shared" ref="D41:L41" si="77">D136</f>
        <v>0</v>
      </c>
      <c r="E41" s="1093">
        <f t="shared" si="77"/>
        <v>0</v>
      </c>
      <c r="F41" s="1093">
        <f t="shared" si="77"/>
        <v>0</v>
      </c>
      <c r="G41" s="1093">
        <f t="shared" si="77"/>
        <v>0</v>
      </c>
      <c r="H41" s="1093">
        <f t="shared" si="77"/>
        <v>0</v>
      </c>
      <c r="I41" s="1157">
        <f t="shared" si="77"/>
        <v>0</v>
      </c>
      <c r="J41" s="563">
        <f t="shared" si="77"/>
        <v>0</v>
      </c>
      <c r="K41" s="564">
        <f t="shared" si="77"/>
        <v>0</v>
      </c>
      <c r="L41" s="529">
        <f t="shared" si="77"/>
        <v>0</v>
      </c>
      <c r="M41" s="1036" t="s">
        <v>701</v>
      </c>
      <c r="N41" s="529">
        <f t="shared" ref="N41:S41" si="78">N136</f>
        <v>0</v>
      </c>
      <c r="O41" s="565">
        <f t="shared" si="78"/>
        <v>0</v>
      </c>
      <c r="P41" s="565">
        <f t="shared" si="78"/>
        <v>0</v>
      </c>
      <c r="Q41" s="529">
        <f t="shared" si="78"/>
        <v>0</v>
      </c>
      <c r="R41" s="529">
        <f t="shared" si="78"/>
        <v>0</v>
      </c>
      <c r="S41" s="529">
        <f t="shared" si="78"/>
        <v>0</v>
      </c>
      <c r="T41" s="1036" t="s">
        <v>701</v>
      </c>
      <c r="U41" s="1036" t="s">
        <v>701</v>
      </c>
      <c r="V41" s="529">
        <f t="shared" si="73"/>
        <v>0</v>
      </c>
      <c r="W41" s="1036" t="s">
        <v>701</v>
      </c>
      <c r="X41" s="1148"/>
      <c r="Y41" s="1148"/>
      <c r="Z41" s="1099"/>
      <c r="AA41" s="1100">
        <f t="shared" si="2"/>
        <v>0</v>
      </c>
      <c r="AB41" s="1148"/>
      <c r="AC41" s="1148"/>
      <c r="AD41" s="1148"/>
      <c r="AE41" s="1150"/>
      <c r="AF41" s="1152"/>
      <c r="AG41" s="1041" t="str">
        <f t="shared" si="74"/>
        <v/>
      </c>
    </row>
    <row r="42" spans="4:33" ht="11.25" customHeight="1" x14ac:dyDescent="0.25">
      <c r="D42" s="1092">
        <f t="shared" ref="D42:L42" si="79">D137</f>
        <v>0</v>
      </c>
      <c r="E42" s="1093">
        <f t="shared" si="79"/>
        <v>0</v>
      </c>
      <c r="F42" s="1093">
        <f t="shared" si="79"/>
        <v>0</v>
      </c>
      <c r="G42" s="1093">
        <f t="shared" si="79"/>
        <v>0</v>
      </c>
      <c r="H42" s="1093">
        <f t="shared" si="79"/>
        <v>0</v>
      </c>
      <c r="I42" s="1157">
        <f t="shared" si="79"/>
        <v>0</v>
      </c>
      <c r="J42" s="563">
        <f t="shared" si="79"/>
        <v>0</v>
      </c>
      <c r="K42" s="564">
        <f t="shared" si="79"/>
        <v>0</v>
      </c>
      <c r="L42" s="529">
        <f t="shared" si="79"/>
        <v>0</v>
      </c>
      <c r="M42" s="1036" t="s">
        <v>701</v>
      </c>
      <c r="N42" s="529">
        <f t="shared" ref="N42:S42" si="80">N137</f>
        <v>0</v>
      </c>
      <c r="O42" s="565">
        <f t="shared" si="80"/>
        <v>0</v>
      </c>
      <c r="P42" s="565">
        <f t="shared" si="80"/>
        <v>0</v>
      </c>
      <c r="Q42" s="529">
        <f t="shared" si="80"/>
        <v>0</v>
      </c>
      <c r="R42" s="529">
        <f t="shared" si="80"/>
        <v>0</v>
      </c>
      <c r="S42" s="529">
        <f t="shared" si="80"/>
        <v>0</v>
      </c>
      <c r="T42" s="1036" t="s">
        <v>701</v>
      </c>
      <c r="U42" s="1036" t="s">
        <v>701</v>
      </c>
      <c r="V42" s="529">
        <f t="shared" si="73"/>
        <v>0</v>
      </c>
      <c r="W42" s="1036" t="s">
        <v>701</v>
      </c>
      <c r="X42" s="1148"/>
      <c r="Y42" s="1148"/>
      <c r="Z42" s="1099"/>
      <c r="AA42" s="1100">
        <f t="shared" si="2"/>
        <v>0</v>
      </c>
      <c r="AB42" s="1148"/>
      <c r="AC42" s="1148"/>
      <c r="AD42" s="1148"/>
      <c r="AE42" s="1150"/>
      <c r="AF42" s="1152"/>
      <c r="AG42" s="1041" t="str">
        <f t="shared" si="74"/>
        <v/>
      </c>
    </row>
    <row r="43" spans="4:33" ht="11.25" customHeight="1" x14ac:dyDescent="0.25">
      <c r="D43" s="1092">
        <f t="shared" ref="D43:L43" si="81">D138</f>
        <v>0</v>
      </c>
      <c r="E43" s="1093">
        <f t="shared" si="81"/>
        <v>0</v>
      </c>
      <c r="F43" s="1093">
        <f t="shared" si="81"/>
        <v>0</v>
      </c>
      <c r="G43" s="1093">
        <f t="shared" si="81"/>
        <v>0</v>
      </c>
      <c r="H43" s="1093">
        <f t="shared" si="81"/>
        <v>0</v>
      </c>
      <c r="I43" s="1157">
        <f t="shared" si="81"/>
        <v>0</v>
      </c>
      <c r="J43" s="563">
        <f t="shared" si="81"/>
        <v>0</v>
      </c>
      <c r="K43" s="564">
        <f t="shared" si="81"/>
        <v>0</v>
      </c>
      <c r="L43" s="529">
        <f t="shared" si="81"/>
        <v>0</v>
      </c>
      <c r="M43" s="1036" t="s">
        <v>701</v>
      </c>
      <c r="N43" s="529">
        <f t="shared" ref="N43:S43" si="82">N138</f>
        <v>0</v>
      </c>
      <c r="O43" s="565">
        <f t="shared" si="82"/>
        <v>0</v>
      </c>
      <c r="P43" s="565">
        <f t="shared" si="82"/>
        <v>0</v>
      </c>
      <c r="Q43" s="529">
        <f t="shared" si="82"/>
        <v>0</v>
      </c>
      <c r="R43" s="529">
        <f t="shared" si="82"/>
        <v>0</v>
      </c>
      <c r="S43" s="529">
        <f t="shared" si="82"/>
        <v>0</v>
      </c>
      <c r="T43" s="1036" t="s">
        <v>701</v>
      </c>
      <c r="U43" s="1036" t="s">
        <v>701</v>
      </c>
      <c r="V43" s="529">
        <f t="shared" si="73"/>
        <v>0</v>
      </c>
      <c r="W43" s="1036" t="s">
        <v>701</v>
      </c>
      <c r="X43" s="1148"/>
      <c r="Y43" s="1148"/>
      <c r="Z43" s="1099"/>
      <c r="AA43" s="1100">
        <f t="shared" si="2"/>
        <v>0</v>
      </c>
      <c r="AB43" s="1148"/>
      <c r="AC43" s="1148"/>
      <c r="AD43" s="1148"/>
      <c r="AE43" s="1150"/>
      <c r="AF43" s="1152"/>
      <c r="AG43" s="1041" t="str">
        <f t="shared" si="74"/>
        <v/>
      </c>
    </row>
    <row r="44" spans="4:33" ht="11.25" customHeight="1" x14ac:dyDescent="0.25">
      <c r="D44" s="1092">
        <f t="shared" ref="D44:L44" si="83">D139</f>
        <v>0</v>
      </c>
      <c r="E44" s="1155">
        <f t="shared" si="83"/>
        <v>0</v>
      </c>
      <c r="F44" s="1155">
        <f t="shared" si="83"/>
        <v>0</v>
      </c>
      <c r="G44" s="1155">
        <f t="shared" si="83"/>
        <v>0</v>
      </c>
      <c r="H44" s="1155">
        <f t="shared" si="83"/>
        <v>0</v>
      </c>
      <c r="I44" s="1158">
        <f t="shared" si="83"/>
        <v>0</v>
      </c>
      <c r="J44" s="566">
        <f t="shared" si="83"/>
        <v>0</v>
      </c>
      <c r="K44" s="567">
        <f t="shared" si="83"/>
        <v>0</v>
      </c>
      <c r="L44" s="568">
        <f t="shared" si="83"/>
        <v>0</v>
      </c>
      <c r="M44" s="1037" t="s">
        <v>701</v>
      </c>
      <c r="N44" s="568">
        <f t="shared" ref="N44:S44" si="84">N139</f>
        <v>0</v>
      </c>
      <c r="O44" s="569">
        <f t="shared" si="84"/>
        <v>0</v>
      </c>
      <c r="P44" s="569">
        <f t="shared" si="84"/>
        <v>0</v>
      </c>
      <c r="Q44" s="568">
        <f t="shared" si="84"/>
        <v>0</v>
      </c>
      <c r="R44" s="568">
        <f t="shared" si="84"/>
        <v>0</v>
      </c>
      <c r="S44" s="568">
        <f t="shared" si="84"/>
        <v>0</v>
      </c>
      <c r="T44" s="1037" t="s">
        <v>701</v>
      </c>
      <c r="U44" s="1037" t="s">
        <v>701</v>
      </c>
      <c r="V44" s="568">
        <f t="shared" si="73"/>
        <v>0</v>
      </c>
      <c r="W44" s="1037" t="s">
        <v>701</v>
      </c>
      <c r="X44" s="1148"/>
      <c r="Y44" s="1148"/>
      <c r="Z44" s="1099"/>
      <c r="AA44" s="1100">
        <f t="shared" si="2"/>
        <v>0</v>
      </c>
      <c r="AB44" s="1148"/>
      <c r="AC44" s="1148"/>
      <c r="AD44" s="1148"/>
      <c r="AE44" s="1150"/>
      <c r="AF44" s="1152"/>
      <c r="AG44" s="1044" t="str">
        <f t="shared" si="74"/>
        <v/>
      </c>
    </row>
    <row r="45" spans="4:33" ht="11.25" customHeight="1" thickBot="1" x14ac:dyDescent="0.25">
      <c r="D45" s="532" t="s">
        <v>418</v>
      </c>
      <c r="E45" s="570"/>
      <c r="F45" s="571"/>
      <c r="G45" s="571"/>
      <c r="H45" s="571"/>
      <c r="I45" s="572"/>
      <c r="J45" s="573"/>
      <c r="K45" s="908">
        <f>SUM(K38:K44)</f>
        <v>0</v>
      </c>
      <c r="L45" s="908">
        <f t="shared" ref="L45" si="85">SUM(L38:L44)</f>
        <v>0</v>
      </c>
      <c r="M45" s="1033" t="s">
        <v>701</v>
      </c>
      <c r="N45" s="909"/>
      <c r="O45" s="910"/>
      <c r="P45" s="910"/>
      <c r="Q45" s="910"/>
      <c r="R45" s="910"/>
      <c r="S45" s="908">
        <f t="shared" ref="S45:V45" si="86">SUM(S38:S44)</f>
        <v>20</v>
      </c>
      <c r="T45" s="1033" t="s">
        <v>701</v>
      </c>
      <c r="U45" s="1038" t="s">
        <v>701</v>
      </c>
      <c r="V45" s="911">
        <f t="shared" si="86"/>
        <v>76696.168260085862</v>
      </c>
      <c r="W45" s="1033" t="s">
        <v>701</v>
      </c>
      <c r="X45" s="1033" t="s">
        <v>701</v>
      </c>
      <c r="Y45" s="1033" t="s">
        <v>701</v>
      </c>
      <c r="Z45" s="1033" t="s">
        <v>701</v>
      </c>
      <c r="AA45" s="912"/>
      <c r="AB45" s="1033" t="s">
        <v>701</v>
      </c>
      <c r="AC45" s="1033" t="s">
        <v>701</v>
      </c>
      <c r="AD45" s="1033" t="s">
        <v>701</v>
      </c>
      <c r="AE45" s="1033" t="s">
        <v>701</v>
      </c>
      <c r="AF45" s="1033" t="s">
        <v>701</v>
      </c>
      <c r="AG45" s="1045"/>
    </row>
    <row r="46" spans="4:33" ht="11.25" customHeight="1" x14ac:dyDescent="0.25">
      <c r="D46" s="1153" t="str">
        <f t="shared" ref="D46:I46" si="87">D141</f>
        <v>Cable 47</v>
      </c>
      <c r="E46" s="1154" t="str">
        <f t="shared" si="87"/>
        <v>DCN43</v>
      </c>
      <c r="F46" s="1154" t="str">
        <f t="shared" si="87"/>
        <v>Other</v>
      </c>
      <c r="G46" s="1154" t="str">
        <f t="shared" si="87"/>
        <v>Demand growth</v>
      </c>
      <c r="H46" s="1154">
        <f t="shared" si="87"/>
        <v>0</v>
      </c>
      <c r="I46" s="1156">
        <f t="shared" si="87"/>
        <v>0</v>
      </c>
      <c r="J46" s="560">
        <f>J141</f>
        <v>0</v>
      </c>
      <c r="K46" s="561">
        <f t="shared" ref="K46:L46" si="88">K141</f>
        <v>0</v>
      </c>
      <c r="L46" s="541">
        <f t="shared" si="88"/>
        <v>0</v>
      </c>
      <c r="M46" s="1035" t="s">
        <v>701</v>
      </c>
      <c r="N46" s="541">
        <f t="shared" ref="N46:S46" si="89">N141</f>
        <v>0</v>
      </c>
      <c r="O46" s="562">
        <f t="shared" si="89"/>
        <v>0</v>
      </c>
      <c r="P46" s="562">
        <f t="shared" si="89"/>
        <v>0</v>
      </c>
      <c r="Q46" s="562">
        <f t="shared" si="89"/>
        <v>0</v>
      </c>
      <c r="R46" s="562">
        <f t="shared" si="89"/>
        <v>0</v>
      </c>
      <c r="S46" s="541">
        <f t="shared" si="89"/>
        <v>0</v>
      </c>
      <c r="T46" s="1035" t="s">
        <v>701</v>
      </c>
      <c r="U46" s="1035" t="s">
        <v>701</v>
      </c>
      <c r="V46" s="542">
        <f>V141</f>
        <v>0</v>
      </c>
      <c r="W46" s="1035" t="s">
        <v>701</v>
      </c>
      <c r="X46" s="1147" t="s">
        <v>701</v>
      </c>
      <c r="Y46" s="1147" t="s">
        <v>701</v>
      </c>
      <c r="Z46" s="1159"/>
      <c r="AA46" s="1166">
        <f t="shared" si="2"/>
        <v>0</v>
      </c>
      <c r="AB46" s="1147" t="s">
        <v>701</v>
      </c>
      <c r="AC46" s="1147" t="s">
        <v>701</v>
      </c>
      <c r="AD46" s="1147" t="s">
        <v>701</v>
      </c>
      <c r="AE46" s="1149" t="s">
        <v>701</v>
      </c>
      <c r="AF46" s="1151" t="s">
        <v>701</v>
      </c>
      <c r="AG46" s="1040" t="str">
        <f>AG141</f>
        <v>Conduit install ready for a cable in the future</v>
      </c>
    </row>
    <row r="47" spans="4:33" ht="11.25" customHeight="1" x14ac:dyDescent="0.25">
      <c r="D47" s="1092">
        <f t="shared" ref="D47:L47" si="90">D142</f>
        <v>0</v>
      </c>
      <c r="E47" s="1093">
        <f t="shared" si="90"/>
        <v>0</v>
      </c>
      <c r="F47" s="1093">
        <f t="shared" si="90"/>
        <v>0</v>
      </c>
      <c r="G47" s="1093">
        <f t="shared" si="90"/>
        <v>0</v>
      </c>
      <c r="H47" s="1093">
        <f t="shared" si="90"/>
        <v>0</v>
      </c>
      <c r="I47" s="1157">
        <f t="shared" si="90"/>
        <v>0</v>
      </c>
      <c r="J47" s="563">
        <f t="shared" si="90"/>
        <v>0</v>
      </c>
      <c r="K47" s="564">
        <f t="shared" si="90"/>
        <v>0</v>
      </c>
      <c r="L47" s="529">
        <f t="shared" si="90"/>
        <v>0</v>
      </c>
      <c r="M47" s="1036" t="s">
        <v>701</v>
      </c>
      <c r="N47" s="529">
        <f t="shared" ref="N47:S47" si="91">N142</f>
        <v>0</v>
      </c>
      <c r="O47" s="565">
        <f t="shared" si="91"/>
        <v>0</v>
      </c>
      <c r="P47" s="565">
        <f t="shared" si="91"/>
        <v>0</v>
      </c>
      <c r="Q47" s="529">
        <f t="shared" si="91"/>
        <v>0</v>
      </c>
      <c r="R47" s="529">
        <f t="shared" si="91"/>
        <v>0</v>
      </c>
      <c r="S47" s="529">
        <f t="shared" si="91"/>
        <v>0</v>
      </c>
      <c r="T47" s="1036" t="s">
        <v>701</v>
      </c>
      <c r="U47" s="1036" t="s">
        <v>701</v>
      </c>
      <c r="V47" s="529">
        <f t="shared" ref="V47:V52" si="92">V142</f>
        <v>0</v>
      </c>
      <c r="W47" s="1036" t="s">
        <v>701</v>
      </c>
      <c r="X47" s="1148"/>
      <c r="Y47" s="1148"/>
      <c r="Z47" s="1099"/>
      <c r="AA47" s="1100">
        <f t="shared" si="2"/>
        <v>0</v>
      </c>
      <c r="AB47" s="1148"/>
      <c r="AC47" s="1148"/>
      <c r="AD47" s="1148"/>
      <c r="AE47" s="1150"/>
      <c r="AF47" s="1152"/>
      <c r="AG47" s="1041" t="str">
        <f t="shared" ref="AG47:AG52" si="93">AG142</f>
        <v/>
      </c>
    </row>
    <row r="48" spans="4:33" ht="11.25" customHeight="1" x14ac:dyDescent="0.25">
      <c r="D48" s="1092">
        <f t="shared" ref="D48:L48" si="94">D143</f>
        <v>0</v>
      </c>
      <c r="E48" s="1093">
        <f t="shared" si="94"/>
        <v>0</v>
      </c>
      <c r="F48" s="1093">
        <f t="shared" si="94"/>
        <v>0</v>
      </c>
      <c r="G48" s="1093">
        <f t="shared" si="94"/>
        <v>0</v>
      </c>
      <c r="H48" s="1093">
        <f t="shared" si="94"/>
        <v>0</v>
      </c>
      <c r="I48" s="1157">
        <f t="shared" si="94"/>
        <v>0</v>
      </c>
      <c r="J48" s="563">
        <f t="shared" si="94"/>
        <v>0</v>
      </c>
      <c r="K48" s="564">
        <f t="shared" si="94"/>
        <v>0</v>
      </c>
      <c r="L48" s="529">
        <f t="shared" si="94"/>
        <v>0</v>
      </c>
      <c r="M48" s="1036" t="s">
        <v>701</v>
      </c>
      <c r="N48" s="529">
        <f t="shared" ref="N48:S48" si="95">N143</f>
        <v>0</v>
      </c>
      <c r="O48" s="565">
        <f t="shared" si="95"/>
        <v>0</v>
      </c>
      <c r="P48" s="565">
        <f t="shared" si="95"/>
        <v>0</v>
      </c>
      <c r="Q48" s="529">
        <f t="shared" si="95"/>
        <v>0</v>
      </c>
      <c r="R48" s="529">
        <f t="shared" si="95"/>
        <v>0</v>
      </c>
      <c r="S48" s="529">
        <f t="shared" si="95"/>
        <v>0</v>
      </c>
      <c r="T48" s="1036" t="s">
        <v>701</v>
      </c>
      <c r="U48" s="1036" t="s">
        <v>701</v>
      </c>
      <c r="V48" s="529">
        <f t="shared" si="92"/>
        <v>0</v>
      </c>
      <c r="W48" s="1036" t="s">
        <v>701</v>
      </c>
      <c r="X48" s="1148"/>
      <c r="Y48" s="1148"/>
      <c r="Z48" s="1099"/>
      <c r="AA48" s="1100">
        <f t="shared" si="2"/>
        <v>0</v>
      </c>
      <c r="AB48" s="1148"/>
      <c r="AC48" s="1148"/>
      <c r="AD48" s="1148"/>
      <c r="AE48" s="1150"/>
      <c r="AF48" s="1152"/>
      <c r="AG48" s="1041" t="str">
        <f t="shared" si="93"/>
        <v/>
      </c>
    </row>
    <row r="49" spans="4:33" ht="11.25" customHeight="1" x14ac:dyDescent="0.25">
      <c r="D49" s="1092">
        <f t="shared" ref="D49:L49" si="96">D144</f>
        <v>0</v>
      </c>
      <c r="E49" s="1093">
        <f t="shared" si="96"/>
        <v>0</v>
      </c>
      <c r="F49" s="1093">
        <f t="shared" si="96"/>
        <v>0</v>
      </c>
      <c r="G49" s="1093">
        <f t="shared" si="96"/>
        <v>0</v>
      </c>
      <c r="H49" s="1093">
        <f t="shared" si="96"/>
        <v>0</v>
      </c>
      <c r="I49" s="1157">
        <f t="shared" si="96"/>
        <v>0</v>
      </c>
      <c r="J49" s="563">
        <f t="shared" si="96"/>
        <v>0</v>
      </c>
      <c r="K49" s="564">
        <f t="shared" si="96"/>
        <v>0</v>
      </c>
      <c r="L49" s="529">
        <f t="shared" si="96"/>
        <v>0</v>
      </c>
      <c r="M49" s="1036" t="s">
        <v>701</v>
      </c>
      <c r="N49" s="529">
        <f t="shared" ref="N49:S49" si="97">N144</f>
        <v>0</v>
      </c>
      <c r="O49" s="565">
        <f t="shared" si="97"/>
        <v>0</v>
      </c>
      <c r="P49" s="565">
        <f t="shared" si="97"/>
        <v>0</v>
      </c>
      <c r="Q49" s="529">
        <f t="shared" si="97"/>
        <v>0</v>
      </c>
      <c r="R49" s="529">
        <f t="shared" si="97"/>
        <v>0</v>
      </c>
      <c r="S49" s="529">
        <f t="shared" si="97"/>
        <v>0</v>
      </c>
      <c r="T49" s="1036" t="s">
        <v>701</v>
      </c>
      <c r="U49" s="1036" t="s">
        <v>701</v>
      </c>
      <c r="V49" s="529">
        <f t="shared" si="92"/>
        <v>0</v>
      </c>
      <c r="W49" s="1036" t="s">
        <v>701</v>
      </c>
      <c r="X49" s="1148"/>
      <c r="Y49" s="1148"/>
      <c r="Z49" s="1099"/>
      <c r="AA49" s="1100">
        <f t="shared" si="2"/>
        <v>0</v>
      </c>
      <c r="AB49" s="1148"/>
      <c r="AC49" s="1148"/>
      <c r="AD49" s="1148"/>
      <c r="AE49" s="1150"/>
      <c r="AF49" s="1152"/>
      <c r="AG49" s="1041" t="str">
        <f t="shared" si="93"/>
        <v/>
      </c>
    </row>
    <row r="50" spans="4:33" ht="11.25" customHeight="1" x14ac:dyDescent="0.25">
      <c r="D50" s="1092">
        <f t="shared" ref="D50:L50" si="98">D145</f>
        <v>0</v>
      </c>
      <c r="E50" s="1093">
        <f t="shared" si="98"/>
        <v>0</v>
      </c>
      <c r="F50" s="1093">
        <f t="shared" si="98"/>
        <v>0</v>
      </c>
      <c r="G50" s="1093">
        <f t="shared" si="98"/>
        <v>0</v>
      </c>
      <c r="H50" s="1093">
        <f t="shared" si="98"/>
        <v>0</v>
      </c>
      <c r="I50" s="1157">
        <f t="shared" si="98"/>
        <v>0</v>
      </c>
      <c r="J50" s="563">
        <f t="shared" si="98"/>
        <v>0</v>
      </c>
      <c r="K50" s="564">
        <f t="shared" si="98"/>
        <v>0</v>
      </c>
      <c r="L50" s="529">
        <f t="shared" si="98"/>
        <v>0</v>
      </c>
      <c r="M50" s="1036" t="s">
        <v>701</v>
      </c>
      <c r="N50" s="529">
        <f t="shared" ref="N50:S50" si="99">N145</f>
        <v>0</v>
      </c>
      <c r="O50" s="565">
        <f t="shared" si="99"/>
        <v>0</v>
      </c>
      <c r="P50" s="565">
        <f t="shared" si="99"/>
        <v>0</v>
      </c>
      <c r="Q50" s="529">
        <f t="shared" si="99"/>
        <v>0</v>
      </c>
      <c r="R50" s="529">
        <f t="shared" si="99"/>
        <v>0</v>
      </c>
      <c r="S50" s="529">
        <f t="shared" si="99"/>
        <v>0</v>
      </c>
      <c r="T50" s="1036" t="s">
        <v>701</v>
      </c>
      <c r="U50" s="1036" t="s">
        <v>701</v>
      </c>
      <c r="V50" s="529">
        <f t="shared" si="92"/>
        <v>0</v>
      </c>
      <c r="W50" s="1036" t="s">
        <v>701</v>
      </c>
      <c r="X50" s="1148"/>
      <c r="Y50" s="1148"/>
      <c r="Z50" s="1099"/>
      <c r="AA50" s="1100">
        <f t="shared" si="2"/>
        <v>0</v>
      </c>
      <c r="AB50" s="1148"/>
      <c r="AC50" s="1148"/>
      <c r="AD50" s="1148"/>
      <c r="AE50" s="1150"/>
      <c r="AF50" s="1152"/>
      <c r="AG50" s="1041" t="str">
        <f t="shared" si="93"/>
        <v/>
      </c>
    </row>
    <row r="51" spans="4:33" ht="11.25" customHeight="1" x14ac:dyDescent="0.25">
      <c r="D51" s="1092">
        <f t="shared" ref="D51:L51" si="100">D146</f>
        <v>0</v>
      </c>
      <c r="E51" s="1093">
        <f t="shared" si="100"/>
        <v>0</v>
      </c>
      <c r="F51" s="1093">
        <f t="shared" si="100"/>
        <v>0</v>
      </c>
      <c r="G51" s="1093">
        <f t="shared" si="100"/>
        <v>0</v>
      </c>
      <c r="H51" s="1093">
        <f t="shared" si="100"/>
        <v>0</v>
      </c>
      <c r="I51" s="1157">
        <f t="shared" si="100"/>
        <v>0</v>
      </c>
      <c r="J51" s="563">
        <f t="shared" si="100"/>
        <v>0</v>
      </c>
      <c r="K51" s="564">
        <f t="shared" si="100"/>
        <v>0</v>
      </c>
      <c r="L51" s="529">
        <f t="shared" si="100"/>
        <v>0</v>
      </c>
      <c r="M51" s="1036" t="s">
        <v>701</v>
      </c>
      <c r="N51" s="529">
        <f t="shared" ref="N51:S51" si="101">N146</f>
        <v>0</v>
      </c>
      <c r="O51" s="565">
        <f t="shared" si="101"/>
        <v>0</v>
      </c>
      <c r="P51" s="565">
        <f t="shared" si="101"/>
        <v>0</v>
      </c>
      <c r="Q51" s="529">
        <f t="shared" si="101"/>
        <v>0</v>
      </c>
      <c r="R51" s="529">
        <f t="shared" si="101"/>
        <v>0</v>
      </c>
      <c r="S51" s="529">
        <f t="shared" si="101"/>
        <v>0</v>
      </c>
      <c r="T51" s="1036" t="s">
        <v>701</v>
      </c>
      <c r="U51" s="1036" t="s">
        <v>701</v>
      </c>
      <c r="V51" s="529">
        <f t="shared" si="92"/>
        <v>0</v>
      </c>
      <c r="W51" s="1036" t="s">
        <v>701</v>
      </c>
      <c r="X51" s="1148"/>
      <c r="Y51" s="1148"/>
      <c r="Z51" s="1099"/>
      <c r="AA51" s="1100">
        <f t="shared" si="2"/>
        <v>0</v>
      </c>
      <c r="AB51" s="1148"/>
      <c r="AC51" s="1148"/>
      <c r="AD51" s="1148"/>
      <c r="AE51" s="1150"/>
      <c r="AF51" s="1152"/>
      <c r="AG51" s="1041" t="str">
        <f t="shared" si="93"/>
        <v/>
      </c>
    </row>
    <row r="52" spans="4:33" ht="11.25" customHeight="1" x14ac:dyDescent="0.25">
      <c r="D52" s="1092">
        <f t="shared" ref="D52:L52" si="102">D147</f>
        <v>0</v>
      </c>
      <c r="E52" s="1155">
        <f t="shared" si="102"/>
        <v>0</v>
      </c>
      <c r="F52" s="1155">
        <f t="shared" si="102"/>
        <v>0</v>
      </c>
      <c r="G52" s="1155">
        <f t="shared" si="102"/>
        <v>0</v>
      </c>
      <c r="H52" s="1155">
        <f t="shared" si="102"/>
        <v>0</v>
      </c>
      <c r="I52" s="1158">
        <f t="shared" si="102"/>
        <v>0</v>
      </c>
      <c r="J52" s="566">
        <f t="shared" si="102"/>
        <v>0</v>
      </c>
      <c r="K52" s="567">
        <f t="shared" si="102"/>
        <v>0</v>
      </c>
      <c r="L52" s="568">
        <f t="shared" si="102"/>
        <v>0</v>
      </c>
      <c r="M52" s="1037" t="s">
        <v>701</v>
      </c>
      <c r="N52" s="568">
        <f t="shared" ref="N52:S52" si="103">N147</f>
        <v>0</v>
      </c>
      <c r="O52" s="569">
        <f t="shared" si="103"/>
        <v>0</v>
      </c>
      <c r="P52" s="569">
        <f t="shared" si="103"/>
        <v>0</v>
      </c>
      <c r="Q52" s="568">
        <f t="shared" si="103"/>
        <v>0</v>
      </c>
      <c r="R52" s="568">
        <f t="shared" si="103"/>
        <v>0</v>
      </c>
      <c r="S52" s="568">
        <f t="shared" si="103"/>
        <v>0</v>
      </c>
      <c r="T52" s="1037" t="s">
        <v>701</v>
      </c>
      <c r="U52" s="1037" t="s">
        <v>701</v>
      </c>
      <c r="V52" s="568">
        <f t="shared" si="92"/>
        <v>0</v>
      </c>
      <c r="W52" s="1037" t="s">
        <v>701</v>
      </c>
      <c r="X52" s="1148"/>
      <c r="Y52" s="1148"/>
      <c r="Z52" s="1099"/>
      <c r="AA52" s="1100">
        <f t="shared" si="2"/>
        <v>0</v>
      </c>
      <c r="AB52" s="1148"/>
      <c r="AC52" s="1148"/>
      <c r="AD52" s="1148"/>
      <c r="AE52" s="1150"/>
      <c r="AF52" s="1152"/>
      <c r="AG52" s="1044" t="str">
        <f t="shared" si="93"/>
        <v/>
      </c>
    </row>
    <row r="53" spans="4:33" ht="11.25" customHeight="1" thickBot="1" x14ac:dyDescent="0.25">
      <c r="D53" s="532" t="s">
        <v>418</v>
      </c>
      <c r="E53" s="570"/>
      <c r="F53" s="571"/>
      <c r="G53" s="571"/>
      <c r="H53" s="571"/>
      <c r="I53" s="572"/>
      <c r="J53" s="573"/>
      <c r="K53" s="908">
        <f>SUM(K46:K52)</f>
        <v>0</v>
      </c>
      <c r="L53" s="908">
        <f t="shared" ref="L53" si="104">SUM(L46:L52)</f>
        <v>0</v>
      </c>
      <c r="M53" s="1033" t="s">
        <v>701</v>
      </c>
      <c r="N53" s="909"/>
      <c r="O53" s="910"/>
      <c r="P53" s="910"/>
      <c r="Q53" s="910"/>
      <c r="R53" s="910"/>
      <c r="S53" s="908">
        <f t="shared" ref="S53:V53" si="105">SUM(S46:S52)</f>
        <v>0</v>
      </c>
      <c r="T53" s="1033" t="s">
        <v>701</v>
      </c>
      <c r="U53" s="1038" t="s">
        <v>701</v>
      </c>
      <c r="V53" s="911">
        <f t="shared" si="105"/>
        <v>0</v>
      </c>
      <c r="W53" s="1033" t="s">
        <v>701</v>
      </c>
      <c r="X53" s="1033" t="s">
        <v>701</v>
      </c>
      <c r="Y53" s="1033" t="s">
        <v>701</v>
      </c>
      <c r="Z53" s="1033" t="s">
        <v>701</v>
      </c>
      <c r="AA53" s="912"/>
      <c r="AB53" s="1033" t="s">
        <v>701</v>
      </c>
      <c r="AC53" s="1033" t="s">
        <v>701</v>
      </c>
      <c r="AD53" s="1033" t="s">
        <v>701</v>
      </c>
      <c r="AE53" s="1033" t="s">
        <v>701</v>
      </c>
      <c r="AF53" s="1033" t="s">
        <v>701</v>
      </c>
      <c r="AG53" s="1045"/>
    </row>
    <row r="54" spans="4:33" ht="11.25" customHeight="1" x14ac:dyDescent="0.25">
      <c r="D54" s="1153" t="str">
        <f t="shared" ref="D54:I54" si="106">D149</f>
        <v>L1 SA Border to Buronga</v>
      </c>
      <c r="E54" s="1154">
        <f t="shared" si="106"/>
        <v>1570</v>
      </c>
      <c r="F54" s="1154" t="str">
        <f t="shared" si="106"/>
        <v>New Interconnector</v>
      </c>
      <c r="G54" s="1154" t="str">
        <f t="shared" si="106"/>
        <v>Net market benefit</v>
      </c>
      <c r="H54" s="1154">
        <f t="shared" si="106"/>
        <v>330</v>
      </c>
      <c r="I54" s="1156">
        <f t="shared" si="106"/>
        <v>135</v>
      </c>
      <c r="J54" s="560" t="str">
        <f>J149</f>
        <v>Double Circuit</v>
      </c>
      <c r="K54" s="561">
        <f t="shared" ref="K54:L54" si="107">K149</f>
        <v>293</v>
      </c>
      <c r="L54" s="541">
        <f t="shared" si="107"/>
        <v>0</v>
      </c>
      <c r="M54" s="1035" t="s">
        <v>701</v>
      </c>
      <c r="N54" s="541" t="str">
        <f t="shared" ref="N54:S54" si="108">N149</f>
        <v>Overhead line</v>
      </c>
      <c r="O54" s="562">
        <f t="shared" si="108"/>
        <v>0</v>
      </c>
      <c r="P54" s="562">
        <f t="shared" si="108"/>
        <v>1600</v>
      </c>
      <c r="Q54" s="562">
        <f t="shared" si="108"/>
        <v>0</v>
      </c>
      <c r="R54" s="562">
        <f t="shared" si="108"/>
        <v>1600</v>
      </c>
      <c r="S54" s="541">
        <f t="shared" si="108"/>
        <v>0</v>
      </c>
      <c r="T54" s="1035" t="s">
        <v>701</v>
      </c>
      <c r="U54" s="1035" t="s">
        <v>701</v>
      </c>
      <c r="V54" s="542">
        <f>V149</f>
        <v>336215.38227301708</v>
      </c>
      <c r="W54" s="1035" t="s">
        <v>701</v>
      </c>
      <c r="X54" s="1147" t="s">
        <v>701</v>
      </c>
      <c r="Y54" s="1147" t="s">
        <v>701</v>
      </c>
      <c r="Z54" s="1159"/>
      <c r="AA54" s="1166">
        <f t="shared" si="2"/>
        <v>0</v>
      </c>
      <c r="AB54" s="1147" t="s">
        <v>701</v>
      </c>
      <c r="AC54" s="1147" t="s">
        <v>701</v>
      </c>
      <c r="AD54" s="1147" t="s">
        <v>701</v>
      </c>
      <c r="AE54" s="1149" t="s">
        <v>701</v>
      </c>
      <c r="AF54" s="1151" t="s">
        <v>701</v>
      </c>
      <c r="AG54" s="1040" t="str">
        <f>AG149</f>
        <v/>
      </c>
    </row>
    <row r="55" spans="4:33" ht="11.25" customHeight="1" x14ac:dyDescent="0.25">
      <c r="D55" s="1092">
        <f t="shared" ref="D55:L55" si="109">D150</f>
        <v>0</v>
      </c>
      <c r="E55" s="1093">
        <f t="shared" si="109"/>
        <v>0</v>
      </c>
      <c r="F55" s="1093">
        <f t="shared" si="109"/>
        <v>0</v>
      </c>
      <c r="G55" s="1093">
        <f t="shared" si="109"/>
        <v>0</v>
      </c>
      <c r="H55" s="1093">
        <f t="shared" si="109"/>
        <v>0</v>
      </c>
      <c r="I55" s="1157">
        <f t="shared" si="109"/>
        <v>0</v>
      </c>
      <c r="J55" s="563">
        <f t="shared" si="109"/>
        <v>0</v>
      </c>
      <c r="K55" s="564">
        <f t="shared" si="109"/>
        <v>0</v>
      </c>
      <c r="L55" s="529">
        <f t="shared" si="109"/>
        <v>0</v>
      </c>
      <c r="M55" s="1036" t="s">
        <v>701</v>
      </c>
      <c r="N55" s="529">
        <f t="shared" ref="N55:S55" si="110">N150</f>
        <v>0</v>
      </c>
      <c r="O55" s="565">
        <f t="shared" si="110"/>
        <v>0</v>
      </c>
      <c r="P55" s="565">
        <f t="shared" si="110"/>
        <v>0</v>
      </c>
      <c r="Q55" s="529">
        <f t="shared" si="110"/>
        <v>0</v>
      </c>
      <c r="R55" s="529">
        <f t="shared" si="110"/>
        <v>0</v>
      </c>
      <c r="S55" s="529">
        <f t="shared" si="110"/>
        <v>0</v>
      </c>
      <c r="T55" s="1036" t="s">
        <v>701</v>
      </c>
      <c r="U55" s="1036" t="s">
        <v>701</v>
      </c>
      <c r="V55" s="529">
        <f t="shared" ref="V55:V60" si="111">V150</f>
        <v>0</v>
      </c>
      <c r="W55" s="1036" t="s">
        <v>701</v>
      </c>
      <c r="X55" s="1148"/>
      <c r="Y55" s="1148"/>
      <c r="Z55" s="1099"/>
      <c r="AA55" s="1100">
        <f t="shared" si="2"/>
        <v>0</v>
      </c>
      <c r="AB55" s="1148"/>
      <c r="AC55" s="1148"/>
      <c r="AD55" s="1148"/>
      <c r="AE55" s="1150"/>
      <c r="AF55" s="1152"/>
      <c r="AG55" s="1041" t="str">
        <f t="shared" ref="AG55:AG60" si="112">AG150</f>
        <v/>
      </c>
    </row>
    <row r="56" spans="4:33" ht="11.25" customHeight="1" x14ac:dyDescent="0.25">
      <c r="D56" s="1092">
        <f t="shared" ref="D56:L56" si="113">D151</f>
        <v>0</v>
      </c>
      <c r="E56" s="1093">
        <f t="shared" si="113"/>
        <v>0</v>
      </c>
      <c r="F56" s="1093">
        <f t="shared" si="113"/>
        <v>0</v>
      </c>
      <c r="G56" s="1093">
        <f t="shared" si="113"/>
        <v>0</v>
      </c>
      <c r="H56" s="1093">
        <f t="shared" si="113"/>
        <v>0</v>
      </c>
      <c r="I56" s="1157">
        <f t="shared" si="113"/>
        <v>0</v>
      </c>
      <c r="J56" s="563">
        <f t="shared" si="113"/>
        <v>0</v>
      </c>
      <c r="K56" s="564">
        <f t="shared" si="113"/>
        <v>0</v>
      </c>
      <c r="L56" s="529">
        <f t="shared" si="113"/>
        <v>0</v>
      </c>
      <c r="M56" s="1036" t="s">
        <v>701</v>
      </c>
      <c r="N56" s="529">
        <f t="shared" ref="N56:S56" si="114">N151</f>
        <v>0</v>
      </c>
      <c r="O56" s="565">
        <f t="shared" si="114"/>
        <v>0</v>
      </c>
      <c r="P56" s="565">
        <f t="shared" si="114"/>
        <v>0</v>
      </c>
      <c r="Q56" s="529">
        <f t="shared" si="114"/>
        <v>0</v>
      </c>
      <c r="R56" s="529">
        <f t="shared" si="114"/>
        <v>0</v>
      </c>
      <c r="S56" s="529">
        <f t="shared" si="114"/>
        <v>0</v>
      </c>
      <c r="T56" s="1036" t="s">
        <v>701</v>
      </c>
      <c r="U56" s="1036" t="s">
        <v>701</v>
      </c>
      <c r="V56" s="529">
        <f t="shared" si="111"/>
        <v>0</v>
      </c>
      <c r="W56" s="1036" t="s">
        <v>701</v>
      </c>
      <c r="X56" s="1148"/>
      <c r="Y56" s="1148"/>
      <c r="Z56" s="1099"/>
      <c r="AA56" s="1100">
        <f t="shared" si="2"/>
        <v>0</v>
      </c>
      <c r="AB56" s="1148"/>
      <c r="AC56" s="1148"/>
      <c r="AD56" s="1148"/>
      <c r="AE56" s="1150"/>
      <c r="AF56" s="1152"/>
      <c r="AG56" s="1041" t="str">
        <f t="shared" si="112"/>
        <v/>
      </c>
    </row>
    <row r="57" spans="4:33" ht="11.25" customHeight="1" x14ac:dyDescent="0.25">
      <c r="D57" s="1092">
        <f t="shared" ref="D57:L57" si="115">D152</f>
        <v>0</v>
      </c>
      <c r="E57" s="1093">
        <f t="shared" si="115"/>
        <v>0</v>
      </c>
      <c r="F57" s="1093">
        <f t="shared" si="115"/>
        <v>0</v>
      </c>
      <c r="G57" s="1093">
        <f t="shared" si="115"/>
        <v>0</v>
      </c>
      <c r="H57" s="1093">
        <f t="shared" si="115"/>
        <v>0</v>
      </c>
      <c r="I57" s="1157">
        <f t="shared" si="115"/>
        <v>0</v>
      </c>
      <c r="J57" s="563">
        <f t="shared" si="115"/>
        <v>0</v>
      </c>
      <c r="K57" s="564">
        <f t="shared" si="115"/>
        <v>0</v>
      </c>
      <c r="L57" s="529">
        <f t="shared" si="115"/>
        <v>0</v>
      </c>
      <c r="M57" s="1036" t="s">
        <v>701</v>
      </c>
      <c r="N57" s="529">
        <f t="shared" ref="N57:S57" si="116">N152</f>
        <v>0</v>
      </c>
      <c r="O57" s="565">
        <f t="shared" si="116"/>
        <v>0</v>
      </c>
      <c r="P57" s="565">
        <f t="shared" si="116"/>
        <v>0</v>
      </c>
      <c r="Q57" s="529">
        <f t="shared" si="116"/>
        <v>0</v>
      </c>
      <c r="R57" s="529">
        <f t="shared" si="116"/>
        <v>0</v>
      </c>
      <c r="S57" s="529">
        <f t="shared" si="116"/>
        <v>0</v>
      </c>
      <c r="T57" s="1036" t="s">
        <v>701</v>
      </c>
      <c r="U57" s="1036" t="s">
        <v>701</v>
      </c>
      <c r="V57" s="529">
        <f t="shared" si="111"/>
        <v>0</v>
      </c>
      <c r="W57" s="1036" t="s">
        <v>701</v>
      </c>
      <c r="X57" s="1148"/>
      <c r="Y57" s="1148"/>
      <c r="Z57" s="1099"/>
      <c r="AA57" s="1100">
        <f t="shared" si="2"/>
        <v>0</v>
      </c>
      <c r="AB57" s="1148"/>
      <c r="AC57" s="1148"/>
      <c r="AD57" s="1148"/>
      <c r="AE57" s="1150"/>
      <c r="AF57" s="1152"/>
      <c r="AG57" s="1041" t="str">
        <f t="shared" si="112"/>
        <v/>
      </c>
    </row>
    <row r="58" spans="4:33" ht="11.25" customHeight="1" x14ac:dyDescent="0.25">
      <c r="D58" s="1092">
        <f t="shared" ref="D58:L58" si="117">D153</f>
        <v>0</v>
      </c>
      <c r="E58" s="1093">
        <f t="shared" si="117"/>
        <v>0</v>
      </c>
      <c r="F58" s="1093">
        <f t="shared" si="117"/>
        <v>0</v>
      </c>
      <c r="G58" s="1093">
        <f t="shared" si="117"/>
        <v>0</v>
      </c>
      <c r="H58" s="1093">
        <f t="shared" si="117"/>
        <v>0</v>
      </c>
      <c r="I58" s="1157">
        <f t="shared" si="117"/>
        <v>0</v>
      </c>
      <c r="J58" s="563">
        <f t="shared" si="117"/>
        <v>0</v>
      </c>
      <c r="K58" s="564">
        <f t="shared" si="117"/>
        <v>0</v>
      </c>
      <c r="L58" s="529">
        <f t="shared" si="117"/>
        <v>0</v>
      </c>
      <c r="M58" s="1036" t="s">
        <v>701</v>
      </c>
      <c r="N58" s="529">
        <f t="shared" ref="N58:S58" si="118">N153</f>
        <v>0</v>
      </c>
      <c r="O58" s="565">
        <f t="shared" si="118"/>
        <v>0</v>
      </c>
      <c r="P58" s="565">
        <f t="shared" si="118"/>
        <v>0</v>
      </c>
      <c r="Q58" s="529">
        <f t="shared" si="118"/>
        <v>0</v>
      </c>
      <c r="R58" s="529">
        <f t="shared" si="118"/>
        <v>0</v>
      </c>
      <c r="S58" s="529">
        <f t="shared" si="118"/>
        <v>0</v>
      </c>
      <c r="T58" s="1036" t="s">
        <v>701</v>
      </c>
      <c r="U58" s="1036" t="s">
        <v>701</v>
      </c>
      <c r="V58" s="529">
        <f t="shared" si="111"/>
        <v>0</v>
      </c>
      <c r="W58" s="1036" t="s">
        <v>701</v>
      </c>
      <c r="X58" s="1148"/>
      <c r="Y58" s="1148"/>
      <c r="Z58" s="1099"/>
      <c r="AA58" s="1100">
        <f t="shared" si="2"/>
        <v>0</v>
      </c>
      <c r="AB58" s="1148"/>
      <c r="AC58" s="1148"/>
      <c r="AD58" s="1148"/>
      <c r="AE58" s="1150"/>
      <c r="AF58" s="1152"/>
      <c r="AG58" s="1041" t="str">
        <f t="shared" si="112"/>
        <v/>
      </c>
    </row>
    <row r="59" spans="4:33" ht="11.25" customHeight="1" x14ac:dyDescent="0.25">
      <c r="D59" s="1092">
        <f t="shared" ref="D59:L59" si="119">D154</f>
        <v>0</v>
      </c>
      <c r="E59" s="1093">
        <f t="shared" si="119"/>
        <v>0</v>
      </c>
      <c r="F59" s="1093">
        <f t="shared" si="119"/>
        <v>0</v>
      </c>
      <c r="G59" s="1093">
        <f t="shared" si="119"/>
        <v>0</v>
      </c>
      <c r="H59" s="1093">
        <f t="shared" si="119"/>
        <v>0</v>
      </c>
      <c r="I59" s="1157">
        <f t="shared" si="119"/>
        <v>0</v>
      </c>
      <c r="J59" s="563">
        <f t="shared" si="119"/>
        <v>0</v>
      </c>
      <c r="K59" s="564">
        <f t="shared" si="119"/>
        <v>0</v>
      </c>
      <c r="L59" s="529">
        <f t="shared" si="119"/>
        <v>0</v>
      </c>
      <c r="M59" s="1036" t="s">
        <v>701</v>
      </c>
      <c r="N59" s="529">
        <f t="shared" ref="N59:S59" si="120">N154</f>
        <v>0</v>
      </c>
      <c r="O59" s="565">
        <f t="shared" si="120"/>
        <v>0</v>
      </c>
      <c r="P59" s="565">
        <f t="shared" si="120"/>
        <v>0</v>
      </c>
      <c r="Q59" s="529">
        <f t="shared" si="120"/>
        <v>0</v>
      </c>
      <c r="R59" s="529">
        <f t="shared" si="120"/>
        <v>0</v>
      </c>
      <c r="S59" s="529">
        <f t="shared" si="120"/>
        <v>0</v>
      </c>
      <c r="T59" s="1036" t="s">
        <v>701</v>
      </c>
      <c r="U59" s="1036" t="s">
        <v>701</v>
      </c>
      <c r="V59" s="529">
        <f t="shared" si="111"/>
        <v>0</v>
      </c>
      <c r="W59" s="1036" t="s">
        <v>701</v>
      </c>
      <c r="X59" s="1148"/>
      <c r="Y59" s="1148"/>
      <c r="Z59" s="1099"/>
      <c r="AA59" s="1100">
        <f t="shared" si="2"/>
        <v>0</v>
      </c>
      <c r="AB59" s="1148"/>
      <c r="AC59" s="1148"/>
      <c r="AD59" s="1148"/>
      <c r="AE59" s="1150"/>
      <c r="AF59" s="1152"/>
      <c r="AG59" s="1041" t="str">
        <f t="shared" si="112"/>
        <v/>
      </c>
    </row>
    <row r="60" spans="4:33" ht="11.25" customHeight="1" x14ac:dyDescent="0.25">
      <c r="D60" s="1092">
        <f t="shared" ref="D60:L60" si="121">D155</f>
        <v>0</v>
      </c>
      <c r="E60" s="1155">
        <f t="shared" si="121"/>
        <v>0</v>
      </c>
      <c r="F60" s="1155">
        <f t="shared" si="121"/>
        <v>0</v>
      </c>
      <c r="G60" s="1155">
        <f t="shared" si="121"/>
        <v>0</v>
      </c>
      <c r="H60" s="1155">
        <f t="shared" si="121"/>
        <v>0</v>
      </c>
      <c r="I60" s="1158">
        <f t="shared" si="121"/>
        <v>0</v>
      </c>
      <c r="J60" s="566">
        <f t="shared" si="121"/>
        <v>0</v>
      </c>
      <c r="K60" s="567">
        <f t="shared" si="121"/>
        <v>0</v>
      </c>
      <c r="L60" s="568">
        <f t="shared" si="121"/>
        <v>0</v>
      </c>
      <c r="M60" s="1037" t="s">
        <v>701</v>
      </c>
      <c r="N60" s="568">
        <f t="shared" ref="N60:S60" si="122">N155</f>
        <v>0</v>
      </c>
      <c r="O60" s="569">
        <f t="shared" si="122"/>
        <v>0</v>
      </c>
      <c r="P60" s="569">
        <f t="shared" si="122"/>
        <v>0</v>
      </c>
      <c r="Q60" s="568">
        <f t="shared" si="122"/>
        <v>0</v>
      </c>
      <c r="R60" s="568">
        <f t="shared" si="122"/>
        <v>0</v>
      </c>
      <c r="S60" s="568">
        <f t="shared" si="122"/>
        <v>0</v>
      </c>
      <c r="T60" s="1037" t="s">
        <v>701</v>
      </c>
      <c r="U60" s="1037" t="s">
        <v>701</v>
      </c>
      <c r="V60" s="568">
        <f t="shared" si="111"/>
        <v>0</v>
      </c>
      <c r="W60" s="1037" t="s">
        <v>701</v>
      </c>
      <c r="X60" s="1148"/>
      <c r="Y60" s="1148"/>
      <c r="Z60" s="1099"/>
      <c r="AA60" s="1100">
        <f t="shared" si="2"/>
        <v>0</v>
      </c>
      <c r="AB60" s="1148"/>
      <c r="AC60" s="1148"/>
      <c r="AD60" s="1148"/>
      <c r="AE60" s="1150"/>
      <c r="AF60" s="1152"/>
      <c r="AG60" s="1044" t="str">
        <f t="shared" si="112"/>
        <v/>
      </c>
    </row>
    <row r="61" spans="4:33" ht="11.25" customHeight="1" thickBot="1" x14ac:dyDescent="0.25">
      <c r="D61" s="532" t="s">
        <v>418</v>
      </c>
      <c r="E61" s="570"/>
      <c r="F61" s="571"/>
      <c r="G61" s="571"/>
      <c r="H61" s="571"/>
      <c r="I61" s="572"/>
      <c r="J61" s="573"/>
      <c r="K61" s="908">
        <f>SUM(K54:K60)</f>
        <v>293</v>
      </c>
      <c r="L61" s="908">
        <f t="shared" ref="L61" si="123">SUM(L54:L60)</f>
        <v>0</v>
      </c>
      <c r="M61" s="1033" t="s">
        <v>701</v>
      </c>
      <c r="N61" s="909"/>
      <c r="O61" s="910"/>
      <c r="P61" s="910"/>
      <c r="Q61" s="910"/>
      <c r="R61" s="910"/>
      <c r="S61" s="908">
        <f t="shared" ref="S61:V61" si="124">SUM(S54:S60)</f>
        <v>0</v>
      </c>
      <c r="T61" s="1033" t="s">
        <v>701</v>
      </c>
      <c r="U61" s="1038" t="s">
        <v>701</v>
      </c>
      <c r="V61" s="911">
        <f t="shared" si="124"/>
        <v>336215.38227301708</v>
      </c>
      <c r="W61" s="1033" t="s">
        <v>701</v>
      </c>
      <c r="X61" s="1033" t="s">
        <v>701</v>
      </c>
      <c r="Y61" s="1033" t="s">
        <v>701</v>
      </c>
      <c r="Z61" s="1033" t="s">
        <v>701</v>
      </c>
      <c r="AA61" s="912"/>
      <c r="AB61" s="1033" t="s">
        <v>701</v>
      </c>
      <c r="AC61" s="1033" t="s">
        <v>701</v>
      </c>
      <c r="AD61" s="1033" t="s">
        <v>701</v>
      </c>
      <c r="AE61" s="1033" t="s">
        <v>701</v>
      </c>
      <c r="AF61" s="1033" t="s">
        <v>701</v>
      </c>
      <c r="AG61" s="1045"/>
    </row>
    <row r="62" spans="4:33" ht="11.25" customHeight="1" x14ac:dyDescent="0.25">
      <c r="D62" s="1153" t="str">
        <f t="shared" ref="D62:I62" si="125">D157</f>
        <v>L2 Buronga to Dinawan</v>
      </c>
      <c r="E62" s="1154">
        <f t="shared" si="125"/>
        <v>1570</v>
      </c>
      <c r="F62" s="1154" t="str">
        <f t="shared" si="125"/>
        <v>New Interconnector</v>
      </c>
      <c r="G62" s="1154" t="str">
        <f t="shared" si="125"/>
        <v>Net market benefit</v>
      </c>
      <c r="H62" s="1154">
        <f t="shared" si="125"/>
        <v>330</v>
      </c>
      <c r="I62" s="1156">
        <f t="shared" si="125"/>
        <v>376</v>
      </c>
      <c r="J62" s="560" t="str">
        <f>J157</f>
        <v>Double Circuit</v>
      </c>
      <c r="K62" s="561">
        <f t="shared" ref="K62:L62" si="126">K157</f>
        <v>799</v>
      </c>
      <c r="L62" s="541">
        <f t="shared" si="126"/>
        <v>0</v>
      </c>
      <c r="M62" s="1035" t="s">
        <v>701</v>
      </c>
      <c r="N62" s="541" t="str">
        <f t="shared" ref="N62:S62" si="127">N157</f>
        <v>Overhead line</v>
      </c>
      <c r="O62" s="562">
        <f t="shared" si="127"/>
        <v>0</v>
      </c>
      <c r="P62" s="562">
        <f t="shared" si="127"/>
        <v>1600</v>
      </c>
      <c r="Q62" s="562">
        <f t="shared" si="127"/>
        <v>0</v>
      </c>
      <c r="R62" s="562">
        <f t="shared" si="127"/>
        <v>1600</v>
      </c>
      <c r="S62" s="541">
        <f t="shared" si="127"/>
        <v>0</v>
      </c>
      <c r="T62" s="1035" t="s">
        <v>701</v>
      </c>
      <c r="U62" s="1035" t="s">
        <v>701</v>
      </c>
      <c r="V62" s="542">
        <f>V157</f>
        <v>1191748.8966497504</v>
      </c>
      <c r="W62" s="1035" t="s">
        <v>701</v>
      </c>
      <c r="X62" s="1147" t="s">
        <v>701</v>
      </c>
      <c r="Y62" s="1147" t="s">
        <v>701</v>
      </c>
      <c r="Z62" s="1159"/>
      <c r="AA62" s="1166">
        <f t="shared" si="2"/>
        <v>0</v>
      </c>
      <c r="AB62" s="1147" t="s">
        <v>701</v>
      </c>
      <c r="AC62" s="1147" t="s">
        <v>701</v>
      </c>
      <c r="AD62" s="1147" t="s">
        <v>701</v>
      </c>
      <c r="AE62" s="1149" t="s">
        <v>701</v>
      </c>
      <c r="AF62" s="1151" t="s">
        <v>701</v>
      </c>
      <c r="AG62" s="1040" t="str">
        <f>AG157</f>
        <v/>
      </c>
    </row>
    <row r="63" spans="4:33" ht="11.25" customHeight="1" x14ac:dyDescent="0.25">
      <c r="D63" s="1092">
        <f t="shared" ref="D63:L63" si="128">D158</f>
        <v>0</v>
      </c>
      <c r="E63" s="1093">
        <f t="shared" si="128"/>
        <v>0</v>
      </c>
      <c r="F63" s="1093">
        <f t="shared" si="128"/>
        <v>0</v>
      </c>
      <c r="G63" s="1093">
        <f t="shared" si="128"/>
        <v>0</v>
      </c>
      <c r="H63" s="1093">
        <f t="shared" si="128"/>
        <v>0</v>
      </c>
      <c r="I63" s="1157">
        <f t="shared" si="128"/>
        <v>0</v>
      </c>
      <c r="J63" s="563">
        <f t="shared" si="128"/>
        <v>0</v>
      </c>
      <c r="K63" s="564">
        <f t="shared" si="128"/>
        <v>0</v>
      </c>
      <c r="L63" s="529">
        <f t="shared" si="128"/>
        <v>0</v>
      </c>
      <c r="M63" s="1036" t="s">
        <v>701</v>
      </c>
      <c r="N63" s="529">
        <f t="shared" ref="N63:S63" si="129">N158</f>
        <v>0</v>
      </c>
      <c r="O63" s="565">
        <f t="shared" si="129"/>
        <v>0</v>
      </c>
      <c r="P63" s="565">
        <f t="shared" si="129"/>
        <v>0</v>
      </c>
      <c r="Q63" s="529">
        <f t="shared" si="129"/>
        <v>0</v>
      </c>
      <c r="R63" s="529">
        <f t="shared" si="129"/>
        <v>0</v>
      </c>
      <c r="S63" s="529">
        <f t="shared" si="129"/>
        <v>0</v>
      </c>
      <c r="T63" s="1036" t="s">
        <v>701</v>
      </c>
      <c r="U63" s="1036" t="s">
        <v>701</v>
      </c>
      <c r="V63" s="529">
        <f t="shared" ref="V63:V68" si="130">V158</f>
        <v>0</v>
      </c>
      <c r="W63" s="1036" t="s">
        <v>701</v>
      </c>
      <c r="X63" s="1148"/>
      <c r="Y63" s="1148"/>
      <c r="Z63" s="1099"/>
      <c r="AA63" s="1100">
        <f t="shared" si="2"/>
        <v>0</v>
      </c>
      <c r="AB63" s="1148"/>
      <c r="AC63" s="1148"/>
      <c r="AD63" s="1148"/>
      <c r="AE63" s="1150"/>
      <c r="AF63" s="1152"/>
      <c r="AG63" s="1041" t="str">
        <f t="shared" ref="AG63:AG68" si="131">AG158</f>
        <v/>
      </c>
    </row>
    <row r="64" spans="4:33" ht="11.25" customHeight="1" x14ac:dyDescent="0.25">
      <c r="D64" s="1092">
        <f t="shared" ref="D64:L64" si="132">D159</f>
        <v>0</v>
      </c>
      <c r="E64" s="1093">
        <f t="shared" si="132"/>
        <v>0</v>
      </c>
      <c r="F64" s="1093">
        <f t="shared" si="132"/>
        <v>0</v>
      </c>
      <c r="G64" s="1093">
        <f t="shared" si="132"/>
        <v>0</v>
      </c>
      <c r="H64" s="1093">
        <f t="shared" si="132"/>
        <v>0</v>
      </c>
      <c r="I64" s="1157">
        <f t="shared" si="132"/>
        <v>0</v>
      </c>
      <c r="J64" s="563">
        <f t="shared" si="132"/>
        <v>0</v>
      </c>
      <c r="K64" s="564">
        <f t="shared" si="132"/>
        <v>0</v>
      </c>
      <c r="L64" s="529">
        <f t="shared" si="132"/>
        <v>0</v>
      </c>
      <c r="M64" s="1036" t="s">
        <v>701</v>
      </c>
      <c r="N64" s="529">
        <f t="shared" ref="N64:S64" si="133">N159</f>
        <v>0</v>
      </c>
      <c r="O64" s="565">
        <f t="shared" si="133"/>
        <v>0</v>
      </c>
      <c r="P64" s="565">
        <f t="shared" si="133"/>
        <v>0</v>
      </c>
      <c r="Q64" s="529">
        <f t="shared" si="133"/>
        <v>0</v>
      </c>
      <c r="R64" s="529">
        <f t="shared" si="133"/>
        <v>0</v>
      </c>
      <c r="S64" s="529">
        <f t="shared" si="133"/>
        <v>0</v>
      </c>
      <c r="T64" s="1036" t="s">
        <v>701</v>
      </c>
      <c r="U64" s="1036" t="s">
        <v>701</v>
      </c>
      <c r="V64" s="529">
        <f t="shared" si="130"/>
        <v>0</v>
      </c>
      <c r="W64" s="1036" t="s">
        <v>701</v>
      </c>
      <c r="X64" s="1148"/>
      <c r="Y64" s="1148"/>
      <c r="Z64" s="1099"/>
      <c r="AA64" s="1100">
        <f t="shared" si="2"/>
        <v>0</v>
      </c>
      <c r="AB64" s="1148"/>
      <c r="AC64" s="1148"/>
      <c r="AD64" s="1148"/>
      <c r="AE64" s="1150"/>
      <c r="AF64" s="1152"/>
      <c r="AG64" s="1041" t="str">
        <f t="shared" si="131"/>
        <v/>
      </c>
    </row>
    <row r="65" spans="4:33" ht="11.25" customHeight="1" x14ac:dyDescent="0.25">
      <c r="D65" s="1092">
        <f t="shared" ref="D65:L65" si="134">D160</f>
        <v>0</v>
      </c>
      <c r="E65" s="1093">
        <f t="shared" si="134"/>
        <v>0</v>
      </c>
      <c r="F65" s="1093">
        <f t="shared" si="134"/>
        <v>0</v>
      </c>
      <c r="G65" s="1093">
        <f t="shared" si="134"/>
        <v>0</v>
      </c>
      <c r="H65" s="1093">
        <f t="shared" si="134"/>
        <v>0</v>
      </c>
      <c r="I65" s="1157">
        <f t="shared" si="134"/>
        <v>0</v>
      </c>
      <c r="J65" s="563">
        <f t="shared" si="134"/>
        <v>0</v>
      </c>
      <c r="K65" s="564">
        <f t="shared" si="134"/>
        <v>0</v>
      </c>
      <c r="L65" s="529">
        <f t="shared" si="134"/>
        <v>0</v>
      </c>
      <c r="M65" s="1036" t="s">
        <v>701</v>
      </c>
      <c r="N65" s="529">
        <f t="shared" ref="N65:S65" si="135">N160</f>
        <v>0</v>
      </c>
      <c r="O65" s="565">
        <f t="shared" si="135"/>
        <v>0</v>
      </c>
      <c r="P65" s="565">
        <f t="shared" si="135"/>
        <v>0</v>
      </c>
      <c r="Q65" s="529">
        <f t="shared" si="135"/>
        <v>0</v>
      </c>
      <c r="R65" s="529">
        <f t="shared" si="135"/>
        <v>0</v>
      </c>
      <c r="S65" s="529">
        <f t="shared" si="135"/>
        <v>0</v>
      </c>
      <c r="T65" s="1036" t="s">
        <v>701</v>
      </c>
      <c r="U65" s="1036" t="s">
        <v>701</v>
      </c>
      <c r="V65" s="529">
        <f t="shared" si="130"/>
        <v>0</v>
      </c>
      <c r="W65" s="1036" t="s">
        <v>701</v>
      </c>
      <c r="X65" s="1148"/>
      <c r="Y65" s="1148"/>
      <c r="Z65" s="1099"/>
      <c r="AA65" s="1100">
        <f t="shared" si="2"/>
        <v>0</v>
      </c>
      <c r="AB65" s="1148"/>
      <c r="AC65" s="1148"/>
      <c r="AD65" s="1148"/>
      <c r="AE65" s="1150"/>
      <c r="AF65" s="1152"/>
      <c r="AG65" s="1041" t="str">
        <f t="shared" si="131"/>
        <v/>
      </c>
    </row>
    <row r="66" spans="4:33" ht="11.25" customHeight="1" x14ac:dyDescent="0.25">
      <c r="D66" s="1092">
        <f t="shared" ref="D66:L66" si="136">D161</f>
        <v>0</v>
      </c>
      <c r="E66" s="1093">
        <f t="shared" si="136"/>
        <v>0</v>
      </c>
      <c r="F66" s="1093">
        <f t="shared" si="136"/>
        <v>0</v>
      </c>
      <c r="G66" s="1093">
        <f t="shared" si="136"/>
        <v>0</v>
      </c>
      <c r="H66" s="1093">
        <f t="shared" si="136"/>
        <v>0</v>
      </c>
      <c r="I66" s="1157">
        <f t="shared" si="136"/>
        <v>0</v>
      </c>
      <c r="J66" s="563">
        <f t="shared" si="136"/>
        <v>0</v>
      </c>
      <c r="K66" s="564">
        <f t="shared" si="136"/>
        <v>0</v>
      </c>
      <c r="L66" s="529">
        <f t="shared" si="136"/>
        <v>0</v>
      </c>
      <c r="M66" s="1036" t="s">
        <v>701</v>
      </c>
      <c r="N66" s="529">
        <f t="shared" ref="N66:S66" si="137">N161</f>
        <v>0</v>
      </c>
      <c r="O66" s="565">
        <f t="shared" si="137"/>
        <v>0</v>
      </c>
      <c r="P66" s="565">
        <f t="shared" si="137"/>
        <v>0</v>
      </c>
      <c r="Q66" s="529">
        <f t="shared" si="137"/>
        <v>0</v>
      </c>
      <c r="R66" s="529">
        <f t="shared" si="137"/>
        <v>0</v>
      </c>
      <c r="S66" s="529">
        <f t="shared" si="137"/>
        <v>0</v>
      </c>
      <c r="T66" s="1036" t="s">
        <v>701</v>
      </c>
      <c r="U66" s="1036" t="s">
        <v>701</v>
      </c>
      <c r="V66" s="529">
        <f t="shared" si="130"/>
        <v>0</v>
      </c>
      <c r="W66" s="1036" t="s">
        <v>701</v>
      </c>
      <c r="X66" s="1148"/>
      <c r="Y66" s="1148"/>
      <c r="Z66" s="1099"/>
      <c r="AA66" s="1100">
        <f t="shared" si="2"/>
        <v>0</v>
      </c>
      <c r="AB66" s="1148"/>
      <c r="AC66" s="1148"/>
      <c r="AD66" s="1148"/>
      <c r="AE66" s="1150"/>
      <c r="AF66" s="1152"/>
      <c r="AG66" s="1041" t="str">
        <f t="shared" si="131"/>
        <v/>
      </c>
    </row>
    <row r="67" spans="4:33" ht="11.25" customHeight="1" x14ac:dyDescent="0.25">
      <c r="D67" s="1092">
        <f t="shared" ref="D67:L67" si="138">D162</f>
        <v>0</v>
      </c>
      <c r="E67" s="1093">
        <f t="shared" si="138"/>
        <v>0</v>
      </c>
      <c r="F67" s="1093">
        <f t="shared" si="138"/>
        <v>0</v>
      </c>
      <c r="G67" s="1093">
        <f t="shared" si="138"/>
        <v>0</v>
      </c>
      <c r="H67" s="1093">
        <f t="shared" si="138"/>
        <v>0</v>
      </c>
      <c r="I67" s="1157">
        <f t="shared" si="138"/>
        <v>0</v>
      </c>
      <c r="J67" s="563">
        <f t="shared" si="138"/>
        <v>0</v>
      </c>
      <c r="K67" s="564">
        <f t="shared" si="138"/>
        <v>0</v>
      </c>
      <c r="L67" s="529">
        <f t="shared" si="138"/>
        <v>0</v>
      </c>
      <c r="M67" s="1036" t="s">
        <v>701</v>
      </c>
      <c r="N67" s="529">
        <f t="shared" ref="N67:S67" si="139">N162</f>
        <v>0</v>
      </c>
      <c r="O67" s="565">
        <f t="shared" si="139"/>
        <v>0</v>
      </c>
      <c r="P67" s="565">
        <f t="shared" si="139"/>
        <v>0</v>
      </c>
      <c r="Q67" s="529">
        <f t="shared" si="139"/>
        <v>0</v>
      </c>
      <c r="R67" s="529">
        <f t="shared" si="139"/>
        <v>0</v>
      </c>
      <c r="S67" s="529">
        <f t="shared" si="139"/>
        <v>0</v>
      </c>
      <c r="T67" s="1036" t="s">
        <v>701</v>
      </c>
      <c r="U67" s="1036" t="s">
        <v>701</v>
      </c>
      <c r="V67" s="529">
        <f t="shared" si="130"/>
        <v>0</v>
      </c>
      <c r="W67" s="1036" t="s">
        <v>701</v>
      </c>
      <c r="X67" s="1148"/>
      <c r="Y67" s="1148"/>
      <c r="Z67" s="1099"/>
      <c r="AA67" s="1100">
        <f t="shared" si="2"/>
        <v>0</v>
      </c>
      <c r="AB67" s="1148"/>
      <c r="AC67" s="1148"/>
      <c r="AD67" s="1148"/>
      <c r="AE67" s="1150"/>
      <c r="AF67" s="1152"/>
      <c r="AG67" s="1041" t="str">
        <f t="shared" si="131"/>
        <v/>
      </c>
    </row>
    <row r="68" spans="4:33" ht="11.25" customHeight="1" x14ac:dyDescent="0.25">
      <c r="D68" s="1092">
        <f t="shared" ref="D68:L68" si="140">D163</f>
        <v>0</v>
      </c>
      <c r="E68" s="1155">
        <f t="shared" si="140"/>
        <v>0</v>
      </c>
      <c r="F68" s="1155">
        <f t="shared" si="140"/>
        <v>0</v>
      </c>
      <c r="G68" s="1155">
        <f t="shared" si="140"/>
        <v>0</v>
      </c>
      <c r="H68" s="1155">
        <f t="shared" si="140"/>
        <v>0</v>
      </c>
      <c r="I68" s="1158">
        <f t="shared" si="140"/>
        <v>0</v>
      </c>
      <c r="J68" s="566">
        <f t="shared" si="140"/>
        <v>0</v>
      </c>
      <c r="K68" s="567">
        <f t="shared" si="140"/>
        <v>0</v>
      </c>
      <c r="L68" s="568">
        <f t="shared" si="140"/>
        <v>0</v>
      </c>
      <c r="M68" s="1037" t="s">
        <v>701</v>
      </c>
      <c r="N68" s="568">
        <f t="shared" ref="N68:S68" si="141">N163</f>
        <v>0</v>
      </c>
      <c r="O68" s="569">
        <f t="shared" si="141"/>
        <v>0</v>
      </c>
      <c r="P68" s="569">
        <f t="shared" si="141"/>
        <v>0</v>
      </c>
      <c r="Q68" s="568">
        <f t="shared" si="141"/>
        <v>0</v>
      </c>
      <c r="R68" s="568">
        <f t="shared" si="141"/>
        <v>0</v>
      </c>
      <c r="S68" s="568">
        <f t="shared" si="141"/>
        <v>0</v>
      </c>
      <c r="T68" s="1037" t="s">
        <v>701</v>
      </c>
      <c r="U68" s="1037" t="s">
        <v>701</v>
      </c>
      <c r="V68" s="568">
        <f t="shared" si="130"/>
        <v>0</v>
      </c>
      <c r="W68" s="1037" t="s">
        <v>701</v>
      </c>
      <c r="X68" s="1148"/>
      <c r="Y68" s="1148"/>
      <c r="Z68" s="1099"/>
      <c r="AA68" s="1100">
        <f t="shared" si="2"/>
        <v>0</v>
      </c>
      <c r="AB68" s="1148"/>
      <c r="AC68" s="1148"/>
      <c r="AD68" s="1148"/>
      <c r="AE68" s="1150"/>
      <c r="AF68" s="1152"/>
      <c r="AG68" s="1044" t="str">
        <f t="shared" si="131"/>
        <v/>
      </c>
    </row>
    <row r="69" spans="4:33" ht="11.25" customHeight="1" thickBot="1" x14ac:dyDescent="0.25">
      <c r="D69" s="532" t="s">
        <v>418</v>
      </c>
      <c r="E69" s="570"/>
      <c r="F69" s="571"/>
      <c r="G69" s="571"/>
      <c r="H69" s="571"/>
      <c r="I69" s="572"/>
      <c r="J69" s="573"/>
      <c r="K69" s="908">
        <f>SUM(K62:K68)</f>
        <v>799</v>
      </c>
      <c r="L69" s="908">
        <f t="shared" ref="L69" si="142">SUM(L62:L68)</f>
        <v>0</v>
      </c>
      <c r="M69" s="1033" t="s">
        <v>701</v>
      </c>
      <c r="N69" s="909"/>
      <c r="O69" s="910"/>
      <c r="P69" s="910"/>
      <c r="Q69" s="910"/>
      <c r="R69" s="910"/>
      <c r="S69" s="908">
        <f t="shared" ref="S69:V69" si="143">SUM(S62:S68)</f>
        <v>0</v>
      </c>
      <c r="T69" s="1033" t="s">
        <v>701</v>
      </c>
      <c r="U69" s="1038" t="s">
        <v>701</v>
      </c>
      <c r="V69" s="911">
        <f t="shared" si="143"/>
        <v>1191748.8966497504</v>
      </c>
      <c r="W69" s="1033" t="s">
        <v>701</v>
      </c>
      <c r="X69" s="1033" t="s">
        <v>701</v>
      </c>
      <c r="Y69" s="1033" t="s">
        <v>701</v>
      </c>
      <c r="Z69" s="1033" t="s">
        <v>701</v>
      </c>
      <c r="AA69" s="912"/>
      <c r="AB69" s="1033" t="s">
        <v>701</v>
      </c>
      <c r="AC69" s="1033" t="s">
        <v>701</v>
      </c>
      <c r="AD69" s="1033" t="s">
        <v>701</v>
      </c>
      <c r="AE69" s="1033" t="s">
        <v>701</v>
      </c>
      <c r="AF69" s="1033" t="s">
        <v>701</v>
      </c>
      <c r="AG69" s="1045"/>
    </row>
    <row r="70" spans="4:33" ht="11.25" customHeight="1" x14ac:dyDescent="0.25">
      <c r="D70" s="1153" t="str">
        <f t="shared" ref="D70:I70" si="144">D165</f>
        <v>L3 Dinawan to Wagga Expansion</v>
      </c>
      <c r="E70" s="1154">
        <f t="shared" si="144"/>
        <v>1570</v>
      </c>
      <c r="F70" s="1154" t="str">
        <f t="shared" si="144"/>
        <v>New Interconnector</v>
      </c>
      <c r="G70" s="1154" t="str">
        <f t="shared" si="144"/>
        <v>Net market benefit</v>
      </c>
      <c r="H70" s="1154">
        <f t="shared" si="144"/>
        <v>330</v>
      </c>
      <c r="I70" s="1156">
        <f t="shared" si="144"/>
        <v>161</v>
      </c>
      <c r="J70" s="560" t="str">
        <f>J165</f>
        <v>Double Circuit</v>
      </c>
      <c r="K70" s="561">
        <f t="shared" ref="K70:L70" si="145">K165</f>
        <v>360</v>
      </c>
      <c r="L70" s="541">
        <f t="shared" si="145"/>
        <v>0</v>
      </c>
      <c r="M70" s="1035" t="s">
        <v>701</v>
      </c>
      <c r="N70" s="541" t="str">
        <f t="shared" ref="N70:S70" si="146">N165</f>
        <v>Overhead line</v>
      </c>
      <c r="O70" s="562">
        <f t="shared" si="146"/>
        <v>0</v>
      </c>
      <c r="P70" s="562">
        <f t="shared" si="146"/>
        <v>1600</v>
      </c>
      <c r="Q70" s="562">
        <f t="shared" si="146"/>
        <v>0</v>
      </c>
      <c r="R70" s="562">
        <f t="shared" si="146"/>
        <v>1600</v>
      </c>
      <c r="S70" s="541">
        <f t="shared" si="146"/>
        <v>0</v>
      </c>
      <c r="T70" s="1035" t="s">
        <v>701</v>
      </c>
      <c r="U70" s="1035" t="s">
        <v>701</v>
      </c>
      <c r="V70" s="542">
        <f>V165</f>
        <v>567601.51629830501</v>
      </c>
      <c r="W70" s="1035" t="s">
        <v>701</v>
      </c>
      <c r="X70" s="1147" t="s">
        <v>701</v>
      </c>
      <c r="Y70" s="1147" t="s">
        <v>701</v>
      </c>
      <c r="Z70" s="1159"/>
      <c r="AA70" s="1166">
        <f t="shared" si="2"/>
        <v>0</v>
      </c>
      <c r="AB70" s="1147" t="s">
        <v>701</v>
      </c>
      <c r="AC70" s="1147" t="s">
        <v>701</v>
      </c>
      <c r="AD70" s="1147" t="s">
        <v>701</v>
      </c>
      <c r="AE70" s="1149" t="s">
        <v>701</v>
      </c>
      <c r="AF70" s="1151" t="s">
        <v>701</v>
      </c>
      <c r="AG70" s="1040" t="str">
        <f>AG165</f>
        <v/>
      </c>
    </row>
    <row r="71" spans="4:33" ht="11.25" customHeight="1" x14ac:dyDescent="0.25">
      <c r="D71" s="1092">
        <f t="shared" ref="D71:L71" si="147">D166</f>
        <v>0</v>
      </c>
      <c r="E71" s="1093">
        <f t="shared" si="147"/>
        <v>0</v>
      </c>
      <c r="F71" s="1093">
        <f t="shared" si="147"/>
        <v>0</v>
      </c>
      <c r="G71" s="1093">
        <f t="shared" si="147"/>
        <v>0</v>
      </c>
      <c r="H71" s="1093">
        <f t="shared" si="147"/>
        <v>0</v>
      </c>
      <c r="I71" s="1157">
        <f t="shared" si="147"/>
        <v>0</v>
      </c>
      <c r="J71" s="563">
        <f t="shared" si="147"/>
        <v>0</v>
      </c>
      <c r="K71" s="564">
        <f t="shared" si="147"/>
        <v>0</v>
      </c>
      <c r="L71" s="529">
        <f t="shared" si="147"/>
        <v>0</v>
      </c>
      <c r="M71" s="1036" t="s">
        <v>701</v>
      </c>
      <c r="N71" s="529">
        <f t="shared" ref="N71:S71" si="148">N166</f>
        <v>0</v>
      </c>
      <c r="O71" s="565">
        <f t="shared" si="148"/>
        <v>0</v>
      </c>
      <c r="P71" s="565">
        <f t="shared" si="148"/>
        <v>0</v>
      </c>
      <c r="Q71" s="529">
        <f t="shared" si="148"/>
        <v>0</v>
      </c>
      <c r="R71" s="529">
        <f t="shared" si="148"/>
        <v>0</v>
      </c>
      <c r="S71" s="529">
        <f t="shared" si="148"/>
        <v>0</v>
      </c>
      <c r="T71" s="1036" t="s">
        <v>701</v>
      </c>
      <c r="U71" s="1036" t="s">
        <v>701</v>
      </c>
      <c r="V71" s="529">
        <f t="shared" ref="V71:V76" si="149">V166</f>
        <v>0</v>
      </c>
      <c r="W71" s="1036" t="s">
        <v>701</v>
      </c>
      <c r="X71" s="1148"/>
      <c r="Y71" s="1148"/>
      <c r="Z71" s="1099"/>
      <c r="AA71" s="1100">
        <f t="shared" si="2"/>
        <v>0</v>
      </c>
      <c r="AB71" s="1148"/>
      <c r="AC71" s="1148"/>
      <c r="AD71" s="1148"/>
      <c r="AE71" s="1150"/>
      <c r="AF71" s="1152"/>
      <c r="AG71" s="1041" t="str">
        <f t="shared" ref="AG71:AG76" si="150">AG166</f>
        <v/>
      </c>
    </row>
    <row r="72" spans="4:33" ht="11.25" customHeight="1" x14ac:dyDescent="0.25">
      <c r="D72" s="1092">
        <f t="shared" ref="D72:L72" si="151">D167</f>
        <v>0</v>
      </c>
      <c r="E72" s="1093">
        <f t="shared" si="151"/>
        <v>0</v>
      </c>
      <c r="F72" s="1093">
        <f t="shared" si="151"/>
        <v>0</v>
      </c>
      <c r="G72" s="1093">
        <f t="shared" si="151"/>
        <v>0</v>
      </c>
      <c r="H72" s="1093">
        <f t="shared" si="151"/>
        <v>0</v>
      </c>
      <c r="I72" s="1157">
        <f t="shared" si="151"/>
        <v>0</v>
      </c>
      <c r="J72" s="563">
        <f t="shared" si="151"/>
        <v>0</v>
      </c>
      <c r="K72" s="564">
        <f t="shared" si="151"/>
        <v>0</v>
      </c>
      <c r="L72" s="529">
        <f t="shared" si="151"/>
        <v>0</v>
      </c>
      <c r="M72" s="1036" t="s">
        <v>701</v>
      </c>
      <c r="N72" s="529">
        <f t="shared" ref="N72:S72" si="152">N167</f>
        <v>0</v>
      </c>
      <c r="O72" s="565">
        <f t="shared" si="152"/>
        <v>0</v>
      </c>
      <c r="P72" s="565">
        <f t="shared" si="152"/>
        <v>0</v>
      </c>
      <c r="Q72" s="529">
        <f t="shared" si="152"/>
        <v>0</v>
      </c>
      <c r="R72" s="529">
        <f t="shared" si="152"/>
        <v>0</v>
      </c>
      <c r="S72" s="529">
        <f t="shared" si="152"/>
        <v>0</v>
      </c>
      <c r="T72" s="1036" t="s">
        <v>701</v>
      </c>
      <c r="U72" s="1036" t="s">
        <v>701</v>
      </c>
      <c r="V72" s="529">
        <f t="shared" si="149"/>
        <v>0</v>
      </c>
      <c r="W72" s="1036" t="s">
        <v>701</v>
      </c>
      <c r="X72" s="1148"/>
      <c r="Y72" s="1148"/>
      <c r="Z72" s="1099"/>
      <c r="AA72" s="1100">
        <f t="shared" si="2"/>
        <v>0</v>
      </c>
      <c r="AB72" s="1148"/>
      <c r="AC72" s="1148"/>
      <c r="AD72" s="1148"/>
      <c r="AE72" s="1150"/>
      <c r="AF72" s="1152"/>
      <c r="AG72" s="1041" t="str">
        <f t="shared" si="150"/>
        <v/>
      </c>
    </row>
    <row r="73" spans="4:33" ht="11.25" customHeight="1" x14ac:dyDescent="0.25">
      <c r="D73" s="1092">
        <f t="shared" ref="D73:L73" si="153">D168</f>
        <v>0</v>
      </c>
      <c r="E73" s="1093">
        <f t="shared" si="153"/>
        <v>0</v>
      </c>
      <c r="F73" s="1093">
        <f t="shared" si="153"/>
        <v>0</v>
      </c>
      <c r="G73" s="1093">
        <f t="shared" si="153"/>
        <v>0</v>
      </c>
      <c r="H73" s="1093">
        <f t="shared" si="153"/>
        <v>0</v>
      </c>
      <c r="I73" s="1157">
        <f t="shared" si="153"/>
        <v>0</v>
      </c>
      <c r="J73" s="563">
        <f t="shared" si="153"/>
        <v>0</v>
      </c>
      <c r="K73" s="564">
        <f t="shared" si="153"/>
        <v>0</v>
      </c>
      <c r="L73" s="529">
        <f t="shared" si="153"/>
        <v>0</v>
      </c>
      <c r="M73" s="1036" t="s">
        <v>701</v>
      </c>
      <c r="N73" s="529">
        <f t="shared" ref="N73:S73" si="154">N168</f>
        <v>0</v>
      </c>
      <c r="O73" s="565">
        <f t="shared" si="154"/>
        <v>0</v>
      </c>
      <c r="P73" s="565">
        <f t="shared" si="154"/>
        <v>0</v>
      </c>
      <c r="Q73" s="529">
        <f t="shared" si="154"/>
        <v>0</v>
      </c>
      <c r="R73" s="529">
        <f t="shared" si="154"/>
        <v>0</v>
      </c>
      <c r="S73" s="529">
        <f t="shared" si="154"/>
        <v>0</v>
      </c>
      <c r="T73" s="1036" t="s">
        <v>701</v>
      </c>
      <c r="U73" s="1036" t="s">
        <v>701</v>
      </c>
      <c r="V73" s="529">
        <f t="shared" si="149"/>
        <v>0</v>
      </c>
      <c r="W73" s="1036" t="s">
        <v>701</v>
      </c>
      <c r="X73" s="1148"/>
      <c r="Y73" s="1148"/>
      <c r="Z73" s="1099"/>
      <c r="AA73" s="1100">
        <f t="shared" si="2"/>
        <v>0</v>
      </c>
      <c r="AB73" s="1148"/>
      <c r="AC73" s="1148"/>
      <c r="AD73" s="1148"/>
      <c r="AE73" s="1150"/>
      <c r="AF73" s="1152"/>
      <c r="AG73" s="1041" t="str">
        <f t="shared" si="150"/>
        <v/>
      </c>
    </row>
    <row r="74" spans="4:33" ht="11.25" customHeight="1" x14ac:dyDescent="0.25">
      <c r="D74" s="1092">
        <f t="shared" ref="D74:L74" si="155">D169</f>
        <v>0</v>
      </c>
      <c r="E74" s="1093">
        <f t="shared" si="155"/>
        <v>0</v>
      </c>
      <c r="F74" s="1093">
        <f t="shared" si="155"/>
        <v>0</v>
      </c>
      <c r="G74" s="1093">
        <f t="shared" si="155"/>
        <v>0</v>
      </c>
      <c r="H74" s="1093">
        <f t="shared" si="155"/>
        <v>0</v>
      </c>
      <c r="I74" s="1157">
        <f t="shared" si="155"/>
        <v>0</v>
      </c>
      <c r="J74" s="563">
        <f t="shared" si="155"/>
        <v>0</v>
      </c>
      <c r="K74" s="564">
        <f t="shared" si="155"/>
        <v>0</v>
      </c>
      <c r="L74" s="529">
        <f t="shared" si="155"/>
        <v>0</v>
      </c>
      <c r="M74" s="1036" t="s">
        <v>701</v>
      </c>
      <c r="N74" s="529">
        <f t="shared" ref="N74:S74" si="156">N169</f>
        <v>0</v>
      </c>
      <c r="O74" s="565">
        <f t="shared" si="156"/>
        <v>0</v>
      </c>
      <c r="P74" s="565">
        <f t="shared" si="156"/>
        <v>0</v>
      </c>
      <c r="Q74" s="529">
        <f t="shared" si="156"/>
        <v>0</v>
      </c>
      <c r="R74" s="529">
        <f t="shared" si="156"/>
        <v>0</v>
      </c>
      <c r="S74" s="529">
        <f t="shared" si="156"/>
        <v>0</v>
      </c>
      <c r="T74" s="1036" t="s">
        <v>701</v>
      </c>
      <c r="U74" s="1036" t="s">
        <v>701</v>
      </c>
      <c r="V74" s="529">
        <f t="shared" si="149"/>
        <v>0</v>
      </c>
      <c r="W74" s="1036" t="s">
        <v>701</v>
      </c>
      <c r="X74" s="1148"/>
      <c r="Y74" s="1148"/>
      <c r="Z74" s="1099"/>
      <c r="AA74" s="1100">
        <f t="shared" si="2"/>
        <v>0</v>
      </c>
      <c r="AB74" s="1148"/>
      <c r="AC74" s="1148"/>
      <c r="AD74" s="1148"/>
      <c r="AE74" s="1150"/>
      <c r="AF74" s="1152"/>
      <c r="AG74" s="1041" t="str">
        <f t="shared" si="150"/>
        <v/>
      </c>
    </row>
    <row r="75" spans="4:33" ht="11.25" customHeight="1" x14ac:dyDescent="0.25">
      <c r="D75" s="1092">
        <f t="shared" ref="D75:L75" si="157">D170</f>
        <v>0</v>
      </c>
      <c r="E75" s="1093">
        <f t="shared" si="157"/>
        <v>0</v>
      </c>
      <c r="F75" s="1093">
        <f t="shared" si="157"/>
        <v>0</v>
      </c>
      <c r="G75" s="1093">
        <f t="shared" si="157"/>
        <v>0</v>
      </c>
      <c r="H75" s="1093">
        <f t="shared" si="157"/>
        <v>0</v>
      </c>
      <c r="I75" s="1157">
        <f t="shared" si="157"/>
        <v>0</v>
      </c>
      <c r="J75" s="563">
        <f t="shared" si="157"/>
        <v>0</v>
      </c>
      <c r="K75" s="564">
        <f t="shared" si="157"/>
        <v>0</v>
      </c>
      <c r="L75" s="529">
        <f t="shared" si="157"/>
        <v>0</v>
      </c>
      <c r="M75" s="1036" t="s">
        <v>701</v>
      </c>
      <c r="N75" s="529">
        <f t="shared" ref="N75:S75" si="158">N170</f>
        <v>0</v>
      </c>
      <c r="O75" s="565">
        <f t="shared" si="158"/>
        <v>0</v>
      </c>
      <c r="P75" s="565">
        <f t="shared" si="158"/>
        <v>0</v>
      </c>
      <c r="Q75" s="529">
        <f t="shared" si="158"/>
        <v>0</v>
      </c>
      <c r="R75" s="529">
        <f t="shared" si="158"/>
        <v>0</v>
      </c>
      <c r="S75" s="529">
        <f t="shared" si="158"/>
        <v>0</v>
      </c>
      <c r="T75" s="1036" t="s">
        <v>701</v>
      </c>
      <c r="U75" s="1036" t="s">
        <v>701</v>
      </c>
      <c r="V75" s="529">
        <f t="shared" si="149"/>
        <v>0</v>
      </c>
      <c r="W75" s="1036" t="s">
        <v>701</v>
      </c>
      <c r="X75" s="1148"/>
      <c r="Y75" s="1148"/>
      <c r="Z75" s="1099"/>
      <c r="AA75" s="1100">
        <f t="shared" si="2"/>
        <v>0</v>
      </c>
      <c r="AB75" s="1148"/>
      <c r="AC75" s="1148"/>
      <c r="AD75" s="1148"/>
      <c r="AE75" s="1150"/>
      <c r="AF75" s="1152"/>
      <c r="AG75" s="1041" t="str">
        <f t="shared" si="150"/>
        <v/>
      </c>
    </row>
    <row r="76" spans="4:33" ht="11.25" customHeight="1" x14ac:dyDescent="0.25">
      <c r="D76" s="1092">
        <f t="shared" ref="D76:L76" si="159">D171</f>
        <v>0</v>
      </c>
      <c r="E76" s="1155">
        <f t="shared" si="159"/>
        <v>0</v>
      </c>
      <c r="F76" s="1155">
        <f t="shared" si="159"/>
        <v>0</v>
      </c>
      <c r="G76" s="1155">
        <f t="shared" si="159"/>
        <v>0</v>
      </c>
      <c r="H76" s="1155">
        <f t="shared" si="159"/>
        <v>0</v>
      </c>
      <c r="I76" s="1158">
        <f t="shared" si="159"/>
        <v>0</v>
      </c>
      <c r="J76" s="566">
        <f t="shared" si="159"/>
        <v>0</v>
      </c>
      <c r="K76" s="567">
        <f t="shared" si="159"/>
        <v>0</v>
      </c>
      <c r="L76" s="568">
        <f t="shared" si="159"/>
        <v>0</v>
      </c>
      <c r="M76" s="1037" t="s">
        <v>701</v>
      </c>
      <c r="N76" s="568">
        <f t="shared" ref="N76:S76" si="160">N171</f>
        <v>0</v>
      </c>
      <c r="O76" s="569">
        <f t="shared" si="160"/>
        <v>0</v>
      </c>
      <c r="P76" s="569">
        <f t="shared" si="160"/>
        <v>0</v>
      </c>
      <c r="Q76" s="568">
        <f t="shared" si="160"/>
        <v>0</v>
      </c>
      <c r="R76" s="568">
        <f t="shared" si="160"/>
        <v>0</v>
      </c>
      <c r="S76" s="568">
        <f t="shared" si="160"/>
        <v>0</v>
      </c>
      <c r="T76" s="1037" t="s">
        <v>701</v>
      </c>
      <c r="U76" s="1037" t="s">
        <v>701</v>
      </c>
      <c r="V76" s="568">
        <f t="shared" si="149"/>
        <v>0</v>
      </c>
      <c r="W76" s="1037" t="s">
        <v>701</v>
      </c>
      <c r="X76" s="1148"/>
      <c r="Y76" s="1148"/>
      <c r="Z76" s="1099"/>
      <c r="AA76" s="1100">
        <f t="shared" si="2"/>
        <v>0</v>
      </c>
      <c r="AB76" s="1148"/>
      <c r="AC76" s="1148"/>
      <c r="AD76" s="1148"/>
      <c r="AE76" s="1150"/>
      <c r="AF76" s="1152"/>
      <c r="AG76" s="1044" t="str">
        <f t="shared" si="150"/>
        <v/>
      </c>
    </row>
    <row r="77" spans="4:33" ht="11.25" customHeight="1" thickBot="1" x14ac:dyDescent="0.25">
      <c r="D77" s="532" t="s">
        <v>418</v>
      </c>
      <c r="E77" s="570"/>
      <c r="F77" s="571"/>
      <c r="G77" s="571"/>
      <c r="H77" s="571"/>
      <c r="I77" s="572"/>
      <c r="J77" s="573"/>
      <c r="K77" s="908">
        <f>SUM(K70:K76)</f>
        <v>360</v>
      </c>
      <c r="L77" s="908">
        <f t="shared" ref="L77" si="161">SUM(L70:L76)</f>
        <v>0</v>
      </c>
      <c r="M77" s="1033" t="s">
        <v>701</v>
      </c>
      <c r="N77" s="909"/>
      <c r="O77" s="910"/>
      <c r="P77" s="910"/>
      <c r="Q77" s="910"/>
      <c r="R77" s="910"/>
      <c r="S77" s="908">
        <f t="shared" ref="S77:V77" si="162">SUM(S70:S76)</f>
        <v>0</v>
      </c>
      <c r="T77" s="1033" t="s">
        <v>701</v>
      </c>
      <c r="U77" s="1038" t="s">
        <v>701</v>
      </c>
      <c r="V77" s="911">
        <f t="shared" si="162"/>
        <v>567601.51629830501</v>
      </c>
      <c r="W77" s="1033" t="s">
        <v>701</v>
      </c>
      <c r="X77" s="1033" t="s">
        <v>701</v>
      </c>
      <c r="Y77" s="1033" t="s">
        <v>701</v>
      </c>
      <c r="Z77" s="1033" t="s">
        <v>701</v>
      </c>
      <c r="AA77" s="912"/>
      <c r="AB77" s="1033" t="s">
        <v>701</v>
      </c>
      <c r="AC77" s="1033" t="s">
        <v>701</v>
      </c>
      <c r="AD77" s="1033" t="s">
        <v>701</v>
      </c>
      <c r="AE77" s="1033" t="s">
        <v>701</v>
      </c>
      <c r="AF77" s="1033" t="s">
        <v>701</v>
      </c>
      <c r="AG77" s="1045"/>
    </row>
    <row r="78" spans="4:33" ht="11.25" customHeight="1" x14ac:dyDescent="0.25">
      <c r="D78" s="1153" t="str">
        <f t="shared" ref="D78:I78" si="163">D173</f>
        <v>L4 Buronga to Red Cliffs (OX1 line + 0X9 line)</v>
      </c>
      <c r="E78" s="1154">
        <f t="shared" si="163"/>
        <v>1570</v>
      </c>
      <c r="F78" s="1154" t="str">
        <f t="shared" si="163"/>
        <v>Line rebuild over existing route - dual circuit</v>
      </c>
      <c r="G78" s="1154" t="str">
        <f t="shared" si="163"/>
        <v>Net market benefit</v>
      </c>
      <c r="H78" s="1154">
        <f t="shared" si="163"/>
        <v>220</v>
      </c>
      <c r="I78" s="1156">
        <f t="shared" si="163"/>
        <v>0</v>
      </c>
      <c r="J78" s="560" t="str">
        <f>J173</f>
        <v>Double Circuit</v>
      </c>
      <c r="K78" s="561">
        <f t="shared" ref="K78:L78" si="164">K173</f>
        <v>60</v>
      </c>
      <c r="L78" s="541">
        <f t="shared" si="164"/>
        <v>0</v>
      </c>
      <c r="M78" s="1035" t="s">
        <v>701</v>
      </c>
      <c r="N78" s="541" t="str">
        <f t="shared" ref="N78:S78" si="165">N173</f>
        <v>Overhead Line</v>
      </c>
      <c r="O78" s="562">
        <f t="shared" si="165"/>
        <v>419</v>
      </c>
      <c r="P78" s="562">
        <f t="shared" si="165"/>
        <v>1600</v>
      </c>
      <c r="Q78" s="562">
        <f t="shared" si="165"/>
        <v>427</v>
      </c>
      <c r="R78" s="562">
        <f t="shared" si="165"/>
        <v>1600</v>
      </c>
      <c r="S78" s="541">
        <f t="shared" si="165"/>
        <v>0</v>
      </c>
      <c r="T78" s="1035" t="s">
        <v>701</v>
      </c>
      <c r="U78" s="1035" t="s">
        <v>701</v>
      </c>
      <c r="V78" s="542">
        <f>V173</f>
        <v>95789.805362154628</v>
      </c>
      <c r="W78" s="1035" t="s">
        <v>701</v>
      </c>
      <c r="X78" s="1147" t="s">
        <v>701</v>
      </c>
      <c r="Y78" s="1147" t="s">
        <v>701</v>
      </c>
      <c r="Z78" s="1159"/>
      <c r="AA78" s="1166">
        <f t="shared" si="2"/>
        <v>0</v>
      </c>
      <c r="AB78" s="1147" t="s">
        <v>701</v>
      </c>
      <c r="AC78" s="1147" t="s">
        <v>701</v>
      </c>
      <c r="AD78" s="1147" t="s">
        <v>701</v>
      </c>
      <c r="AE78" s="1149" t="s">
        <v>701</v>
      </c>
      <c r="AF78" s="1151" t="s">
        <v>701</v>
      </c>
      <c r="AG78" s="1040" t="str">
        <f>AG173</f>
        <v>26km of new circuit for 0X9</v>
      </c>
    </row>
    <row r="79" spans="4:33" ht="11.25" customHeight="1" x14ac:dyDescent="0.25">
      <c r="D79" s="1092">
        <f t="shared" ref="D79:L79" si="166">D174</f>
        <v>0</v>
      </c>
      <c r="E79" s="1093">
        <f t="shared" si="166"/>
        <v>0</v>
      </c>
      <c r="F79" s="1093">
        <f t="shared" si="166"/>
        <v>0</v>
      </c>
      <c r="G79" s="1093">
        <f t="shared" si="166"/>
        <v>0</v>
      </c>
      <c r="H79" s="1093">
        <f t="shared" si="166"/>
        <v>0</v>
      </c>
      <c r="I79" s="1157">
        <f t="shared" si="166"/>
        <v>0</v>
      </c>
      <c r="J79" s="563">
        <f t="shared" si="166"/>
        <v>0</v>
      </c>
      <c r="K79" s="564">
        <f t="shared" si="166"/>
        <v>0</v>
      </c>
      <c r="L79" s="529">
        <f t="shared" si="166"/>
        <v>0</v>
      </c>
      <c r="M79" s="1036" t="s">
        <v>701</v>
      </c>
      <c r="N79" s="529">
        <f t="shared" ref="N79:S79" si="167">N174</f>
        <v>0</v>
      </c>
      <c r="O79" s="565">
        <f t="shared" si="167"/>
        <v>0</v>
      </c>
      <c r="P79" s="565">
        <f t="shared" si="167"/>
        <v>0</v>
      </c>
      <c r="Q79" s="529">
        <f t="shared" si="167"/>
        <v>0</v>
      </c>
      <c r="R79" s="529">
        <f t="shared" si="167"/>
        <v>0</v>
      </c>
      <c r="S79" s="529">
        <f t="shared" si="167"/>
        <v>0</v>
      </c>
      <c r="T79" s="1036" t="s">
        <v>701</v>
      </c>
      <c r="U79" s="1036" t="s">
        <v>701</v>
      </c>
      <c r="V79" s="529">
        <f t="shared" ref="V79:V84" si="168">V174</f>
        <v>0</v>
      </c>
      <c r="W79" s="1036" t="s">
        <v>701</v>
      </c>
      <c r="X79" s="1148"/>
      <c r="Y79" s="1148"/>
      <c r="Z79" s="1099"/>
      <c r="AA79" s="1100">
        <f t="shared" ref="AA79:AA84" si="169">AA174</f>
        <v>0</v>
      </c>
      <c r="AB79" s="1148"/>
      <c r="AC79" s="1148"/>
      <c r="AD79" s="1148"/>
      <c r="AE79" s="1150"/>
      <c r="AF79" s="1152"/>
      <c r="AG79" s="1041" t="str">
        <f t="shared" ref="AG79:AG84" si="170">AG174</f>
        <v/>
      </c>
    </row>
    <row r="80" spans="4:33" ht="11.25" customHeight="1" x14ac:dyDescent="0.25">
      <c r="D80" s="1092">
        <f t="shared" ref="D80:L80" si="171">D175</f>
        <v>0</v>
      </c>
      <c r="E80" s="1093">
        <f t="shared" si="171"/>
        <v>0</v>
      </c>
      <c r="F80" s="1093">
        <f t="shared" si="171"/>
        <v>0</v>
      </c>
      <c r="G80" s="1093">
        <f t="shared" si="171"/>
        <v>0</v>
      </c>
      <c r="H80" s="1093">
        <f t="shared" si="171"/>
        <v>0</v>
      </c>
      <c r="I80" s="1157">
        <f t="shared" si="171"/>
        <v>0</v>
      </c>
      <c r="J80" s="563">
        <f t="shared" si="171"/>
        <v>0</v>
      </c>
      <c r="K80" s="564">
        <f t="shared" si="171"/>
        <v>0</v>
      </c>
      <c r="L80" s="529">
        <f t="shared" si="171"/>
        <v>0</v>
      </c>
      <c r="M80" s="1036" t="s">
        <v>701</v>
      </c>
      <c r="N80" s="529">
        <f t="shared" ref="N80:S80" si="172">N175</f>
        <v>0</v>
      </c>
      <c r="O80" s="565">
        <f t="shared" si="172"/>
        <v>0</v>
      </c>
      <c r="P80" s="565">
        <f t="shared" si="172"/>
        <v>0</v>
      </c>
      <c r="Q80" s="529">
        <f t="shared" si="172"/>
        <v>0</v>
      </c>
      <c r="R80" s="529">
        <f t="shared" si="172"/>
        <v>0</v>
      </c>
      <c r="S80" s="529">
        <f t="shared" si="172"/>
        <v>0</v>
      </c>
      <c r="T80" s="1036" t="s">
        <v>701</v>
      </c>
      <c r="U80" s="1036" t="s">
        <v>701</v>
      </c>
      <c r="V80" s="529">
        <f t="shared" si="168"/>
        <v>0</v>
      </c>
      <c r="W80" s="1036" t="s">
        <v>701</v>
      </c>
      <c r="X80" s="1148"/>
      <c r="Y80" s="1148"/>
      <c r="Z80" s="1099"/>
      <c r="AA80" s="1100">
        <f t="shared" si="169"/>
        <v>0</v>
      </c>
      <c r="AB80" s="1148"/>
      <c r="AC80" s="1148"/>
      <c r="AD80" s="1148"/>
      <c r="AE80" s="1150"/>
      <c r="AF80" s="1152"/>
      <c r="AG80" s="1041" t="str">
        <f t="shared" si="170"/>
        <v/>
      </c>
    </row>
    <row r="81" spans="4:33" ht="11.25" customHeight="1" x14ac:dyDescent="0.25">
      <c r="D81" s="1092">
        <f t="shared" ref="D81:L81" si="173">D176</f>
        <v>0</v>
      </c>
      <c r="E81" s="1093">
        <f t="shared" si="173"/>
        <v>0</v>
      </c>
      <c r="F81" s="1093">
        <f t="shared" si="173"/>
        <v>0</v>
      </c>
      <c r="G81" s="1093">
        <f t="shared" si="173"/>
        <v>0</v>
      </c>
      <c r="H81" s="1093">
        <f t="shared" si="173"/>
        <v>0</v>
      </c>
      <c r="I81" s="1157">
        <f t="shared" si="173"/>
        <v>0</v>
      </c>
      <c r="J81" s="563">
        <f t="shared" si="173"/>
        <v>0</v>
      </c>
      <c r="K81" s="564">
        <f t="shared" si="173"/>
        <v>0</v>
      </c>
      <c r="L81" s="529">
        <f t="shared" si="173"/>
        <v>0</v>
      </c>
      <c r="M81" s="1036" t="s">
        <v>701</v>
      </c>
      <c r="N81" s="529">
        <f t="shared" ref="N81:S81" si="174">N176</f>
        <v>0</v>
      </c>
      <c r="O81" s="565">
        <f t="shared" si="174"/>
        <v>0</v>
      </c>
      <c r="P81" s="565">
        <f t="shared" si="174"/>
        <v>0</v>
      </c>
      <c r="Q81" s="529">
        <f t="shared" si="174"/>
        <v>0</v>
      </c>
      <c r="R81" s="529">
        <f t="shared" si="174"/>
        <v>0</v>
      </c>
      <c r="S81" s="529">
        <f t="shared" si="174"/>
        <v>0</v>
      </c>
      <c r="T81" s="1036" t="s">
        <v>701</v>
      </c>
      <c r="U81" s="1036" t="s">
        <v>701</v>
      </c>
      <c r="V81" s="529">
        <f t="shared" si="168"/>
        <v>0</v>
      </c>
      <c r="W81" s="1036" t="s">
        <v>701</v>
      </c>
      <c r="X81" s="1148"/>
      <c r="Y81" s="1148"/>
      <c r="Z81" s="1099"/>
      <c r="AA81" s="1100">
        <f t="shared" si="169"/>
        <v>0</v>
      </c>
      <c r="AB81" s="1148"/>
      <c r="AC81" s="1148"/>
      <c r="AD81" s="1148"/>
      <c r="AE81" s="1150"/>
      <c r="AF81" s="1152"/>
      <c r="AG81" s="1041" t="str">
        <f t="shared" si="170"/>
        <v/>
      </c>
    </row>
    <row r="82" spans="4:33" ht="11.25" customHeight="1" x14ac:dyDescent="0.25">
      <c r="D82" s="1092">
        <f t="shared" ref="D82:L82" si="175">D177</f>
        <v>0</v>
      </c>
      <c r="E82" s="1093">
        <f t="shared" si="175"/>
        <v>0</v>
      </c>
      <c r="F82" s="1093">
        <f t="shared" si="175"/>
        <v>0</v>
      </c>
      <c r="G82" s="1093">
        <f t="shared" si="175"/>
        <v>0</v>
      </c>
      <c r="H82" s="1093">
        <f t="shared" si="175"/>
        <v>0</v>
      </c>
      <c r="I82" s="1157">
        <f t="shared" si="175"/>
        <v>0</v>
      </c>
      <c r="J82" s="563">
        <f t="shared" si="175"/>
        <v>0</v>
      </c>
      <c r="K82" s="564">
        <f t="shared" si="175"/>
        <v>0</v>
      </c>
      <c r="L82" s="529">
        <f t="shared" si="175"/>
        <v>0</v>
      </c>
      <c r="M82" s="1036" t="s">
        <v>701</v>
      </c>
      <c r="N82" s="529">
        <f t="shared" ref="N82:S82" si="176">N177</f>
        <v>0</v>
      </c>
      <c r="O82" s="565">
        <f t="shared" si="176"/>
        <v>0</v>
      </c>
      <c r="P82" s="565">
        <f t="shared" si="176"/>
        <v>0</v>
      </c>
      <c r="Q82" s="529">
        <f t="shared" si="176"/>
        <v>0</v>
      </c>
      <c r="R82" s="529">
        <f t="shared" si="176"/>
        <v>0</v>
      </c>
      <c r="S82" s="529">
        <f t="shared" si="176"/>
        <v>0</v>
      </c>
      <c r="T82" s="1036" t="s">
        <v>701</v>
      </c>
      <c r="U82" s="1036" t="s">
        <v>701</v>
      </c>
      <c r="V82" s="529">
        <f t="shared" si="168"/>
        <v>0</v>
      </c>
      <c r="W82" s="1036" t="s">
        <v>701</v>
      </c>
      <c r="X82" s="1148"/>
      <c r="Y82" s="1148"/>
      <c r="Z82" s="1099"/>
      <c r="AA82" s="1100">
        <f t="shared" si="169"/>
        <v>0</v>
      </c>
      <c r="AB82" s="1148"/>
      <c r="AC82" s="1148"/>
      <c r="AD82" s="1148"/>
      <c r="AE82" s="1150"/>
      <c r="AF82" s="1152"/>
      <c r="AG82" s="1041" t="str">
        <f t="shared" si="170"/>
        <v/>
      </c>
    </row>
    <row r="83" spans="4:33" ht="11.25" customHeight="1" x14ac:dyDescent="0.25">
      <c r="D83" s="1092">
        <f t="shared" ref="D83:L83" si="177">D178</f>
        <v>0</v>
      </c>
      <c r="E83" s="1093">
        <f t="shared" si="177"/>
        <v>0</v>
      </c>
      <c r="F83" s="1093">
        <f t="shared" si="177"/>
        <v>0</v>
      </c>
      <c r="G83" s="1093">
        <f t="shared" si="177"/>
        <v>0</v>
      </c>
      <c r="H83" s="1093">
        <f t="shared" si="177"/>
        <v>0</v>
      </c>
      <c r="I83" s="1157">
        <f t="shared" si="177"/>
        <v>0</v>
      </c>
      <c r="J83" s="563">
        <f t="shared" si="177"/>
        <v>0</v>
      </c>
      <c r="K83" s="564">
        <f t="shared" si="177"/>
        <v>0</v>
      </c>
      <c r="L83" s="529">
        <f t="shared" si="177"/>
        <v>0</v>
      </c>
      <c r="M83" s="1036" t="s">
        <v>701</v>
      </c>
      <c r="N83" s="529">
        <f t="shared" ref="N83:S83" si="178">N178</f>
        <v>0</v>
      </c>
      <c r="O83" s="565">
        <f t="shared" si="178"/>
        <v>0</v>
      </c>
      <c r="P83" s="565">
        <f t="shared" si="178"/>
        <v>0</v>
      </c>
      <c r="Q83" s="529">
        <f t="shared" si="178"/>
        <v>0</v>
      </c>
      <c r="R83" s="529">
        <f t="shared" si="178"/>
        <v>0</v>
      </c>
      <c r="S83" s="529">
        <f t="shared" si="178"/>
        <v>0</v>
      </c>
      <c r="T83" s="1036" t="s">
        <v>701</v>
      </c>
      <c r="U83" s="1036" t="s">
        <v>701</v>
      </c>
      <c r="V83" s="529">
        <f t="shared" si="168"/>
        <v>0</v>
      </c>
      <c r="W83" s="1036" t="s">
        <v>701</v>
      </c>
      <c r="X83" s="1148"/>
      <c r="Y83" s="1148"/>
      <c r="Z83" s="1099"/>
      <c r="AA83" s="1100">
        <f t="shared" si="169"/>
        <v>0</v>
      </c>
      <c r="AB83" s="1148"/>
      <c r="AC83" s="1148"/>
      <c r="AD83" s="1148"/>
      <c r="AE83" s="1150"/>
      <c r="AF83" s="1152"/>
      <c r="AG83" s="1041" t="str">
        <f t="shared" si="170"/>
        <v/>
      </c>
    </row>
    <row r="84" spans="4:33" ht="11.25" customHeight="1" x14ac:dyDescent="0.25">
      <c r="D84" s="1092">
        <f t="shared" ref="D84:L84" si="179">D179</f>
        <v>0</v>
      </c>
      <c r="E84" s="1155">
        <f t="shared" si="179"/>
        <v>0</v>
      </c>
      <c r="F84" s="1155">
        <f t="shared" si="179"/>
        <v>0</v>
      </c>
      <c r="G84" s="1155">
        <f t="shared" si="179"/>
        <v>0</v>
      </c>
      <c r="H84" s="1155">
        <f t="shared" si="179"/>
        <v>0</v>
      </c>
      <c r="I84" s="1158">
        <f t="shared" si="179"/>
        <v>0</v>
      </c>
      <c r="J84" s="566">
        <f t="shared" si="179"/>
        <v>0</v>
      </c>
      <c r="K84" s="567">
        <f t="shared" si="179"/>
        <v>0</v>
      </c>
      <c r="L84" s="568">
        <f t="shared" si="179"/>
        <v>0</v>
      </c>
      <c r="M84" s="1037" t="s">
        <v>701</v>
      </c>
      <c r="N84" s="568">
        <f t="shared" ref="N84:S84" si="180">N179</f>
        <v>0</v>
      </c>
      <c r="O84" s="569">
        <f t="shared" si="180"/>
        <v>0</v>
      </c>
      <c r="P84" s="569">
        <f t="shared" si="180"/>
        <v>0</v>
      </c>
      <c r="Q84" s="568">
        <f t="shared" si="180"/>
        <v>0</v>
      </c>
      <c r="R84" s="568">
        <f t="shared" si="180"/>
        <v>0</v>
      </c>
      <c r="S84" s="568">
        <f t="shared" si="180"/>
        <v>0</v>
      </c>
      <c r="T84" s="1037" t="s">
        <v>701</v>
      </c>
      <c r="U84" s="1037" t="s">
        <v>701</v>
      </c>
      <c r="V84" s="568">
        <f t="shared" si="168"/>
        <v>0</v>
      </c>
      <c r="W84" s="1037" t="s">
        <v>701</v>
      </c>
      <c r="X84" s="1148"/>
      <c r="Y84" s="1148"/>
      <c r="Z84" s="1099"/>
      <c r="AA84" s="1100">
        <f t="shared" si="169"/>
        <v>0</v>
      </c>
      <c r="AB84" s="1148"/>
      <c r="AC84" s="1148"/>
      <c r="AD84" s="1148"/>
      <c r="AE84" s="1150"/>
      <c r="AF84" s="1152"/>
      <c r="AG84" s="1044" t="str">
        <f t="shared" si="170"/>
        <v/>
      </c>
    </row>
    <row r="85" spans="4:33" ht="11.25" customHeight="1" thickBot="1" x14ac:dyDescent="0.25">
      <c r="D85" s="532" t="s">
        <v>418</v>
      </c>
      <c r="E85" s="570"/>
      <c r="F85" s="571"/>
      <c r="G85" s="571"/>
      <c r="H85" s="571"/>
      <c r="I85" s="572"/>
      <c r="J85" s="573"/>
      <c r="K85" s="908">
        <f>SUM(K78:K84)</f>
        <v>60</v>
      </c>
      <c r="L85" s="908">
        <f t="shared" ref="L85" si="181">SUM(L78:L84)</f>
        <v>0</v>
      </c>
      <c r="M85" s="1033" t="s">
        <v>701</v>
      </c>
      <c r="N85" s="909"/>
      <c r="O85" s="910"/>
      <c r="P85" s="910"/>
      <c r="Q85" s="910"/>
      <c r="R85" s="910"/>
      <c r="S85" s="908">
        <f t="shared" ref="S85:V85" si="182">SUM(S78:S84)</f>
        <v>0</v>
      </c>
      <c r="T85" s="1033" t="s">
        <v>701</v>
      </c>
      <c r="U85" s="1038" t="s">
        <v>701</v>
      </c>
      <c r="V85" s="911">
        <f t="shared" si="182"/>
        <v>95789.805362154628</v>
      </c>
      <c r="W85" s="1033" t="s">
        <v>701</v>
      </c>
      <c r="X85" s="1033" t="s">
        <v>701</v>
      </c>
      <c r="Y85" s="1033" t="s">
        <v>701</v>
      </c>
      <c r="Z85" s="1033" t="s">
        <v>701</v>
      </c>
      <c r="AA85" s="912"/>
      <c r="AB85" s="1033" t="s">
        <v>701</v>
      </c>
      <c r="AC85" s="1033" t="s">
        <v>701</v>
      </c>
      <c r="AD85" s="1033" t="s">
        <v>701</v>
      </c>
      <c r="AE85" s="1033" t="s">
        <v>701</v>
      </c>
      <c r="AF85" s="1033" t="s">
        <v>701</v>
      </c>
      <c r="AG85" s="1045"/>
    </row>
    <row r="86" spans="4:33" ht="11.25" customHeight="1" x14ac:dyDescent="0.25">
      <c r="D86" s="1153" t="str">
        <f t="shared" ref="D86:I86" si="183">D181</f>
        <v>QNI Transmission Line upgrades between Tamworth and Liddell</v>
      </c>
      <c r="E86" s="1154">
        <f t="shared" si="183"/>
        <v>1529</v>
      </c>
      <c r="F86" s="1154" t="str">
        <f t="shared" si="183"/>
        <v>Line upgrade - capacity</v>
      </c>
      <c r="G86" s="1154" t="str">
        <f t="shared" si="183"/>
        <v>Net market benefit</v>
      </c>
      <c r="H86" s="1154">
        <f t="shared" si="183"/>
        <v>330</v>
      </c>
      <c r="I86" s="1156">
        <f t="shared" si="183"/>
        <v>0</v>
      </c>
      <c r="J86" s="560">
        <f>J181</f>
        <v>0</v>
      </c>
      <c r="K86" s="561">
        <f t="shared" ref="K86:L86" si="184">K181</f>
        <v>0</v>
      </c>
      <c r="L86" s="541">
        <f t="shared" si="184"/>
        <v>0</v>
      </c>
      <c r="M86" s="1035" t="s">
        <v>701</v>
      </c>
      <c r="N86" s="541">
        <f t="shared" ref="N86:S86" si="185">N181</f>
        <v>0</v>
      </c>
      <c r="O86" s="562">
        <f t="shared" si="185"/>
        <v>0</v>
      </c>
      <c r="P86" s="562">
        <f t="shared" si="185"/>
        <v>0</v>
      </c>
      <c r="Q86" s="562">
        <f t="shared" si="185"/>
        <v>0</v>
      </c>
      <c r="R86" s="562">
        <f t="shared" si="185"/>
        <v>0</v>
      </c>
      <c r="S86" s="541">
        <f t="shared" si="185"/>
        <v>0</v>
      </c>
      <c r="T86" s="1035" t="s">
        <v>701</v>
      </c>
      <c r="U86" s="1035" t="s">
        <v>701</v>
      </c>
      <c r="V86" s="542">
        <f>V181</f>
        <v>27349.273423755847</v>
      </c>
      <c r="W86" s="1035" t="s">
        <v>701</v>
      </c>
      <c r="X86" s="1147" t="s">
        <v>701</v>
      </c>
      <c r="Y86" s="1147" t="s">
        <v>701</v>
      </c>
      <c r="Z86" s="1159"/>
      <c r="AA86" s="1166">
        <f t="shared" ref="AA86:AA92" si="186">AA181</f>
        <v>0</v>
      </c>
      <c r="AB86" s="1147" t="s">
        <v>701</v>
      </c>
      <c r="AC86" s="1147" t="s">
        <v>701</v>
      </c>
      <c r="AD86" s="1147" t="s">
        <v>701</v>
      </c>
      <c r="AE86" s="1149" t="s">
        <v>701</v>
      </c>
      <c r="AF86" s="1151" t="s">
        <v>701</v>
      </c>
      <c r="AG86" s="1040" t="str">
        <f>AG181</f>
        <v/>
      </c>
    </row>
    <row r="87" spans="4:33" ht="11.25" customHeight="1" x14ac:dyDescent="0.25">
      <c r="D87" s="1092">
        <f t="shared" ref="D87:L87" si="187">D182</f>
        <v>0</v>
      </c>
      <c r="E87" s="1093">
        <f t="shared" si="187"/>
        <v>0</v>
      </c>
      <c r="F87" s="1093">
        <f t="shared" si="187"/>
        <v>0</v>
      </c>
      <c r="G87" s="1093">
        <f t="shared" si="187"/>
        <v>0</v>
      </c>
      <c r="H87" s="1093">
        <f t="shared" si="187"/>
        <v>0</v>
      </c>
      <c r="I87" s="1157">
        <f t="shared" si="187"/>
        <v>0</v>
      </c>
      <c r="J87" s="563">
        <f t="shared" si="187"/>
        <v>0</v>
      </c>
      <c r="K87" s="564">
        <f t="shared" si="187"/>
        <v>0</v>
      </c>
      <c r="L87" s="529">
        <f t="shared" si="187"/>
        <v>0</v>
      </c>
      <c r="M87" s="1036" t="s">
        <v>701</v>
      </c>
      <c r="N87" s="529">
        <f t="shared" ref="N87:S87" si="188">N182</f>
        <v>0</v>
      </c>
      <c r="O87" s="565">
        <f t="shared" si="188"/>
        <v>0</v>
      </c>
      <c r="P87" s="565">
        <f t="shared" si="188"/>
        <v>0</v>
      </c>
      <c r="Q87" s="529">
        <f t="shared" si="188"/>
        <v>0</v>
      </c>
      <c r="R87" s="529">
        <f t="shared" si="188"/>
        <v>0</v>
      </c>
      <c r="S87" s="529">
        <f t="shared" si="188"/>
        <v>0</v>
      </c>
      <c r="T87" s="1036" t="s">
        <v>701</v>
      </c>
      <c r="U87" s="1036" t="s">
        <v>701</v>
      </c>
      <c r="V87" s="529">
        <f t="shared" ref="V87:V92" si="189">V182</f>
        <v>0</v>
      </c>
      <c r="W87" s="1036" t="s">
        <v>701</v>
      </c>
      <c r="X87" s="1148"/>
      <c r="Y87" s="1148"/>
      <c r="Z87" s="1099"/>
      <c r="AA87" s="1100">
        <f t="shared" si="186"/>
        <v>0</v>
      </c>
      <c r="AB87" s="1148"/>
      <c r="AC87" s="1148"/>
      <c r="AD87" s="1148"/>
      <c r="AE87" s="1150"/>
      <c r="AF87" s="1152"/>
      <c r="AG87" s="1041" t="str">
        <f t="shared" ref="AG87:AG92" si="190">AG182</f>
        <v/>
      </c>
    </row>
    <row r="88" spans="4:33" ht="11.25" customHeight="1" x14ac:dyDescent="0.25">
      <c r="D88" s="1092">
        <f t="shared" ref="D88:L88" si="191">D183</f>
        <v>0</v>
      </c>
      <c r="E88" s="1093">
        <f t="shared" si="191"/>
        <v>0</v>
      </c>
      <c r="F88" s="1093">
        <f t="shared" si="191"/>
        <v>0</v>
      </c>
      <c r="G88" s="1093">
        <f t="shared" si="191"/>
        <v>0</v>
      </c>
      <c r="H88" s="1093">
        <f t="shared" si="191"/>
        <v>0</v>
      </c>
      <c r="I88" s="1157">
        <f t="shared" si="191"/>
        <v>0</v>
      </c>
      <c r="J88" s="563">
        <f t="shared" si="191"/>
        <v>0</v>
      </c>
      <c r="K88" s="564">
        <f t="shared" si="191"/>
        <v>0</v>
      </c>
      <c r="L88" s="529">
        <f t="shared" si="191"/>
        <v>0</v>
      </c>
      <c r="M88" s="1036" t="s">
        <v>701</v>
      </c>
      <c r="N88" s="529">
        <f t="shared" ref="N88:S88" si="192">N183</f>
        <v>0</v>
      </c>
      <c r="O88" s="565">
        <f t="shared" si="192"/>
        <v>0</v>
      </c>
      <c r="P88" s="565">
        <f t="shared" si="192"/>
        <v>0</v>
      </c>
      <c r="Q88" s="529">
        <f t="shared" si="192"/>
        <v>0</v>
      </c>
      <c r="R88" s="529">
        <f t="shared" si="192"/>
        <v>0</v>
      </c>
      <c r="S88" s="529">
        <f t="shared" si="192"/>
        <v>0</v>
      </c>
      <c r="T88" s="1036" t="s">
        <v>701</v>
      </c>
      <c r="U88" s="1036" t="s">
        <v>701</v>
      </c>
      <c r="V88" s="529">
        <f t="shared" si="189"/>
        <v>0</v>
      </c>
      <c r="W88" s="1036" t="s">
        <v>701</v>
      </c>
      <c r="X88" s="1148"/>
      <c r="Y88" s="1148"/>
      <c r="Z88" s="1099"/>
      <c r="AA88" s="1100">
        <f t="shared" si="186"/>
        <v>0</v>
      </c>
      <c r="AB88" s="1148"/>
      <c r="AC88" s="1148"/>
      <c r="AD88" s="1148"/>
      <c r="AE88" s="1150"/>
      <c r="AF88" s="1152"/>
      <c r="AG88" s="1041" t="str">
        <f t="shared" si="190"/>
        <v/>
      </c>
    </row>
    <row r="89" spans="4:33" ht="11.25" customHeight="1" x14ac:dyDescent="0.25">
      <c r="D89" s="1092">
        <f t="shared" ref="D89:L89" si="193">D184</f>
        <v>0</v>
      </c>
      <c r="E89" s="1093">
        <f t="shared" si="193"/>
        <v>0</v>
      </c>
      <c r="F89" s="1093">
        <f t="shared" si="193"/>
        <v>0</v>
      </c>
      <c r="G89" s="1093">
        <f t="shared" si="193"/>
        <v>0</v>
      </c>
      <c r="H89" s="1093">
        <f t="shared" si="193"/>
        <v>0</v>
      </c>
      <c r="I89" s="1157">
        <f t="shared" si="193"/>
        <v>0</v>
      </c>
      <c r="J89" s="563">
        <f t="shared" si="193"/>
        <v>0</v>
      </c>
      <c r="K89" s="564">
        <f t="shared" si="193"/>
        <v>0</v>
      </c>
      <c r="L89" s="529">
        <f t="shared" si="193"/>
        <v>0</v>
      </c>
      <c r="M89" s="1036" t="s">
        <v>701</v>
      </c>
      <c r="N89" s="529">
        <f t="shared" ref="N89:S89" si="194">N184</f>
        <v>0</v>
      </c>
      <c r="O89" s="565">
        <f t="shared" si="194"/>
        <v>0</v>
      </c>
      <c r="P89" s="565">
        <f t="shared" si="194"/>
        <v>0</v>
      </c>
      <c r="Q89" s="529">
        <f t="shared" si="194"/>
        <v>0</v>
      </c>
      <c r="R89" s="529">
        <f t="shared" si="194"/>
        <v>0</v>
      </c>
      <c r="S89" s="529">
        <f t="shared" si="194"/>
        <v>0</v>
      </c>
      <c r="T89" s="1036" t="s">
        <v>701</v>
      </c>
      <c r="U89" s="1036" t="s">
        <v>701</v>
      </c>
      <c r="V89" s="529">
        <f t="shared" si="189"/>
        <v>0</v>
      </c>
      <c r="W89" s="1036" t="s">
        <v>701</v>
      </c>
      <c r="X89" s="1148"/>
      <c r="Y89" s="1148"/>
      <c r="Z89" s="1099"/>
      <c r="AA89" s="1100">
        <f t="shared" si="186"/>
        <v>0</v>
      </c>
      <c r="AB89" s="1148"/>
      <c r="AC89" s="1148"/>
      <c r="AD89" s="1148"/>
      <c r="AE89" s="1150"/>
      <c r="AF89" s="1152"/>
      <c r="AG89" s="1041" t="str">
        <f t="shared" si="190"/>
        <v/>
      </c>
    </row>
    <row r="90" spans="4:33" ht="11.25" customHeight="1" x14ac:dyDescent="0.25">
      <c r="D90" s="1092">
        <f t="shared" ref="D90:L90" si="195">D185</f>
        <v>0</v>
      </c>
      <c r="E90" s="1093">
        <f t="shared" si="195"/>
        <v>0</v>
      </c>
      <c r="F90" s="1093">
        <f t="shared" si="195"/>
        <v>0</v>
      </c>
      <c r="G90" s="1093">
        <f t="shared" si="195"/>
        <v>0</v>
      </c>
      <c r="H90" s="1093">
        <f t="shared" si="195"/>
        <v>0</v>
      </c>
      <c r="I90" s="1157">
        <f t="shared" si="195"/>
        <v>0</v>
      </c>
      <c r="J90" s="563">
        <f t="shared" si="195"/>
        <v>0</v>
      </c>
      <c r="K90" s="564">
        <f t="shared" si="195"/>
        <v>0</v>
      </c>
      <c r="L90" s="529">
        <f t="shared" si="195"/>
        <v>0</v>
      </c>
      <c r="M90" s="1036" t="s">
        <v>701</v>
      </c>
      <c r="N90" s="529">
        <f t="shared" ref="N90:S90" si="196">N185</f>
        <v>0</v>
      </c>
      <c r="O90" s="565">
        <f t="shared" si="196"/>
        <v>0</v>
      </c>
      <c r="P90" s="565">
        <f t="shared" si="196"/>
        <v>0</v>
      </c>
      <c r="Q90" s="529">
        <f t="shared" si="196"/>
        <v>0</v>
      </c>
      <c r="R90" s="529">
        <f t="shared" si="196"/>
        <v>0</v>
      </c>
      <c r="S90" s="529">
        <f t="shared" si="196"/>
        <v>0</v>
      </c>
      <c r="T90" s="1036" t="s">
        <v>701</v>
      </c>
      <c r="U90" s="1036" t="s">
        <v>701</v>
      </c>
      <c r="V90" s="529">
        <f t="shared" si="189"/>
        <v>0</v>
      </c>
      <c r="W90" s="1036" t="s">
        <v>701</v>
      </c>
      <c r="X90" s="1148"/>
      <c r="Y90" s="1148"/>
      <c r="Z90" s="1099"/>
      <c r="AA90" s="1100">
        <f t="shared" si="186"/>
        <v>0</v>
      </c>
      <c r="AB90" s="1148"/>
      <c r="AC90" s="1148"/>
      <c r="AD90" s="1148"/>
      <c r="AE90" s="1150"/>
      <c r="AF90" s="1152"/>
      <c r="AG90" s="1041" t="str">
        <f t="shared" si="190"/>
        <v/>
      </c>
    </row>
    <row r="91" spans="4:33" ht="11.25" customHeight="1" x14ac:dyDescent="0.25">
      <c r="D91" s="1092">
        <f t="shared" ref="D91:L91" si="197">D186</f>
        <v>0</v>
      </c>
      <c r="E91" s="1093">
        <f t="shared" si="197"/>
        <v>0</v>
      </c>
      <c r="F91" s="1093">
        <f t="shared" si="197"/>
        <v>0</v>
      </c>
      <c r="G91" s="1093">
        <f t="shared" si="197"/>
        <v>0</v>
      </c>
      <c r="H91" s="1093">
        <f t="shared" si="197"/>
        <v>0</v>
      </c>
      <c r="I91" s="1157">
        <f t="shared" si="197"/>
        <v>0</v>
      </c>
      <c r="J91" s="563">
        <f t="shared" si="197"/>
        <v>0</v>
      </c>
      <c r="K91" s="564">
        <f t="shared" si="197"/>
        <v>0</v>
      </c>
      <c r="L91" s="529">
        <f t="shared" si="197"/>
        <v>0</v>
      </c>
      <c r="M91" s="1036" t="s">
        <v>701</v>
      </c>
      <c r="N91" s="529">
        <f t="shared" ref="N91:S91" si="198">N186</f>
        <v>0</v>
      </c>
      <c r="O91" s="565">
        <f t="shared" si="198"/>
        <v>0</v>
      </c>
      <c r="P91" s="565">
        <f t="shared" si="198"/>
        <v>0</v>
      </c>
      <c r="Q91" s="529">
        <f t="shared" si="198"/>
        <v>0</v>
      </c>
      <c r="R91" s="529">
        <f t="shared" si="198"/>
        <v>0</v>
      </c>
      <c r="S91" s="529">
        <f t="shared" si="198"/>
        <v>0</v>
      </c>
      <c r="T91" s="1036" t="s">
        <v>701</v>
      </c>
      <c r="U91" s="1036" t="s">
        <v>701</v>
      </c>
      <c r="V91" s="529">
        <f t="shared" si="189"/>
        <v>0</v>
      </c>
      <c r="W91" s="1036" t="s">
        <v>701</v>
      </c>
      <c r="X91" s="1148"/>
      <c r="Y91" s="1148"/>
      <c r="Z91" s="1099"/>
      <c r="AA91" s="1100">
        <f t="shared" si="186"/>
        <v>0</v>
      </c>
      <c r="AB91" s="1148"/>
      <c r="AC91" s="1148"/>
      <c r="AD91" s="1148"/>
      <c r="AE91" s="1150"/>
      <c r="AF91" s="1152"/>
      <c r="AG91" s="1041" t="str">
        <f t="shared" si="190"/>
        <v/>
      </c>
    </row>
    <row r="92" spans="4:33" ht="11.25" customHeight="1" x14ac:dyDescent="0.25">
      <c r="D92" s="1092">
        <f t="shared" ref="D92:L92" si="199">D187</f>
        <v>0</v>
      </c>
      <c r="E92" s="1155">
        <f t="shared" si="199"/>
        <v>0</v>
      </c>
      <c r="F92" s="1155">
        <f t="shared" si="199"/>
        <v>0</v>
      </c>
      <c r="G92" s="1155">
        <f t="shared" si="199"/>
        <v>0</v>
      </c>
      <c r="H92" s="1155">
        <f t="shared" si="199"/>
        <v>0</v>
      </c>
      <c r="I92" s="1158">
        <f t="shared" si="199"/>
        <v>0</v>
      </c>
      <c r="J92" s="566">
        <f t="shared" si="199"/>
        <v>0</v>
      </c>
      <c r="K92" s="567">
        <f t="shared" si="199"/>
        <v>0</v>
      </c>
      <c r="L92" s="568">
        <f t="shared" si="199"/>
        <v>0</v>
      </c>
      <c r="M92" s="1037" t="s">
        <v>701</v>
      </c>
      <c r="N92" s="568">
        <f t="shared" ref="N92:S92" si="200">N187</f>
        <v>0</v>
      </c>
      <c r="O92" s="569">
        <f t="shared" si="200"/>
        <v>0</v>
      </c>
      <c r="P92" s="569">
        <f t="shared" si="200"/>
        <v>0</v>
      </c>
      <c r="Q92" s="568">
        <f t="shared" si="200"/>
        <v>0</v>
      </c>
      <c r="R92" s="568">
        <f t="shared" si="200"/>
        <v>0</v>
      </c>
      <c r="S92" s="568">
        <f t="shared" si="200"/>
        <v>0</v>
      </c>
      <c r="T92" s="1037" t="s">
        <v>701</v>
      </c>
      <c r="U92" s="1037" t="s">
        <v>701</v>
      </c>
      <c r="V92" s="568">
        <f t="shared" si="189"/>
        <v>0</v>
      </c>
      <c r="W92" s="1037" t="s">
        <v>701</v>
      </c>
      <c r="X92" s="1148"/>
      <c r="Y92" s="1148"/>
      <c r="Z92" s="1099"/>
      <c r="AA92" s="1100">
        <f t="shared" si="186"/>
        <v>0</v>
      </c>
      <c r="AB92" s="1148"/>
      <c r="AC92" s="1148"/>
      <c r="AD92" s="1148"/>
      <c r="AE92" s="1150"/>
      <c r="AF92" s="1152"/>
      <c r="AG92" s="1044" t="str">
        <f t="shared" si="190"/>
        <v/>
      </c>
    </row>
    <row r="93" spans="4:33" ht="11.25" customHeight="1" thickBot="1" x14ac:dyDescent="0.25">
      <c r="D93" s="532" t="s">
        <v>418</v>
      </c>
      <c r="E93" s="570"/>
      <c r="F93" s="571"/>
      <c r="G93" s="571"/>
      <c r="H93" s="571"/>
      <c r="I93" s="572"/>
      <c r="J93" s="573"/>
      <c r="K93" s="908">
        <f>SUM(K86:K92)</f>
        <v>0</v>
      </c>
      <c r="L93" s="908">
        <f t="shared" ref="L93" si="201">SUM(L86:L92)</f>
        <v>0</v>
      </c>
      <c r="M93" s="1033" t="s">
        <v>701</v>
      </c>
      <c r="N93" s="909"/>
      <c r="O93" s="910"/>
      <c r="P93" s="910"/>
      <c r="Q93" s="910"/>
      <c r="R93" s="910"/>
      <c r="S93" s="908">
        <f t="shared" ref="S93:V93" si="202">SUM(S86:S92)</f>
        <v>0</v>
      </c>
      <c r="T93" s="1033" t="s">
        <v>701</v>
      </c>
      <c r="U93" s="1038" t="s">
        <v>701</v>
      </c>
      <c r="V93" s="911">
        <f t="shared" si="202"/>
        <v>27349.273423755847</v>
      </c>
      <c r="W93" s="1033" t="s">
        <v>701</v>
      </c>
      <c r="X93" s="1033" t="s">
        <v>701</v>
      </c>
      <c r="Y93" s="1033" t="s">
        <v>701</v>
      </c>
      <c r="Z93" s="1033" t="s">
        <v>701</v>
      </c>
      <c r="AA93" s="912"/>
      <c r="AB93" s="1033" t="s">
        <v>701</v>
      </c>
      <c r="AC93" s="1033" t="s">
        <v>701</v>
      </c>
      <c r="AD93" s="1033" t="s">
        <v>701</v>
      </c>
      <c r="AE93" s="1033" t="s">
        <v>701</v>
      </c>
      <c r="AF93" s="1033" t="s">
        <v>701</v>
      </c>
      <c r="AG93" s="1045"/>
    </row>
    <row r="94" spans="4:33" ht="15.75" thickBot="1" x14ac:dyDescent="0.3">
      <c r="D94" s="578"/>
      <c r="E94" s="1169" t="str">
        <f t="shared" ref="E94:I94" si="203">E189</f>
        <v>Non material projects</v>
      </c>
      <c r="F94" s="1170">
        <f t="shared" si="203"/>
        <v>0</v>
      </c>
      <c r="G94" s="1170">
        <f t="shared" si="203"/>
        <v>0</v>
      </c>
      <c r="H94" s="1170">
        <f t="shared" si="203"/>
        <v>0</v>
      </c>
      <c r="I94" s="1171">
        <f t="shared" si="203"/>
        <v>0</v>
      </c>
      <c r="J94" s="579"/>
      <c r="K94" s="580"/>
      <c r="L94" s="581"/>
      <c r="M94" s="949"/>
      <c r="N94" s="581"/>
      <c r="O94" s="581"/>
      <c r="P94" s="581"/>
      <c r="Q94" s="581"/>
      <c r="R94" s="581"/>
      <c r="S94" s="581"/>
      <c r="T94" s="951"/>
      <c r="U94" s="951"/>
      <c r="V94" s="581"/>
      <c r="W94" s="951"/>
      <c r="X94" s="951"/>
      <c r="Y94" s="951"/>
      <c r="Z94" s="1035" t="s">
        <v>701</v>
      </c>
      <c r="AA94" s="1046" t="str">
        <f>AA189</f>
        <v>2020-2022</v>
      </c>
      <c r="AB94" s="951"/>
      <c r="AC94" s="951"/>
      <c r="AD94" s="951"/>
      <c r="AE94" s="1006" t="s">
        <v>701</v>
      </c>
      <c r="AF94" s="1034" t="s">
        <v>701</v>
      </c>
      <c r="AG94" s="1045" t="str">
        <f>AG189</f>
        <v/>
      </c>
    </row>
    <row r="95" spans="4:33" ht="11.25" customHeight="1" x14ac:dyDescent="0.2">
      <c r="M95" s="941"/>
      <c r="T95" s="941"/>
      <c r="U95" s="941"/>
      <c r="W95" s="941"/>
      <c r="X95" s="941"/>
      <c r="Y95" s="941"/>
      <c r="Z95" s="941"/>
      <c r="AB95" s="941"/>
      <c r="AC95" s="941"/>
      <c r="AD95" s="941"/>
      <c r="AE95" s="941"/>
      <c r="AF95" s="941"/>
    </row>
    <row r="96" spans="4:33" ht="11.25" customHeight="1" x14ac:dyDescent="0.2">
      <c r="D96" s="6" t="s">
        <v>500</v>
      </c>
      <c r="M96" s="950" t="s">
        <v>701</v>
      </c>
      <c r="T96" s="950" t="s">
        <v>701</v>
      </c>
      <c r="U96" s="950" t="s">
        <v>701</v>
      </c>
      <c r="W96" s="950" t="s">
        <v>701</v>
      </c>
      <c r="X96" s="950" t="s">
        <v>701</v>
      </c>
      <c r="Y96" s="950" t="s">
        <v>701</v>
      </c>
      <c r="Z96" s="950" t="s">
        <v>701</v>
      </c>
      <c r="AA96" s="144"/>
      <c r="AB96" s="950" t="s">
        <v>701</v>
      </c>
      <c r="AC96" s="950" t="s">
        <v>701</v>
      </c>
      <c r="AD96" s="950" t="s">
        <v>701</v>
      </c>
      <c r="AE96" s="950" t="s">
        <v>701</v>
      </c>
      <c r="AF96" s="950" t="s">
        <v>701</v>
      </c>
      <c r="AG96" s="747">
        <v>1569010472.5442054</v>
      </c>
    </row>
    <row r="97" spans="1:36" ht="11.25" customHeight="1" x14ac:dyDescent="0.2">
      <c r="A97" s="42">
        <f>IF(SUM(M98:AG98)&gt;0,1,0)</f>
        <v>0</v>
      </c>
      <c r="D97" s="6" t="s">
        <v>615</v>
      </c>
      <c r="M97" s="943" t="s">
        <v>701</v>
      </c>
      <c r="T97" s="943" t="s">
        <v>701</v>
      </c>
      <c r="U97" s="943" t="s">
        <v>701</v>
      </c>
      <c r="W97" s="943" t="s">
        <v>701</v>
      </c>
      <c r="X97" s="943" t="s">
        <v>701</v>
      </c>
      <c r="Y97" s="943" t="s">
        <v>701</v>
      </c>
      <c r="Z97" s="943" t="s">
        <v>701</v>
      </c>
      <c r="AA97" s="236"/>
      <c r="AB97" s="943" t="s">
        <v>701</v>
      </c>
      <c r="AC97" s="943" t="s">
        <v>701</v>
      </c>
      <c r="AD97" s="943" t="s">
        <v>701</v>
      </c>
      <c r="AE97" s="943" t="s">
        <v>701</v>
      </c>
      <c r="AF97" s="943" t="s">
        <v>701</v>
      </c>
      <c r="AG97" s="746">
        <v>1569010472.5442054</v>
      </c>
    </row>
    <row r="98" spans="1:36" ht="11.25" customHeight="1" x14ac:dyDescent="0.2">
      <c r="M98" s="70">
        <v>0</v>
      </c>
      <c r="T98" s="70">
        <v>0</v>
      </c>
      <c r="U98" s="70">
        <v>0</v>
      </c>
      <c r="W98" s="70">
        <v>0</v>
      </c>
      <c r="X98" s="70">
        <v>0</v>
      </c>
      <c r="Y98" s="70">
        <v>0</v>
      </c>
      <c r="Z98" s="70">
        <v>0</v>
      </c>
      <c r="AB98" s="70">
        <v>0</v>
      </c>
      <c r="AC98" s="70">
        <v>0</v>
      </c>
      <c r="AD98" s="70">
        <v>0</v>
      </c>
      <c r="AE98" s="70">
        <v>0</v>
      </c>
      <c r="AF98" s="70">
        <v>0</v>
      </c>
      <c r="AG98" s="70">
        <v>0</v>
      </c>
    </row>
    <row r="99" spans="1:36" ht="11.25" customHeight="1" x14ac:dyDescent="0.2"/>
    <row r="100" spans="1:36" s="7" customFormat="1" ht="15" x14ac:dyDescent="0.2">
      <c r="C100" s="7" t="s">
        <v>379</v>
      </c>
    </row>
    <row r="101" spans="1:36" ht="11.25" customHeight="1" x14ac:dyDescent="0.2"/>
    <row r="102" spans="1:36" ht="18" x14ac:dyDescent="0.2">
      <c r="D102" s="548" t="s">
        <v>378</v>
      </c>
      <c r="E102" s="548"/>
      <c r="F102" s="548"/>
      <c r="G102" s="548"/>
      <c r="H102" s="548"/>
      <c r="I102" s="548"/>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8"/>
      <c r="AF102" s="548"/>
      <c r="AG102" s="549"/>
    </row>
    <row r="103" spans="1:36" ht="11.25" customHeight="1" x14ac:dyDescent="0.2">
      <c r="D103" s="550" t="s">
        <v>419</v>
      </c>
      <c r="E103" s="551"/>
      <c r="F103" s="551"/>
      <c r="G103" s="551"/>
      <c r="H103" s="551"/>
      <c r="I103" s="551"/>
      <c r="J103" s="551"/>
      <c r="K103" s="551"/>
      <c r="L103" s="551"/>
      <c r="M103" s="551"/>
      <c r="N103" s="551"/>
      <c r="O103" s="551"/>
      <c r="P103" s="551"/>
      <c r="Q103" s="551"/>
      <c r="R103" s="551"/>
      <c r="S103" s="551"/>
      <c r="T103" s="551"/>
      <c r="U103" s="551"/>
      <c r="V103" s="551"/>
      <c r="W103" s="551"/>
      <c r="X103" s="551"/>
      <c r="Y103" s="551"/>
      <c r="Z103" s="551"/>
      <c r="AA103" s="551"/>
      <c r="AB103" s="551"/>
      <c r="AC103" s="551"/>
      <c r="AD103" s="551"/>
      <c r="AE103" s="551"/>
      <c r="AF103" s="551"/>
      <c r="AG103" s="551"/>
    </row>
    <row r="104" spans="1:36" ht="11.25" customHeight="1" thickBot="1" x14ac:dyDescent="0.3">
      <c r="D104" s="552"/>
      <c r="E104" s="552"/>
      <c r="F104" s="553"/>
      <c r="G104" s="553"/>
      <c r="H104" s="553"/>
      <c r="I104" s="553"/>
      <c r="J104" s="553"/>
      <c r="K104" s="554" t="s">
        <v>420</v>
      </c>
      <c r="L104" s="554" t="s">
        <v>421</v>
      </c>
      <c r="M104" s="554" t="s">
        <v>422</v>
      </c>
      <c r="N104" s="554"/>
      <c r="O104" s="554" t="s">
        <v>423</v>
      </c>
      <c r="P104" s="554" t="s">
        <v>424</v>
      </c>
      <c r="Q104" s="554" t="s">
        <v>425</v>
      </c>
      <c r="R104" s="554" t="s">
        <v>426</v>
      </c>
      <c r="S104" s="554" t="s">
        <v>427</v>
      </c>
      <c r="T104" s="554" t="s">
        <v>428</v>
      </c>
      <c r="U104" s="554" t="s">
        <v>429</v>
      </c>
      <c r="V104" s="554" t="s">
        <v>430</v>
      </c>
      <c r="W104" s="554" t="s">
        <v>431</v>
      </c>
      <c r="X104" s="554" t="s">
        <v>432</v>
      </c>
      <c r="Y104" s="554" t="s">
        <v>433</v>
      </c>
      <c r="Z104" s="554" t="s">
        <v>434</v>
      </c>
      <c r="AA104" s="554" t="s">
        <v>435</v>
      </c>
      <c r="AB104" s="554" t="s">
        <v>436</v>
      </c>
      <c r="AC104" s="554" t="s">
        <v>437</v>
      </c>
      <c r="AD104" s="554" t="s">
        <v>438</v>
      </c>
      <c r="AE104" s="554" t="s">
        <v>439</v>
      </c>
      <c r="AF104" s="554" t="s">
        <v>440</v>
      </c>
      <c r="AG104" s="553"/>
    </row>
    <row r="105" spans="1:36" ht="31.15" customHeight="1" x14ac:dyDescent="0.2">
      <c r="D105" s="1112" t="s">
        <v>441</v>
      </c>
      <c r="E105" s="1113"/>
      <c r="F105" s="1113"/>
      <c r="G105" s="1113"/>
      <c r="H105" s="1113"/>
      <c r="I105" s="1114"/>
      <c r="J105" s="1115" t="s">
        <v>381</v>
      </c>
      <c r="K105" s="1116"/>
      <c r="L105" s="1116"/>
      <c r="M105" s="1116"/>
      <c r="N105" s="1116"/>
      <c r="O105" s="1116"/>
      <c r="P105" s="1116"/>
      <c r="Q105" s="1116"/>
      <c r="R105" s="1116"/>
      <c r="S105" s="1116"/>
      <c r="T105" s="1116"/>
      <c r="U105" s="1116"/>
      <c r="V105" s="1116"/>
      <c r="W105" s="1140"/>
      <c r="X105" s="1181" t="s">
        <v>382</v>
      </c>
      <c r="Y105" s="1182"/>
      <c r="Z105" s="1183" t="s">
        <v>503</v>
      </c>
      <c r="AA105" s="1186" t="s">
        <v>384</v>
      </c>
      <c r="AB105" s="1189" t="s">
        <v>442</v>
      </c>
      <c r="AC105" s="1190"/>
      <c r="AD105" s="1191" t="s">
        <v>386</v>
      </c>
      <c r="AE105" s="1115" t="s">
        <v>387</v>
      </c>
      <c r="AF105" s="1140"/>
      <c r="AG105" s="555"/>
    </row>
    <row r="106" spans="1:36" ht="40.5" customHeight="1" thickBot="1" x14ac:dyDescent="0.25">
      <c r="D106" s="1194" t="s">
        <v>443</v>
      </c>
      <c r="E106" s="1143" t="s">
        <v>390</v>
      </c>
      <c r="F106" s="1143" t="s">
        <v>391</v>
      </c>
      <c r="G106" s="1143" t="s">
        <v>392</v>
      </c>
      <c r="H106" s="1143" t="s">
        <v>393</v>
      </c>
      <c r="I106" s="1195" t="s">
        <v>444</v>
      </c>
      <c r="J106" s="1197" t="s">
        <v>445</v>
      </c>
      <c r="K106" s="1198"/>
      <c r="L106" s="1198"/>
      <c r="M106" s="1198"/>
      <c r="N106" s="1199" t="s">
        <v>446</v>
      </c>
      <c r="O106" s="1200"/>
      <c r="P106" s="1200"/>
      <c r="Q106" s="1200"/>
      <c r="R106" s="1200"/>
      <c r="S106" s="1200"/>
      <c r="T106" s="1201"/>
      <c r="U106" s="1174" t="s">
        <v>447</v>
      </c>
      <c r="V106" s="1197" t="s">
        <v>400</v>
      </c>
      <c r="W106" s="1202"/>
      <c r="X106" s="1203" t="s">
        <v>401</v>
      </c>
      <c r="Y106" s="1205" t="s">
        <v>402</v>
      </c>
      <c r="Z106" s="1184"/>
      <c r="AA106" s="1187"/>
      <c r="AB106" s="1207" t="s">
        <v>403</v>
      </c>
      <c r="AC106" s="1209" t="s">
        <v>404</v>
      </c>
      <c r="AD106" s="1192"/>
      <c r="AE106" s="1197" t="s">
        <v>405</v>
      </c>
      <c r="AF106" s="1211" t="s">
        <v>406</v>
      </c>
      <c r="AG106" s="556"/>
    </row>
    <row r="107" spans="1:36" ht="40.5" customHeight="1" x14ac:dyDescent="0.2">
      <c r="D107" s="1194"/>
      <c r="E107" s="1143"/>
      <c r="F107" s="1143"/>
      <c r="G107" s="1143"/>
      <c r="H107" s="1143"/>
      <c r="I107" s="1196"/>
      <c r="J107" s="1127"/>
      <c r="K107" s="1128"/>
      <c r="L107" s="1128"/>
      <c r="M107" s="1128"/>
      <c r="N107" s="1172" t="s">
        <v>448</v>
      </c>
      <c r="O107" s="1127" t="s">
        <v>449</v>
      </c>
      <c r="P107" s="1129"/>
      <c r="Q107" s="1127" t="s">
        <v>450</v>
      </c>
      <c r="R107" s="1129"/>
      <c r="S107" s="1172" t="s">
        <v>451</v>
      </c>
      <c r="T107" s="1174" t="s">
        <v>413</v>
      </c>
      <c r="U107" s="1174"/>
      <c r="V107" s="1127"/>
      <c r="W107" s="1129"/>
      <c r="X107" s="1204"/>
      <c r="Y107" s="1206"/>
      <c r="Z107" s="1184"/>
      <c r="AA107" s="1187"/>
      <c r="AB107" s="1208"/>
      <c r="AC107" s="1210"/>
      <c r="AD107" s="1193"/>
      <c r="AE107" s="1127"/>
      <c r="AF107" s="1212"/>
      <c r="AG107" s="514" t="s">
        <v>407</v>
      </c>
      <c r="AH107" s="514" t="s">
        <v>610</v>
      </c>
      <c r="AI107" s="514" t="s">
        <v>612</v>
      </c>
      <c r="AJ107" s="514" t="s">
        <v>614</v>
      </c>
    </row>
    <row r="108" spans="1:36" ht="64.5" thickBot="1" x14ac:dyDescent="0.25">
      <c r="D108" s="1142"/>
      <c r="E108" s="1144"/>
      <c r="F108" s="1144"/>
      <c r="G108" s="1144"/>
      <c r="H108" s="1144"/>
      <c r="I108" s="516" t="s">
        <v>452</v>
      </c>
      <c r="J108" s="517" t="s">
        <v>453</v>
      </c>
      <c r="K108" s="518" t="s">
        <v>454</v>
      </c>
      <c r="L108" s="518" t="s">
        <v>455</v>
      </c>
      <c r="M108" s="557" t="s">
        <v>413</v>
      </c>
      <c r="N108" s="1173"/>
      <c r="O108" s="517" t="s">
        <v>408</v>
      </c>
      <c r="P108" s="558" t="s">
        <v>409</v>
      </c>
      <c r="Q108" s="517" t="s">
        <v>408</v>
      </c>
      <c r="R108" s="558" t="s">
        <v>409</v>
      </c>
      <c r="S108" s="1173"/>
      <c r="T108" s="1175"/>
      <c r="U108" s="1175"/>
      <c r="V108" s="517" t="s">
        <v>417</v>
      </c>
      <c r="W108" s="559" t="s">
        <v>413</v>
      </c>
      <c r="X108" s="1176" t="s">
        <v>413</v>
      </c>
      <c r="Y108" s="1177"/>
      <c r="Z108" s="1185"/>
      <c r="AA108" s="1188"/>
      <c r="AB108" s="1176" t="s">
        <v>413</v>
      </c>
      <c r="AC108" s="1178"/>
      <c r="AD108" s="1177"/>
      <c r="AE108" s="1179" t="s">
        <v>413</v>
      </c>
      <c r="AF108" s="1180"/>
      <c r="AG108" s="521"/>
      <c r="AH108" s="903" t="s">
        <v>611</v>
      </c>
      <c r="AI108" s="904" t="s">
        <v>613</v>
      </c>
      <c r="AJ108" s="904"/>
    </row>
    <row r="109" spans="1:36" ht="11.25" customHeight="1" x14ac:dyDescent="0.25">
      <c r="D109" s="1153" t="s">
        <v>792</v>
      </c>
      <c r="E109" s="1154">
        <v>2162</v>
      </c>
      <c r="F109" s="1154" t="s">
        <v>793</v>
      </c>
      <c r="G109" s="1154" t="s">
        <v>726</v>
      </c>
      <c r="H109" s="1154">
        <v>132</v>
      </c>
      <c r="I109" s="1156">
        <v>0</v>
      </c>
      <c r="J109" s="560" t="s">
        <v>794</v>
      </c>
      <c r="K109" s="561">
        <v>0</v>
      </c>
      <c r="L109" s="541">
        <v>5</v>
      </c>
      <c r="M109" s="1021" t="s">
        <v>701</v>
      </c>
      <c r="N109" s="541">
        <v>0</v>
      </c>
      <c r="O109" s="562">
        <v>112</v>
      </c>
      <c r="P109" s="562">
        <v>150</v>
      </c>
      <c r="Q109" s="562">
        <v>120</v>
      </c>
      <c r="R109" s="562">
        <v>165</v>
      </c>
      <c r="S109" s="541">
        <v>0</v>
      </c>
      <c r="T109" s="1025" t="s">
        <v>701</v>
      </c>
      <c r="U109" s="1025" t="s">
        <v>701</v>
      </c>
      <c r="V109" s="542">
        <v>5042.7142857142853</v>
      </c>
      <c r="W109" s="1011" t="s">
        <v>701</v>
      </c>
      <c r="X109" s="1167" t="s">
        <v>701</v>
      </c>
      <c r="Y109" s="1168" t="s">
        <v>701</v>
      </c>
      <c r="Z109" s="1159"/>
      <c r="AA109" s="1166" t="s">
        <v>809</v>
      </c>
      <c r="AB109" s="1160" t="s">
        <v>701</v>
      </c>
      <c r="AC109" s="1160" t="s">
        <v>701</v>
      </c>
      <c r="AD109" s="1160" t="s">
        <v>701</v>
      </c>
      <c r="AE109" s="1162" t="s">
        <v>701</v>
      </c>
      <c r="AF109" s="1164" t="s">
        <v>701</v>
      </c>
      <c r="AG109" s="1040" t="s">
        <v>596</v>
      </c>
      <c r="AH109" s="905">
        <v>0</v>
      </c>
      <c r="AI109" s="49">
        <f>IF(AH109,0,1)</f>
        <v>1</v>
      </c>
      <c r="AJ109" s="907">
        <f>AH109*WkB_1_2.3a!$N$335+AI109*WkB_1_2.3a!$O$345</f>
        <v>1.0526158167136324</v>
      </c>
    </row>
    <row r="110" spans="1:36" ht="11.25" customHeight="1" x14ac:dyDescent="0.25">
      <c r="D110" s="1092">
        <v>0</v>
      </c>
      <c r="E110" s="1093">
        <v>0</v>
      </c>
      <c r="F110" s="1093">
        <v>0</v>
      </c>
      <c r="G110" s="1093">
        <v>0</v>
      </c>
      <c r="H110" s="1093">
        <v>0</v>
      </c>
      <c r="I110" s="1157">
        <v>0</v>
      </c>
      <c r="J110" s="563">
        <v>0</v>
      </c>
      <c r="K110" s="564">
        <v>0</v>
      </c>
      <c r="L110" s="529">
        <v>0</v>
      </c>
      <c r="M110" s="1022" t="s">
        <v>701</v>
      </c>
      <c r="N110" s="529">
        <v>0</v>
      </c>
      <c r="O110" s="565">
        <v>0</v>
      </c>
      <c r="P110" s="565">
        <v>0</v>
      </c>
      <c r="Q110" s="529">
        <v>0</v>
      </c>
      <c r="R110" s="529">
        <v>0</v>
      </c>
      <c r="S110" s="529">
        <v>0</v>
      </c>
      <c r="T110" s="1026" t="s">
        <v>701</v>
      </c>
      <c r="U110" s="1026" t="s">
        <v>701</v>
      </c>
      <c r="V110" s="529">
        <v>0</v>
      </c>
      <c r="W110" s="1011" t="s">
        <v>701</v>
      </c>
      <c r="X110" s="1102"/>
      <c r="Y110" s="1103"/>
      <c r="Z110" s="1099"/>
      <c r="AA110" s="1100">
        <v>0</v>
      </c>
      <c r="AB110" s="1161"/>
      <c r="AC110" s="1161"/>
      <c r="AD110" s="1161"/>
      <c r="AE110" s="1163"/>
      <c r="AF110" s="1165"/>
      <c r="AG110" s="1041" t="s">
        <v>596</v>
      </c>
      <c r="AH110" s="905">
        <v>0</v>
      </c>
      <c r="AI110" s="49">
        <f t="shared" ref="AI110:AI173" si="204">IF(AH110,0,1)</f>
        <v>1</v>
      </c>
      <c r="AJ110" s="907">
        <f>AH110*WkB_1_2.3a!$N$335+AI110*WkB_1_2.3a!$O$345</f>
        <v>1.0526158167136324</v>
      </c>
    </row>
    <row r="111" spans="1:36" ht="11.25" customHeight="1" x14ac:dyDescent="0.25">
      <c r="D111" s="1092">
        <v>0</v>
      </c>
      <c r="E111" s="1093">
        <v>0</v>
      </c>
      <c r="F111" s="1093">
        <v>0</v>
      </c>
      <c r="G111" s="1093">
        <v>0</v>
      </c>
      <c r="H111" s="1093">
        <v>0</v>
      </c>
      <c r="I111" s="1157">
        <v>0</v>
      </c>
      <c r="J111" s="563">
        <v>0</v>
      </c>
      <c r="K111" s="564">
        <v>0</v>
      </c>
      <c r="L111" s="529">
        <v>0</v>
      </c>
      <c r="M111" s="1022" t="s">
        <v>701</v>
      </c>
      <c r="N111" s="564">
        <v>0</v>
      </c>
      <c r="O111" s="565">
        <v>0</v>
      </c>
      <c r="P111" s="565">
        <v>0</v>
      </c>
      <c r="Q111" s="853">
        <v>0</v>
      </c>
      <c r="R111" s="529">
        <v>0</v>
      </c>
      <c r="S111" s="529">
        <v>0</v>
      </c>
      <c r="T111" s="1026" t="s">
        <v>701</v>
      </c>
      <c r="U111" s="1026" t="s">
        <v>701</v>
      </c>
      <c r="V111" s="529">
        <v>0</v>
      </c>
      <c r="W111" s="1011" t="s">
        <v>701</v>
      </c>
      <c r="X111" s="1102"/>
      <c r="Y111" s="1103"/>
      <c r="Z111" s="1099"/>
      <c r="AA111" s="1100">
        <v>0</v>
      </c>
      <c r="AB111" s="1161"/>
      <c r="AC111" s="1161"/>
      <c r="AD111" s="1161"/>
      <c r="AE111" s="1163"/>
      <c r="AF111" s="1165"/>
      <c r="AG111" s="1041" t="s">
        <v>596</v>
      </c>
      <c r="AH111" s="905">
        <v>0</v>
      </c>
      <c r="AI111" s="49">
        <f t="shared" si="204"/>
        <v>1</v>
      </c>
      <c r="AJ111" s="907">
        <f>AH111*WkB_1_2.3a!$N$335+AI111*WkB_1_2.3a!$O$345</f>
        <v>1.0526158167136324</v>
      </c>
    </row>
    <row r="112" spans="1:36" ht="11.25" customHeight="1" x14ac:dyDescent="0.25">
      <c r="D112" s="1092">
        <v>0</v>
      </c>
      <c r="E112" s="1093">
        <v>0</v>
      </c>
      <c r="F112" s="1093">
        <v>0</v>
      </c>
      <c r="G112" s="1093">
        <v>0</v>
      </c>
      <c r="H112" s="1093">
        <v>0</v>
      </c>
      <c r="I112" s="1157">
        <v>0</v>
      </c>
      <c r="J112" s="563">
        <v>0</v>
      </c>
      <c r="K112" s="564">
        <v>0</v>
      </c>
      <c r="L112" s="529">
        <v>0</v>
      </c>
      <c r="M112" s="1022" t="s">
        <v>701</v>
      </c>
      <c r="N112" s="529">
        <v>0</v>
      </c>
      <c r="O112" s="565">
        <v>0</v>
      </c>
      <c r="P112" s="565">
        <v>0</v>
      </c>
      <c r="Q112" s="529">
        <v>0</v>
      </c>
      <c r="R112" s="529">
        <v>0</v>
      </c>
      <c r="S112" s="529">
        <v>0</v>
      </c>
      <c r="T112" s="1026" t="s">
        <v>701</v>
      </c>
      <c r="U112" s="1026" t="s">
        <v>701</v>
      </c>
      <c r="V112" s="529">
        <v>0</v>
      </c>
      <c r="W112" s="1011" t="s">
        <v>701</v>
      </c>
      <c r="X112" s="1102"/>
      <c r="Y112" s="1103"/>
      <c r="Z112" s="1099"/>
      <c r="AA112" s="1100">
        <v>0</v>
      </c>
      <c r="AB112" s="1161"/>
      <c r="AC112" s="1161"/>
      <c r="AD112" s="1161"/>
      <c r="AE112" s="1163"/>
      <c r="AF112" s="1165"/>
      <c r="AG112" s="1041" t="s">
        <v>596</v>
      </c>
      <c r="AH112" s="905">
        <v>0</v>
      </c>
      <c r="AI112" s="49">
        <f t="shared" si="204"/>
        <v>1</v>
      </c>
      <c r="AJ112" s="907">
        <f>AH112*WkB_1_2.3a!$N$335+AI112*WkB_1_2.3a!$O$345</f>
        <v>1.0526158167136324</v>
      </c>
    </row>
    <row r="113" spans="4:36" ht="11.25" customHeight="1" x14ac:dyDescent="0.25">
      <c r="D113" s="1092">
        <v>0</v>
      </c>
      <c r="E113" s="1093">
        <v>0</v>
      </c>
      <c r="F113" s="1093">
        <v>0</v>
      </c>
      <c r="G113" s="1093">
        <v>0</v>
      </c>
      <c r="H113" s="1093">
        <v>0</v>
      </c>
      <c r="I113" s="1157">
        <v>0</v>
      </c>
      <c r="J113" s="563">
        <v>0</v>
      </c>
      <c r="K113" s="564">
        <v>0</v>
      </c>
      <c r="L113" s="529">
        <v>0</v>
      </c>
      <c r="M113" s="1022" t="s">
        <v>701</v>
      </c>
      <c r="N113" s="529">
        <v>0</v>
      </c>
      <c r="O113" s="565">
        <v>0</v>
      </c>
      <c r="P113" s="565">
        <v>0</v>
      </c>
      <c r="Q113" s="529">
        <v>0</v>
      </c>
      <c r="R113" s="529">
        <v>0</v>
      </c>
      <c r="S113" s="529">
        <v>0</v>
      </c>
      <c r="T113" s="1026" t="s">
        <v>701</v>
      </c>
      <c r="U113" s="1026" t="s">
        <v>701</v>
      </c>
      <c r="V113" s="529">
        <v>0</v>
      </c>
      <c r="W113" s="1011" t="s">
        <v>701</v>
      </c>
      <c r="X113" s="1102"/>
      <c r="Y113" s="1103"/>
      <c r="Z113" s="1099"/>
      <c r="AA113" s="1100">
        <v>0</v>
      </c>
      <c r="AB113" s="1161"/>
      <c r="AC113" s="1161"/>
      <c r="AD113" s="1161"/>
      <c r="AE113" s="1163"/>
      <c r="AF113" s="1165"/>
      <c r="AG113" s="1041" t="s">
        <v>596</v>
      </c>
      <c r="AH113" s="905">
        <v>0</v>
      </c>
      <c r="AI113" s="49">
        <f t="shared" si="204"/>
        <v>1</v>
      </c>
      <c r="AJ113" s="907">
        <f>AH113*WkB_1_2.3a!$N$335+AI113*WkB_1_2.3a!$O$345</f>
        <v>1.0526158167136324</v>
      </c>
    </row>
    <row r="114" spans="4:36" ht="11.25" customHeight="1" x14ac:dyDescent="0.25">
      <c r="D114" s="1092">
        <v>0</v>
      </c>
      <c r="E114" s="1093">
        <v>0</v>
      </c>
      <c r="F114" s="1093">
        <v>0</v>
      </c>
      <c r="G114" s="1093">
        <v>0</v>
      </c>
      <c r="H114" s="1093">
        <v>0</v>
      </c>
      <c r="I114" s="1157">
        <v>0</v>
      </c>
      <c r="J114" s="563">
        <v>0</v>
      </c>
      <c r="K114" s="564">
        <v>0</v>
      </c>
      <c r="L114" s="529">
        <v>0</v>
      </c>
      <c r="M114" s="1022" t="s">
        <v>701</v>
      </c>
      <c r="N114" s="529">
        <v>0</v>
      </c>
      <c r="O114" s="565">
        <v>0</v>
      </c>
      <c r="P114" s="565">
        <v>0</v>
      </c>
      <c r="Q114" s="529">
        <v>0</v>
      </c>
      <c r="R114" s="529">
        <v>0</v>
      </c>
      <c r="S114" s="529">
        <v>0</v>
      </c>
      <c r="T114" s="1026" t="s">
        <v>701</v>
      </c>
      <c r="U114" s="1026" t="s">
        <v>701</v>
      </c>
      <c r="V114" s="529">
        <v>0</v>
      </c>
      <c r="W114" s="1011" t="s">
        <v>701</v>
      </c>
      <c r="X114" s="1102"/>
      <c r="Y114" s="1103"/>
      <c r="Z114" s="1099"/>
      <c r="AA114" s="1100">
        <v>0</v>
      </c>
      <c r="AB114" s="1161"/>
      <c r="AC114" s="1161"/>
      <c r="AD114" s="1161"/>
      <c r="AE114" s="1163"/>
      <c r="AF114" s="1165"/>
      <c r="AG114" s="1041" t="s">
        <v>596</v>
      </c>
      <c r="AH114" s="905">
        <v>0</v>
      </c>
      <c r="AI114" s="49">
        <f t="shared" si="204"/>
        <v>1</v>
      </c>
      <c r="AJ114" s="907">
        <f>AH114*WkB_1_2.3a!$N$335+AI114*WkB_1_2.3a!$O$345</f>
        <v>1.0526158167136324</v>
      </c>
    </row>
    <row r="115" spans="4:36" ht="11.25" customHeight="1" x14ac:dyDescent="0.25">
      <c r="D115" s="1092">
        <v>0</v>
      </c>
      <c r="E115" s="1155">
        <v>0</v>
      </c>
      <c r="F115" s="1155">
        <v>0</v>
      </c>
      <c r="G115" s="1155">
        <v>0</v>
      </c>
      <c r="H115" s="1155">
        <v>0</v>
      </c>
      <c r="I115" s="1158">
        <v>0</v>
      </c>
      <c r="J115" s="566">
        <v>0</v>
      </c>
      <c r="K115" s="567">
        <v>0</v>
      </c>
      <c r="L115" s="568">
        <v>0</v>
      </c>
      <c r="M115" s="1023" t="s">
        <v>701</v>
      </c>
      <c r="N115" s="568">
        <v>0</v>
      </c>
      <c r="O115" s="569">
        <v>0</v>
      </c>
      <c r="P115" s="569">
        <v>0</v>
      </c>
      <c r="Q115" s="568">
        <v>0</v>
      </c>
      <c r="R115" s="568">
        <v>0</v>
      </c>
      <c r="S115" s="568">
        <v>0</v>
      </c>
      <c r="T115" s="1027" t="s">
        <v>701</v>
      </c>
      <c r="U115" s="1027" t="s">
        <v>701</v>
      </c>
      <c r="V115" s="568">
        <v>0</v>
      </c>
      <c r="W115" s="1028" t="s">
        <v>701</v>
      </c>
      <c r="X115" s="1102"/>
      <c r="Y115" s="1103"/>
      <c r="Z115" s="1099"/>
      <c r="AA115" s="1100">
        <v>0</v>
      </c>
      <c r="AB115" s="1161"/>
      <c r="AC115" s="1161"/>
      <c r="AD115" s="1161"/>
      <c r="AE115" s="1163"/>
      <c r="AF115" s="1165"/>
      <c r="AG115" s="1044" t="s">
        <v>596</v>
      </c>
      <c r="AH115" s="905">
        <v>0</v>
      </c>
      <c r="AI115" s="49">
        <f t="shared" si="204"/>
        <v>1</v>
      </c>
      <c r="AJ115" s="907">
        <f>AH115*WkB_1_2.3a!$N$335+AI115*WkB_1_2.3a!$O$345</f>
        <v>1.0526158167136324</v>
      </c>
    </row>
    <row r="116" spans="4:36" ht="11.25" customHeight="1" thickBot="1" x14ac:dyDescent="0.3">
      <c r="D116" s="532" t="s">
        <v>418</v>
      </c>
      <c r="E116" s="570"/>
      <c r="F116" s="571"/>
      <c r="G116" s="571"/>
      <c r="H116" s="571"/>
      <c r="I116" s="572"/>
      <c r="J116" s="573"/>
      <c r="K116" s="574">
        <f>SUM(K109:K115)</f>
        <v>0</v>
      </c>
      <c r="L116" s="574">
        <f t="shared" ref="L116" si="205">SUM(L109:L115)</f>
        <v>5</v>
      </c>
      <c r="M116" s="1024" t="s">
        <v>701</v>
      </c>
      <c r="N116" s="575"/>
      <c r="O116" s="576"/>
      <c r="P116" s="576"/>
      <c r="Q116" s="576"/>
      <c r="R116" s="576"/>
      <c r="S116" s="574">
        <f t="shared" ref="S116:V116" si="206">SUM(S109:S115)</f>
        <v>0</v>
      </c>
      <c r="T116" s="1024" t="s">
        <v>701</v>
      </c>
      <c r="U116" s="1012" t="s">
        <v>701</v>
      </c>
      <c r="V116" s="539">
        <f t="shared" si="206"/>
        <v>5042.7142857142853</v>
      </c>
      <c r="W116" s="1024" t="s">
        <v>701</v>
      </c>
      <c r="X116" s="1024" t="s">
        <v>701</v>
      </c>
      <c r="Y116" s="1024" t="s">
        <v>701</v>
      </c>
      <c r="Z116" s="1024" t="s">
        <v>701</v>
      </c>
      <c r="AA116" s="577"/>
      <c r="AB116" s="1030" t="s">
        <v>701</v>
      </c>
      <c r="AC116" s="1030" t="s">
        <v>701</v>
      </c>
      <c r="AD116" s="1030" t="s">
        <v>701</v>
      </c>
      <c r="AE116" s="1030" t="s">
        <v>701</v>
      </c>
      <c r="AF116" s="1030" t="s">
        <v>701</v>
      </c>
      <c r="AG116" s="1045" t="s">
        <v>596</v>
      </c>
      <c r="AH116" s="905">
        <v>0</v>
      </c>
      <c r="AI116" s="49">
        <f t="shared" si="204"/>
        <v>1</v>
      </c>
      <c r="AJ116" s="907">
        <f>AH116*WkB_1_2.3a!$N$335+AI116*WkB_1_2.3a!$O$345</f>
        <v>1.0526158167136324</v>
      </c>
    </row>
    <row r="117" spans="4:36" ht="11.25" customHeight="1" x14ac:dyDescent="0.25">
      <c r="D117" s="1153" t="s">
        <v>795</v>
      </c>
      <c r="E117" s="1154" t="s">
        <v>796</v>
      </c>
      <c r="F117" s="1154" t="s">
        <v>793</v>
      </c>
      <c r="G117" s="1154" t="s">
        <v>726</v>
      </c>
      <c r="H117" s="1154">
        <v>132</v>
      </c>
      <c r="I117" s="1156">
        <v>0</v>
      </c>
      <c r="J117" s="560" t="s">
        <v>794</v>
      </c>
      <c r="K117" s="561">
        <v>0</v>
      </c>
      <c r="L117" s="541">
        <v>6</v>
      </c>
      <c r="M117" s="1021" t="s">
        <v>701</v>
      </c>
      <c r="N117" s="541" t="s">
        <v>813</v>
      </c>
      <c r="O117" s="562">
        <v>125</v>
      </c>
      <c r="P117" s="562">
        <v>160</v>
      </c>
      <c r="Q117" s="562">
        <v>137</v>
      </c>
      <c r="R117" s="562">
        <v>180</v>
      </c>
      <c r="S117" s="541">
        <v>0</v>
      </c>
      <c r="T117" s="1025" t="s">
        <v>701</v>
      </c>
      <c r="U117" s="1025" t="s">
        <v>701</v>
      </c>
      <c r="V117" s="542">
        <v>4378.0621118012423</v>
      </c>
      <c r="W117" s="1011" t="s">
        <v>701</v>
      </c>
      <c r="X117" s="1167" t="s">
        <v>701</v>
      </c>
      <c r="Y117" s="1168" t="s">
        <v>701</v>
      </c>
      <c r="Z117" s="1159"/>
      <c r="AA117" s="1166" t="s">
        <v>809</v>
      </c>
      <c r="AB117" s="1160" t="s">
        <v>701</v>
      </c>
      <c r="AC117" s="1160" t="s">
        <v>701</v>
      </c>
      <c r="AD117" s="1160" t="s">
        <v>701</v>
      </c>
      <c r="AE117" s="1162" t="s">
        <v>701</v>
      </c>
      <c r="AF117" s="1164" t="s">
        <v>701</v>
      </c>
      <c r="AG117" s="1040" t="s">
        <v>596</v>
      </c>
      <c r="AH117" s="905">
        <v>0</v>
      </c>
      <c r="AI117" s="49">
        <f t="shared" si="204"/>
        <v>1</v>
      </c>
      <c r="AJ117" s="907">
        <f>AH117*WkB_1_2.3a!$N$335+AI117*WkB_1_2.3a!$O$345</f>
        <v>1.0526158167136324</v>
      </c>
    </row>
    <row r="118" spans="4:36" ht="11.25" customHeight="1" x14ac:dyDescent="0.25">
      <c r="D118" s="1092">
        <v>0</v>
      </c>
      <c r="E118" s="1093">
        <v>0</v>
      </c>
      <c r="F118" s="1093">
        <v>0</v>
      </c>
      <c r="G118" s="1093">
        <v>0</v>
      </c>
      <c r="H118" s="1093">
        <v>0</v>
      </c>
      <c r="I118" s="1157">
        <v>0</v>
      </c>
      <c r="J118" s="563">
        <v>0</v>
      </c>
      <c r="K118" s="564">
        <v>0</v>
      </c>
      <c r="L118" s="529">
        <v>0</v>
      </c>
      <c r="M118" s="1022" t="s">
        <v>701</v>
      </c>
      <c r="N118" s="529">
        <v>0</v>
      </c>
      <c r="O118" s="565">
        <v>0</v>
      </c>
      <c r="P118" s="565">
        <v>0</v>
      </c>
      <c r="Q118" s="529">
        <v>0</v>
      </c>
      <c r="R118" s="529">
        <v>0</v>
      </c>
      <c r="S118" s="529">
        <v>0</v>
      </c>
      <c r="T118" s="1026" t="s">
        <v>701</v>
      </c>
      <c r="U118" s="1026" t="s">
        <v>701</v>
      </c>
      <c r="V118" s="529">
        <v>0</v>
      </c>
      <c r="W118" s="1011" t="s">
        <v>701</v>
      </c>
      <c r="X118" s="1102"/>
      <c r="Y118" s="1103"/>
      <c r="Z118" s="1099"/>
      <c r="AA118" s="1100">
        <v>0</v>
      </c>
      <c r="AB118" s="1161"/>
      <c r="AC118" s="1161"/>
      <c r="AD118" s="1161"/>
      <c r="AE118" s="1163"/>
      <c r="AF118" s="1165"/>
      <c r="AG118" s="1041" t="s">
        <v>596</v>
      </c>
      <c r="AH118" s="905">
        <v>0</v>
      </c>
      <c r="AI118" s="49">
        <f t="shared" si="204"/>
        <v>1</v>
      </c>
      <c r="AJ118" s="907">
        <f>AH118*WkB_1_2.3a!$N$335+AI118*WkB_1_2.3a!$O$345</f>
        <v>1.0526158167136324</v>
      </c>
    </row>
    <row r="119" spans="4:36" ht="11.25" customHeight="1" x14ac:dyDescent="0.25">
      <c r="D119" s="1092">
        <v>0</v>
      </c>
      <c r="E119" s="1093">
        <v>0</v>
      </c>
      <c r="F119" s="1093">
        <v>0</v>
      </c>
      <c r="G119" s="1093">
        <v>0</v>
      </c>
      <c r="H119" s="1093">
        <v>0</v>
      </c>
      <c r="I119" s="1157">
        <v>0</v>
      </c>
      <c r="J119" s="563">
        <v>0</v>
      </c>
      <c r="K119" s="564">
        <v>0</v>
      </c>
      <c r="L119" s="529">
        <v>0</v>
      </c>
      <c r="M119" s="1022" t="s">
        <v>701</v>
      </c>
      <c r="N119" s="564">
        <v>0</v>
      </c>
      <c r="O119" s="565">
        <v>0</v>
      </c>
      <c r="P119" s="565">
        <v>0</v>
      </c>
      <c r="Q119" s="853">
        <v>0</v>
      </c>
      <c r="R119" s="529">
        <v>0</v>
      </c>
      <c r="S119" s="529">
        <v>0</v>
      </c>
      <c r="T119" s="1026" t="s">
        <v>701</v>
      </c>
      <c r="U119" s="1026" t="s">
        <v>701</v>
      </c>
      <c r="V119" s="529">
        <v>0</v>
      </c>
      <c r="W119" s="1011" t="s">
        <v>701</v>
      </c>
      <c r="X119" s="1102"/>
      <c r="Y119" s="1103"/>
      <c r="Z119" s="1099"/>
      <c r="AA119" s="1100">
        <v>0</v>
      </c>
      <c r="AB119" s="1161"/>
      <c r="AC119" s="1161"/>
      <c r="AD119" s="1161"/>
      <c r="AE119" s="1163"/>
      <c r="AF119" s="1165"/>
      <c r="AG119" s="1041" t="s">
        <v>596</v>
      </c>
      <c r="AH119" s="905">
        <v>0</v>
      </c>
      <c r="AI119" s="49">
        <f t="shared" si="204"/>
        <v>1</v>
      </c>
      <c r="AJ119" s="907">
        <f>AH119*WkB_1_2.3a!$N$335+AI119*WkB_1_2.3a!$O$345</f>
        <v>1.0526158167136324</v>
      </c>
    </row>
    <row r="120" spans="4:36" ht="11.25" customHeight="1" x14ac:dyDescent="0.25">
      <c r="D120" s="1092">
        <v>0</v>
      </c>
      <c r="E120" s="1093">
        <v>0</v>
      </c>
      <c r="F120" s="1093">
        <v>0</v>
      </c>
      <c r="G120" s="1093">
        <v>0</v>
      </c>
      <c r="H120" s="1093">
        <v>0</v>
      </c>
      <c r="I120" s="1157">
        <v>0</v>
      </c>
      <c r="J120" s="563">
        <v>0</v>
      </c>
      <c r="K120" s="564">
        <v>0</v>
      </c>
      <c r="L120" s="529">
        <v>0</v>
      </c>
      <c r="M120" s="1022" t="s">
        <v>701</v>
      </c>
      <c r="N120" s="529">
        <v>0</v>
      </c>
      <c r="O120" s="565">
        <v>0</v>
      </c>
      <c r="P120" s="565">
        <v>0</v>
      </c>
      <c r="Q120" s="529">
        <v>0</v>
      </c>
      <c r="R120" s="529">
        <v>0</v>
      </c>
      <c r="S120" s="529">
        <v>0</v>
      </c>
      <c r="T120" s="1026" t="s">
        <v>701</v>
      </c>
      <c r="U120" s="1026" t="s">
        <v>701</v>
      </c>
      <c r="V120" s="529">
        <v>0</v>
      </c>
      <c r="W120" s="1011" t="s">
        <v>701</v>
      </c>
      <c r="X120" s="1102"/>
      <c r="Y120" s="1103"/>
      <c r="Z120" s="1099"/>
      <c r="AA120" s="1100">
        <v>0</v>
      </c>
      <c r="AB120" s="1161"/>
      <c r="AC120" s="1161"/>
      <c r="AD120" s="1161"/>
      <c r="AE120" s="1163"/>
      <c r="AF120" s="1165"/>
      <c r="AG120" s="1041" t="s">
        <v>596</v>
      </c>
      <c r="AH120" s="905">
        <v>0</v>
      </c>
      <c r="AI120" s="49">
        <f t="shared" si="204"/>
        <v>1</v>
      </c>
      <c r="AJ120" s="907">
        <f>AH120*WkB_1_2.3a!$N$335+AI120*WkB_1_2.3a!$O$345</f>
        <v>1.0526158167136324</v>
      </c>
    </row>
    <row r="121" spans="4:36" ht="11.25" customHeight="1" x14ac:dyDescent="0.25">
      <c r="D121" s="1092">
        <v>0</v>
      </c>
      <c r="E121" s="1093">
        <v>0</v>
      </c>
      <c r="F121" s="1093">
        <v>0</v>
      </c>
      <c r="G121" s="1093">
        <v>0</v>
      </c>
      <c r="H121" s="1093">
        <v>0</v>
      </c>
      <c r="I121" s="1157">
        <v>0</v>
      </c>
      <c r="J121" s="563">
        <v>0</v>
      </c>
      <c r="K121" s="564">
        <v>0</v>
      </c>
      <c r="L121" s="529">
        <v>0</v>
      </c>
      <c r="M121" s="1022" t="s">
        <v>701</v>
      </c>
      <c r="N121" s="529">
        <v>0</v>
      </c>
      <c r="O121" s="565">
        <v>0</v>
      </c>
      <c r="P121" s="565">
        <v>0</v>
      </c>
      <c r="Q121" s="529">
        <v>0</v>
      </c>
      <c r="R121" s="529">
        <v>0</v>
      </c>
      <c r="S121" s="529">
        <v>0</v>
      </c>
      <c r="T121" s="1026" t="s">
        <v>701</v>
      </c>
      <c r="U121" s="1026" t="s">
        <v>701</v>
      </c>
      <c r="V121" s="529">
        <v>0</v>
      </c>
      <c r="W121" s="1011" t="s">
        <v>701</v>
      </c>
      <c r="X121" s="1102"/>
      <c r="Y121" s="1103"/>
      <c r="Z121" s="1099"/>
      <c r="AA121" s="1100">
        <v>0</v>
      </c>
      <c r="AB121" s="1161"/>
      <c r="AC121" s="1161"/>
      <c r="AD121" s="1161"/>
      <c r="AE121" s="1163"/>
      <c r="AF121" s="1165"/>
      <c r="AG121" s="1041" t="s">
        <v>596</v>
      </c>
      <c r="AH121" s="905">
        <v>0</v>
      </c>
      <c r="AI121" s="49">
        <f t="shared" si="204"/>
        <v>1</v>
      </c>
      <c r="AJ121" s="907">
        <f>AH121*WkB_1_2.3a!$N$335+AI121*WkB_1_2.3a!$O$345</f>
        <v>1.0526158167136324</v>
      </c>
    </row>
    <row r="122" spans="4:36" ht="11.25" customHeight="1" x14ac:dyDescent="0.25">
      <c r="D122" s="1092">
        <v>0</v>
      </c>
      <c r="E122" s="1093">
        <v>0</v>
      </c>
      <c r="F122" s="1093">
        <v>0</v>
      </c>
      <c r="G122" s="1093">
        <v>0</v>
      </c>
      <c r="H122" s="1093">
        <v>0</v>
      </c>
      <c r="I122" s="1157">
        <v>0</v>
      </c>
      <c r="J122" s="563">
        <v>0</v>
      </c>
      <c r="K122" s="564">
        <v>0</v>
      </c>
      <c r="L122" s="529">
        <v>0</v>
      </c>
      <c r="M122" s="1022" t="s">
        <v>701</v>
      </c>
      <c r="N122" s="529">
        <v>0</v>
      </c>
      <c r="O122" s="565">
        <v>0</v>
      </c>
      <c r="P122" s="565">
        <v>0</v>
      </c>
      <c r="Q122" s="529">
        <v>0</v>
      </c>
      <c r="R122" s="529">
        <v>0</v>
      </c>
      <c r="S122" s="529">
        <v>0</v>
      </c>
      <c r="T122" s="1026" t="s">
        <v>701</v>
      </c>
      <c r="U122" s="1026" t="s">
        <v>701</v>
      </c>
      <c r="V122" s="529">
        <v>0</v>
      </c>
      <c r="W122" s="1011" t="s">
        <v>701</v>
      </c>
      <c r="X122" s="1102"/>
      <c r="Y122" s="1103"/>
      <c r="Z122" s="1099"/>
      <c r="AA122" s="1100">
        <v>0</v>
      </c>
      <c r="AB122" s="1161"/>
      <c r="AC122" s="1161"/>
      <c r="AD122" s="1161"/>
      <c r="AE122" s="1163"/>
      <c r="AF122" s="1165"/>
      <c r="AG122" s="1041" t="s">
        <v>596</v>
      </c>
      <c r="AH122" s="905">
        <v>0</v>
      </c>
      <c r="AI122" s="49">
        <f t="shared" si="204"/>
        <v>1</v>
      </c>
      <c r="AJ122" s="907">
        <f>AH122*WkB_1_2.3a!$N$335+AI122*WkB_1_2.3a!$O$345</f>
        <v>1.0526158167136324</v>
      </c>
    </row>
    <row r="123" spans="4:36" ht="11.25" customHeight="1" x14ac:dyDescent="0.25">
      <c r="D123" s="1092">
        <v>0</v>
      </c>
      <c r="E123" s="1155">
        <v>0</v>
      </c>
      <c r="F123" s="1155">
        <v>0</v>
      </c>
      <c r="G123" s="1155">
        <v>0</v>
      </c>
      <c r="H123" s="1155">
        <v>0</v>
      </c>
      <c r="I123" s="1158">
        <v>0</v>
      </c>
      <c r="J123" s="566">
        <v>0</v>
      </c>
      <c r="K123" s="567">
        <v>0</v>
      </c>
      <c r="L123" s="568">
        <v>0</v>
      </c>
      <c r="M123" s="1023" t="s">
        <v>701</v>
      </c>
      <c r="N123" s="568">
        <v>0</v>
      </c>
      <c r="O123" s="569">
        <v>0</v>
      </c>
      <c r="P123" s="569">
        <v>0</v>
      </c>
      <c r="Q123" s="568">
        <v>0</v>
      </c>
      <c r="R123" s="568">
        <v>0</v>
      </c>
      <c r="S123" s="568">
        <v>0</v>
      </c>
      <c r="T123" s="1027" t="s">
        <v>701</v>
      </c>
      <c r="U123" s="1027" t="s">
        <v>701</v>
      </c>
      <c r="V123" s="568">
        <v>0</v>
      </c>
      <c r="W123" s="1028" t="s">
        <v>701</v>
      </c>
      <c r="X123" s="1102"/>
      <c r="Y123" s="1103"/>
      <c r="Z123" s="1099"/>
      <c r="AA123" s="1100">
        <v>0</v>
      </c>
      <c r="AB123" s="1161"/>
      <c r="AC123" s="1161"/>
      <c r="AD123" s="1161"/>
      <c r="AE123" s="1163"/>
      <c r="AF123" s="1165"/>
      <c r="AG123" s="1044" t="s">
        <v>596</v>
      </c>
      <c r="AH123" s="905">
        <v>0</v>
      </c>
      <c r="AI123" s="49">
        <f t="shared" si="204"/>
        <v>1</v>
      </c>
      <c r="AJ123" s="907">
        <f>AH123*WkB_1_2.3a!$N$335+AI123*WkB_1_2.3a!$O$345</f>
        <v>1.0526158167136324</v>
      </c>
    </row>
    <row r="124" spans="4:36" ht="11.25" customHeight="1" thickBot="1" x14ac:dyDescent="0.3">
      <c r="D124" s="532" t="s">
        <v>418</v>
      </c>
      <c r="E124" s="570"/>
      <c r="F124" s="571"/>
      <c r="G124" s="571"/>
      <c r="H124" s="571"/>
      <c r="I124" s="572"/>
      <c r="J124" s="573"/>
      <c r="K124" s="574">
        <f>SUM(K117:K123)</f>
        <v>0</v>
      </c>
      <c r="L124" s="574">
        <f t="shared" ref="L124" si="207">SUM(L117:L123)</f>
        <v>6</v>
      </c>
      <c r="M124" s="1024" t="s">
        <v>701</v>
      </c>
      <c r="N124" s="575"/>
      <c r="O124" s="576"/>
      <c r="P124" s="576"/>
      <c r="Q124" s="576"/>
      <c r="R124" s="576"/>
      <c r="S124" s="574">
        <f t="shared" ref="S124:V124" si="208">SUM(S117:S123)</f>
        <v>0</v>
      </c>
      <c r="T124" s="1024" t="s">
        <v>701</v>
      </c>
      <c r="U124" s="1012" t="s">
        <v>701</v>
      </c>
      <c r="V124" s="539">
        <f t="shared" si="208"/>
        <v>4378.0621118012423</v>
      </c>
      <c r="W124" s="1024" t="s">
        <v>701</v>
      </c>
      <c r="X124" s="1024" t="s">
        <v>701</v>
      </c>
      <c r="Y124" s="1024" t="s">
        <v>701</v>
      </c>
      <c r="Z124" s="1024" t="s">
        <v>701</v>
      </c>
      <c r="AA124" s="577"/>
      <c r="AB124" s="1030" t="s">
        <v>701</v>
      </c>
      <c r="AC124" s="1030" t="s">
        <v>701</v>
      </c>
      <c r="AD124" s="1030" t="s">
        <v>701</v>
      </c>
      <c r="AE124" s="1030" t="s">
        <v>701</v>
      </c>
      <c r="AF124" s="1030" t="s">
        <v>701</v>
      </c>
      <c r="AG124" s="1045" t="s">
        <v>596</v>
      </c>
      <c r="AH124" s="905">
        <v>0</v>
      </c>
      <c r="AI124" s="49">
        <f t="shared" si="204"/>
        <v>1</v>
      </c>
      <c r="AJ124" s="907">
        <f>AH124*WkB_1_2.3a!$N$335+AI124*WkB_1_2.3a!$O$345</f>
        <v>1.0526158167136324</v>
      </c>
    </row>
    <row r="125" spans="4:36" ht="11.25" customHeight="1" x14ac:dyDescent="0.25">
      <c r="D125" s="1153" t="s">
        <v>797</v>
      </c>
      <c r="E125" s="1154" t="s">
        <v>796</v>
      </c>
      <c r="F125" s="1154" t="s">
        <v>793</v>
      </c>
      <c r="G125" s="1154" t="s">
        <v>726</v>
      </c>
      <c r="H125" s="1154">
        <v>132</v>
      </c>
      <c r="I125" s="1156">
        <v>0</v>
      </c>
      <c r="J125" s="560" t="s">
        <v>794</v>
      </c>
      <c r="K125" s="561">
        <v>0</v>
      </c>
      <c r="L125" s="541">
        <v>7</v>
      </c>
      <c r="M125" s="1021" t="s">
        <v>701</v>
      </c>
      <c r="N125" s="541" t="s">
        <v>813</v>
      </c>
      <c r="O125" s="562">
        <v>125</v>
      </c>
      <c r="P125" s="562">
        <v>160</v>
      </c>
      <c r="Q125" s="562">
        <v>137</v>
      </c>
      <c r="R125" s="562">
        <v>180</v>
      </c>
      <c r="S125" s="541">
        <v>0</v>
      </c>
      <c r="T125" s="1025" t="s">
        <v>701</v>
      </c>
      <c r="U125" s="1025" t="s">
        <v>701</v>
      </c>
      <c r="V125" s="542">
        <v>3383.6149068322979</v>
      </c>
      <c r="W125" s="1011" t="s">
        <v>701</v>
      </c>
      <c r="X125" s="1167" t="s">
        <v>701</v>
      </c>
      <c r="Y125" s="1168" t="s">
        <v>701</v>
      </c>
      <c r="Z125" s="1159"/>
      <c r="AA125" s="1166" t="s">
        <v>809</v>
      </c>
      <c r="AB125" s="1160" t="s">
        <v>701</v>
      </c>
      <c r="AC125" s="1160" t="s">
        <v>701</v>
      </c>
      <c r="AD125" s="1160" t="s">
        <v>701</v>
      </c>
      <c r="AE125" s="1162" t="s">
        <v>701</v>
      </c>
      <c r="AF125" s="1164" t="s">
        <v>701</v>
      </c>
      <c r="AG125" s="1040" t="s">
        <v>596</v>
      </c>
      <c r="AH125" s="905">
        <v>0</v>
      </c>
      <c r="AI125" s="49">
        <f t="shared" si="204"/>
        <v>1</v>
      </c>
      <c r="AJ125" s="907">
        <f>AH125*WkB_1_2.3a!$N$335+AI125*WkB_1_2.3a!$O$345</f>
        <v>1.0526158167136324</v>
      </c>
    </row>
    <row r="126" spans="4:36" ht="11.25" customHeight="1" x14ac:dyDescent="0.25">
      <c r="D126" s="1092">
        <v>0</v>
      </c>
      <c r="E126" s="1093">
        <v>0</v>
      </c>
      <c r="F126" s="1093">
        <v>0</v>
      </c>
      <c r="G126" s="1093">
        <v>0</v>
      </c>
      <c r="H126" s="1093">
        <v>0</v>
      </c>
      <c r="I126" s="1157">
        <v>0</v>
      </c>
      <c r="J126" s="563">
        <v>0</v>
      </c>
      <c r="K126" s="564">
        <v>0</v>
      </c>
      <c r="L126" s="529">
        <v>0</v>
      </c>
      <c r="M126" s="1022" t="s">
        <v>701</v>
      </c>
      <c r="N126" s="529">
        <v>0</v>
      </c>
      <c r="O126" s="565">
        <v>0</v>
      </c>
      <c r="P126" s="565">
        <v>0</v>
      </c>
      <c r="Q126" s="529">
        <v>0</v>
      </c>
      <c r="R126" s="529">
        <v>0</v>
      </c>
      <c r="S126" s="529">
        <v>0</v>
      </c>
      <c r="T126" s="1026" t="s">
        <v>701</v>
      </c>
      <c r="U126" s="1026" t="s">
        <v>701</v>
      </c>
      <c r="V126" s="529">
        <v>0</v>
      </c>
      <c r="W126" s="1011" t="s">
        <v>701</v>
      </c>
      <c r="X126" s="1102"/>
      <c r="Y126" s="1103"/>
      <c r="Z126" s="1099"/>
      <c r="AA126" s="1100">
        <v>0</v>
      </c>
      <c r="AB126" s="1161"/>
      <c r="AC126" s="1161"/>
      <c r="AD126" s="1161"/>
      <c r="AE126" s="1163"/>
      <c r="AF126" s="1165"/>
      <c r="AG126" s="1041" t="s">
        <v>596</v>
      </c>
      <c r="AH126" s="905">
        <v>0</v>
      </c>
      <c r="AI126" s="49">
        <f t="shared" si="204"/>
        <v>1</v>
      </c>
      <c r="AJ126" s="907">
        <f>AH126*WkB_1_2.3a!$N$335+AI126*WkB_1_2.3a!$O$345</f>
        <v>1.0526158167136324</v>
      </c>
    </row>
    <row r="127" spans="4:36" ht="11.25" customHeight="1" x14ac:dyDescent="0.25">
      <c r="D127" s="1092">
        <v>0</v>
      </c>
      <c r="E127" s="1093">
        <v>0</v>
      </c>
      <c r="F127" s="1093">
        <v>0</v>
      </c>
      <c r="G127" s="1093">
        <v>0</v>
      </c>
      <c r="H127" s="1093">
        <v>0</v>
      </c>
      <c r="I127" s="1157">
        <v>0</v>
      </c>
      <c r="J127" s="563">
        <v>0</v>
      </c>
      <c r="K127" s="564">
        <v>0</v>
      </c>
      <c r="L127" s="529">
        <v>0</v>
      </c>
      <c r="M127" s="1022" t="s">
        <v>701</v>
      </c>
      <c r="N127" s="564">
        <v>0</v>
      </c>
      <c r="O127" s="565">
        <v>0</v>
      </c>
      <c r="P127" s="565">
        <v>0</v>
      </c>
      <c r="Q127" s="853">
        <v>0</v>
      </c>
      <c r="R127" s="529">
        <v>0</v>
      </c>
      <c r="S127" s="529">
        <v>0</v>
      </c>
      <c r="T127" s="1026" t="s">
        <v>701</v>
      </c>
      <c r="U127" s="1026" t="s">
        <v>701</v>
      </c>
      <c r="V127" s="529">
        <v>0</v>
      </c>
      <c r="W127" s="1011" t="s">
        <v>701</v>
      </c>
      <c r="X127" s="1102"/>
      <c r="Y127" s="1103"/>
      <c r="Z127" s="1099"/>
      <c r="AA127" s="1100">
        <v>0</v>
      </c>
      <c r="AB127" s="1161"/>
      <c r="AC127" s="1161"/>
      <c r="AD127" s="1161"/>
      <c r="AE127" s="1163"/>
      <c r="AF127" s="1165"/>
      <c r="AG127" s="1041" t="s">
        <v>596</v>
      </c>
      <c r="AH127" s="905">
        <v>0</v>
      </c>
      <c r="AI127" s="49">
        <f t="shared" si="204"/>
        <v>1</v>
      </c>
      <c r="AJ127" s="907">
        <f>AH127*WkB_1_2.3a!$N$335+AI127*WkB_1_2.3a!$O$345</f>
        <v>1.0526158167136324</v>
      </c>
    </row>
    <row r="128" spans="4:36" ht="11.25" customHeight="1" x14ac:dyDescent="0.25">
      <c r="D128" s="1092">
        <v>0</v>
      </c>
      <c r="E128" s="1093">
        <v>0</v>
      </c>
      <c r="F128" s="1093">
        <v>0</v>
      </c>
      <c r="G128" s="1093">
        <v>0</v>
      </c>
      <c r="H128" s="1093">
        <v>0</v>
      </c>
      <c r="I128" s="1157">
        <v>0</v>
      </c>
      <c r="J128" s="563">
        <v>0</v>
      </c>
      <c r="K128" s="564">
        <v>0</v>
      </c>
      <c r="L128" s="529">
        <v>0</v>
      </c>
      <c r="M128" s="1022" t="s">
        <v>701</v>
      </c>
      <c r="N128" s="529">
        <v>0</v>
      </c>
      <c r="O128" s="565">
        <v>0</v>
      </c>
      <c r="P128" s="565">
        <v>0</v>
      </c>
      <c r="Q128" s="529">
        <v>0</v>
      </c>
      <c r="R128" s="529">
        <v>0</v>
      </c>
      <c r="S128" s="529">
        <v>0</v>
      </c>
      <c r="T128" s="1026" t="s">
        <v>701</v>
      </c>
      <c r="U128" s="1026" t="s">
        <v>701</v>
      </c>
      <c r="V128" s="529">
        <v>0</v>
      </c>
      <c r="W128" s="1011" t="s">
        <v>701</v>
      </c>
      <c r="X128" s="1102"/>
      <c r="Y128" s="1103"/>
      <c r="Z128" s="1099"/>
      <c r="AA128" s="1100">
        <v>0</v>
      </c>
      <c r="AB128" s="1161"/>
      <c r="AC128" s="1161"/>
      <c r="AD128" s="1161"/>
      <c r="AE128" s="1163"/>
      <c r="AF128" s="1165"/>
      <c r="AG128" s="1041" t="s">
        <v>596</v>
      </c>
      <c r="AH128" s="905">
        <v>0</v>
      </c>
      <c r="AI128" s="49">
        <f t="shared" si="204"/>
        <v>1</v>
      </c>
      <c r="AJ128" s="907">
        <f>AH128*WkB_1_2.3a!$N$335+AI128*WkB_1_2.3a!$O$345</f>
        <v>1.0526158167136324</v>
      </c>
    </row>
    <row r="129" spans="4:36" ht="11.25" customHeight="1" x14ac:dyDescent="0.25">
      <c r="D129" s="1092">
        <v>0</v>
      </c>
      <c r="E129" s="1093">
        <v>0</v>
      </c>
      <c r="F129" s="1093">
        <v>0</v>
      </c>
      <c r="G129" s="1093">
        <v>0</v>
      </c>
      <c r="H129" s="1093">
        <v>0</v>
      </c>
      <c r="I129" s="1157">
        <v>0</v>
      </c>
      <c r="J129" s="563">
        <v>0</v>
      </c>
      <c r="K129" s="564">
        <v>0</v>
      </c>
      <c r="L129" s="529">
        <v>0</v>
      </c>
      <c r="M129" s="1022" t="s">
        <v>701</v>
      </c>
      <c r="N129" s="529">
        <v>0</v>
      </c>
      <c r="O129" s="565">
        <v>0</v>
      </c>
      <c r="P129" s="565">
        <v>0</v>
      </c>
      <c r="Q129" s="529">
        <v>0</v>
      </c>
      <c r="R129" s="529">
        <v>0</v>
      </c>
      <c r="S129" s="529">
        <v>0</v>
      </c>
      <c r="T129" s="1026" t="s">
        <v>701</v>
      </c>
      <c r="U129" s="1026" t="s">
        <v>701</v>
      </c>
      <c r="V129" s="529">
        <v>0</v>
      </c>
      <c r="W129" s="1011" t="s">
        <v>701</v>
      </c>
      <c r="X129" s="1102"/>
      <c r="Y129" s="1103"/>
      <c r="Z129" s="1099"/>
      <c r="AA129" s="1100">
        <v>0</v>
      </c>
      <c r="AB129" s="1161"/>
      <c r="AC129" s="1161"/>
      <c r="AD129" s="1161"/>
      <c r="AE129" s="1163"/>
      <c r="AF129" s="1165"/>
      <c r="AG129" s="1041" t="s">
        <v>596</v>
      </c>
      <c r="AH129" s="905">
        <v>0</v>
      </c>
      <c r="AI129" s="49">
        <f t="shared" si="204"/>
        <v>1</v>
      </c>
      <c r="AJ129" s="907">
        <f>AH129*WkB_1_2.3a!$N$335+AI129*WkB_1_2.3a!$O$345</f>
        <v>1.0526158167136324</v>
      </c>
    </row>
    <row r="130" spans="4:36" ht="11.25" customHeight="1" x14ac:dyDescent="0.25">
      <c r="D130" s="1092">
        <v>0</v>
      </c>
      <c r="E130" s="1093">
        <v>0</v>
      </c>
      <c r="F130" s="1093">
        <v>0</v>
      </c>
      <c r="G130" s="1093">
        <v>0</v>
      </c>
      <c r="H130" s="1093">
        <v>0</v>
      </c>
      <c r="I130" s="1157">
        <v>0</v>
      </c>
      <c r="J130" s="563">
        <v>0</v>
      </c>
      <c r="K130" s="564">
        <v>0</v>
      </c>
      <c r="L130" s="529">
        <v>0</v>
      </c>
      <c r="M130" s="1022" t="s">
        <v>701</v>
      </c>
      <c r="N130" s="529">
        <v>0</v>
      </c>
      <c r="O130" s="565">
        <v>0</v>
      </c>
      <c r="P130" s="565">
        <v>0</v>
      </c>
      <c r="Q130" s="529">
        <v>0</v>
      </c>
      <c r="R130" s="529">
        <v>0</v>
      </c>
      <c r="S130" s="529">
        <v>0</v>
      </c>
      <c r="T130" s="1026" t="s">
        <v>701</v>
      </c>
      <c r="U130" s="1026" t="s">
        <v>701</v>
      </c>
      <c r="V130" s="529">
        <v>0</v>
      </c>
      <c r="W130" s="1011" t="s">
        <v>701</v>
      </c>
      <c r="X130" s="1102"/>
      <c r="Y130" s="1103"/>
      <c r="Z130" s="1099"/>
      <c r="AA130" s="1100">
        <v>0</v>
      </c>
      <c r="AB130" s="1161"/>
      <c r="AC130" s="1161"/>
      <c r="AD130" s="1161"/>
      <c r="AE130" s="1163"/>
      <c r="AF130" s="1165"/>
      <c r="AG130" s="1041" t="s">
        <v>596</v>
      </c>
      <c r="AH130" s="905">
        <v>0</v>
      </c>
      <c r="AI130" s="49">
        <f t="shared" si="204"/>
        <v>1</v>
      </c>
      <c r="AJ130" s="907">
        <f>AH130*WkB_1_2.3a!$N$335+AI130*WkB_1_2.3a!$O$345</f>
        <v>1.0526158167136324</v>
      </c>
    </row>
    <row r="131" spans="4:36" ht="11.25" customHeight="1" x14ac:dyDescent="0.25">
      <c r="D131" s="1092">
        <v>0</v>
      </c>
      <c r="E131" s="1155">
        <v>0</v>
      </c>
      <c r="F131" s="1155">
        <v>0</v>
      </c>
      <c r="G131" s="1155">
        <v>0</v>
      </c>
      <c r="H131" s="1155">
        <v>0</v>
      </c>
      <c r="I131" s="1158">
        <v>0</v>
      </c>
      <c r="J131" s="566">
        <v>0</v>
      </c>
      <c r="K131" s="567">
        <v>0</v>
      </c>
      <c r="L131" s="568">
        <v>0</v>
      </c>
      <c r="M131" s="1023" t="s">
        <v>701</v>
      </c>
      <c r="N131" s="568">
        <v>0</v>
      </c>
      <c r="O131" s="569">
        <v>0</v>
      </c>
      <c r="P131" s="569">
        <v>0</v>
      </c>
      <c r="Q131" s="568">
        <v>0</v>
      </c>
      <c r="R131" s="568">
        <v>0</v>
      </c>
      <c r="S131" s="568">
        <v>0</v>
      </c>
      <c r="T131" s="1027" t="s">
        <v>701</v>
      </c>
      <c r="U131" s="1027" t="s">
        <v>701</v>
      </c>
      <c r="V131" s="568">
        <v>0</v>
      </c>
      <c r="W131" s="1028" t="s">
        <v>701</v>
      </c>
      <c r="X131" s="1102"/>
      <c r="Y131" s="1103"/>
      <c r="Z131" s="1099"/>
      <c r="AA131" s="1100">
        <v>0</v>
      </c>
      <c r="AB131" s="1161"/>
      <c r="AC131" s="1161"/>
      <c r="AD131" s="1161"/>
      <c r="AE131" s="1163"/>
      <c r="AF131" s="1165"/>
      <c r="AG131" s="1044" t="s">
        <v>596</v>
      </c>
      <c r="AH131" s="905">
        <v>0</v>
      </c>
      <c r="AI131" s="49">
        <f t="shared" si="204"/>
        <v>1</v>
      </c>
      <c r="AJ131" s="907">
        <f>AH131*WkB_1_2.3a!$N$335+AI131*WkB_1_2.3a!$O$345</f>
        <v>1.0526158167136324</v>
      </c>
    </row>
    <row r="132" spans="4:36" ht="11.25" customHeight="1" thickBot="1" x14ac:dyDescent="0.3">
      <c r="D132" s="532" t="s">
        <v>418</v>
      </c>
      <c r="E132" s="570"/>
      <c r="F132" s="571"/>
      <c r="G132" s="571"/>
      <c r="H132" s="571"/>
      <c r="I132" s="572"/>
      <c r="J132" s="573"/>
      <c r="K132" s="574">
        <f>SUM(K125:K131)</f>
        <v>0</v>
      </c>
      <c r="L132" s="574">
        <f t="shared" ref="L132" si="209">SUM(L125:L131)</f>
        <v>7</v>
      </c>
      <c r="M132" s="1024" t="s">
        <v>701</v>
      </c>
      <c r="N132" s="575"/>
      <c r="O132" s="576"/>
      <c r="P132" s="576"/>
      <c r="Q132" s="576"/>
      <c r="R132" s="576"/>
      <c r="S132" s="574">
        <f t="shared" ref="S132:V132" si="210">SUM(S125:S131)</f>
        <v>0</v>
      </c>
      <c r="T132" s="1024" t="s">
        <v>701</v>
      </c>
      <c r="U132" s="1012" t="s">
        <v>701</v>
      </c>
      <c r="V132" s="539">
        <f t="shared" si="210"/>
        <v>3383.6149068322979</v>
      </c>
      <c r="W132" s="1024" t="s">
        <v>701</v>
      </c>
      <c r="X132" s="1024" t="s">
        <v>701</v>
      </c>
      <c r="Y132" s="1024" t="s">
        <v>701</v>
      </c>
      <c r="Z132" s="1024" t="s">
        <v>701</v>
      </c>
      <c r="AA132" s="577"/>
      <c r="AB132" s="1030" t="s">
        <v>701</v>
      </c>
      <c r="AC132" s="1030" t="s">
        <v>701</v>
      </c>
      <c r="AD132" s="1030" t="s">
        <v>701</v>
      </c>
      <c r="AE132" s="1030" t="s">
        <v>701</v>
      </c>
      <c r="AF132" s="1030" t="s">
        <v>701</v>
      </c>
      <c r="AG132" s="1045" t="s">
        <v>596</v>
      </c>
      <c r="AH132" s="905">
        <v>0</v>
      </c>
      <c r="AI132" s="49">
        <f t="shared" si="204"/>
        <v>1</v>
      </c>
      <c r="AJ132" s="907">
        <f>AH132*WkB_1_2.3a!$N$335+AI132*WkB_1_2.3a!$O$345</f>
        <v>1.0526158167136324</v>
      </c>
    </row>
    <row r="133" spans="4:36" ht="11.25" customHeight="1" x14ac:dyDescent="0.25">
      <c r="D133" s="1153" t="s">
        <v>798</v>
      </c>
      <c r="E133" s="1154" t="s">
        <v>756</v>
      </c>
      <c r="F133" s="1154" t="s">
        <v>799</v>
      </c>
      <c r="G133" s="1154" t="s">
        <v>720</v>
      </c>
      <c r="H133" s="1154">
        <v>330</v>
      </c>
      <c r="I133" s="1156">
        <v>20</v>
      </c>
      <c r="J133" s="560">
        <v>0</v>
      </c>
      <c r="K133" s="561">
        <v>0</v>
      </c>
      <c r="L133" s="541">
        <v>0</v>
      </c>
      <c r="M133" s="1021" t="s">
        <v>701</v>
      </c>
      <c r="N133" s="541" t="s">
        <v>814</v>
      </c>
      <c r="O133" s="562">
        <v>0</v>
      </c>
      <c r="P133" s="562">
        <v>750</v>
      </c>
      <c r="Q133" s="562">
        <v>0</v>
      </c>
      <c r="R133" s="562">
        <v>900</v>
      </c>
      <c r="S133" s="541">
        <v>20</v>
      </c>
      <c r="T133" s="1025" t="s">
        <v>701</v>
      </c>
      <c r="U133" s="1025" t="s">
        <v>701</v>
      </c>
      <c r="V133" s="542">
        <v>76696.168260085862</v>
      </c>
      <c r="W133" s="1011" t="s">
        <v>701</v>
      </c>
      <c r="X133" s="1167" t="s">
        <v>701</v>
      </c>
      <c r="Y133" s="1168" t="s">
        <v>701</v>
      </c>
      <c r="Z133" s="1159"/>
      <c r="AA133" s="1166">
        <v>0</v>
      </c>
      <c r="AB133" s="1160" t="s">
        <v>701</v>
      </c>
      <c r="AC133" s="1160" t="s">
        <v>701</v>
      </c>
      <c r="AD133" s="1160" t="s">
        <v>701</v>
      </c>
      <c r="AE133" s="1162" t="s">
        <v>701</v>
      </c>
      <c r="AF133" s="1164" t="s">
        <v>701</v>
      </c>
      <c r="AG133" s="1040" t="s">
        <v>596</v>
      </c>
      <c r="AH133" s="905">
        <v>1</v>
      </c>
      <c r="AI133" s="49">
        <f t="shared" si="204"/>
        <v>0</v>
      </c>
      <c r="AJ133" s="907">
        <f>AH133*WkB_1_2.3a!$N$335+AI133*WkB_1_2.3a!$O$345</f>
        <v>1.0506187499999999</v>
      </c>
    </row>
    <row r="134" spans="4:36" ht="11.25" customHeight="1" x14ac:dyDescent="0.25">
      <c r="D134" s="1092">
        <v>0</v>
      </c>
      <c r="E134" s="1093">
        <v>0</v>
      </c>
      <c r="F134" s="1093">
        <v>0</v>
      </c>
      <c r="G134" s="1093">
        <v>0</v>
      </c>
      <c r="H134" s="1093">
        <v>0</v>
      </c>
      <c r="I134" s="1157">
        <v>0</v>
      </c>
      <c r="J134" s="563">
        <v>0</v>
      </c>
      <c r="K134" s="564">
        <v>0</v>
      </c>
      <c r="L134" s="529">
        <v>0</v>
      </c>
      <c r="M134" s="1022" t="s">
        <v>701</v>
      </c>
      <c r="N134" s="529">
        <v>0</v>
      </c>
      <c r="O134" s="565">
        <v>0</v>
      </c>
      <c r="P134" s="565">
        <v>0</v>
      </c>
      <c r="Q134" s="529">
        <v>0</v>
      </c>
      <c r="R134" s="529">
        <v>0</v>
      </c>
      <c r="S134" s="529">
        <v>0</v>
      </c>
      <c r="T134" s="1026" t="s">
        <v>701</v>
      </c>
      <c r="U134" s="1026" t="s">
        <v>701</v>
      </c>
      <c r="V134" s="529">
        <v>0</v>
      </c>
      <c r="W134" s="1011" t="s">
        <v>701</v>
      </c>
      <c r="X134" s="1102"/>
      <c r="Y134" s="1103"/>
      <c r="Z134" s="1099"/>
      <c r="AA134" s="1100">
        <v>0</v>
      </c>
      <c r="AB134" s="1161"/>
      <c r="AC134" s="1161"/>
      <c r="AD134" s="1161"/>
      <c r="AE134" s="1163"/>
      <c r="AF134" s="1165"/>
      <c r="AG134" s="1041" t="s">
        <v>596</v>
      </c>
      <c r="AH134" s="905">
        <v>1</v>
      </c>
      <c r="AI134" s="49">
        <f t="shared" si="204"/>
        <v>0</v>
      </c>
      <c r="AJ134" s="907">
        <f>AH134*WkB_1_2.3a!$N$335+AI134*WkB_1_2.3a!$O$345</f>
        <v>1.0506187499999999</v>
      </c>
    </row>
    <row r="135" spans="4:36" ht="11.25" customHeight="1" x14ac:dyDescent="0.25">
      <c r="D135" s="1092">
        <v>0</v>
      </c>
      <c r="E135" s="1093">
        <v>0</v>
      </c>
      <c r="F135" s="1093">
        <v>0</v>
      </c>
      <c r="G135" s="1093">
        <v>0</v>
      </c>
      <c r="H135" s="1093">
        <v>0</v>
      </c>
      <c r="I135" s="1157">
        <v>0</v>
      </c>
      <c r="J135" s="563">
        <v>0</v>
      </c>
      <c r="K135" s="564">
        <v>0</v>
      </c>
      <c r="L135" s="529">
        <v>0</v>
      </c>
      <c r="M135" s="1022" t="s">
        <v>701</v>
      </c>
      <c r="N135" s="564">
        <v>0</v>
      </c>
      <c r="O135" s="565">
        <v>0</v>
      </c>
      <c r="P135" s="565">
        <v>0</v>
      </c>
      <c r="Q135" s="853">
        <v>0</v>
      </c>
      <c r="R135" s="529">
        <v>0</v>
      </c>
      <c r="S135" s="529">
        <v>0</v>
      </c>
      <c r="T135" s="1026" t="s">
        <v>701</v>
      </c>
      <c r="U135" s="1026" t="s">
        <v>701</v>
      </c>
      <c r="V135" s="529">
        <v>0</v>
      </c>
      <c r="W135" s="1011" t="s">
        <v>701</v>
      </c>
      <c r="X135" s="1102"/>
      <c r="Y135" s="1103"/>
      <c r="Z135" s="1099"/>
      <c r="AA135" s="1100">
        <v>0</v>
      </c>
      <c r="AB135" s="1161"/>
      <c r="AC135" s="1161"/>
      <c r="AD135" s="1161"/>
      <c r="AE135" s="1163"/>
      <c r="AF135" s="1165"/>
      <c r="AG135" s="1041" t="s">
        <v>596</v>
      </c>
      <c r="AH135" s="905">
        <v>1</v>
      </c>
      <c r="AI135" s="49">
        <f t="shared" si="204"/>
        <v>0</v>
      </c>
      <c r="AJ135" s="907">
        <f>AH135*WkB_1_2.3a!$N$335+AI135*WkB_1_2.3a!$O$345</f>
        <v>1.0506187499999999</v>
      </c>
    </row>
    <row r="136" spans="4:36" ht="11.25" customHeight="1" x14ac:dyDescent="0.25">
      <c r="D136" s="1092">
        <v>0</v>
      </c>
      <c r="E136" s="1093">
        <v>0</v>
      </c>
      <c r="F136" s="1093">
        <v>0</v>
      </c>
      <c r="G136" s="1093">
        <v>0</v>
      </c>
      <c r="H136" s="1093">
        <v>0</v>
      </c>
      <c r="I136" s="1157">
        <v>0</v>
      </c>
      <c r="J136" s="563">
        <v>0</v>
      </c>
      <c r="K136" s="564">
        <v>0</v>
      </c>
      <c r="L136" s="529">
        <v>0</v>
      </c>
      <c r="M136" s="1022" t="s">
        <v>701</v>
      </c>
      <c r="N136" s="529">
        <v>0</v>
      </c>
      <c r="O136" s="565">
        <v>0</v>
      </c>
      <c r="P136" s="565">
        <v>0</v>
      </c>
      <c r="Q136" s="529">
        <v>0</v>
      </c>
      <c r="R136" s="529">
        <v>0</v>
      </c>
      <c r="S136" s="529">
        <v>0</v>
      </c>
      <c r="T136" s="1026" t="s">
        <v>701</v>
      </c>
      <c r="U136" s="1026" t="s">
        <v>701</v>
      </c>
      <c r="V136" s="529">
        <v>0</v>
      </c>
      <c r="W136" s="1011" t="s">
        <v>701</v>
      </c>
      <c r="X136" s="1102"/>
      <c r="Y136" s="1103"/>
      <c r="Z136" s="1099"/>
      <c r="AA136" s="1100">
        <v>0</v>
      </c>
      <c r="AB136" s="1161"/>
      <c r="AC136" s="1161"/>
      <c r="AD136" s="1161"/>
      <c r="AE136" s="1163"/>
      <c r="AF136" s="1165"/>
      <c r="AG136" s="1041" t="s">
        <v>596</v>
      </c>
      <c r="AH136" s="905">
        <v>1</v>
      </c>
      <c r="AI136" s="49">
        <f t="shared" si="204"/>
        <v>0</v>
      </c>
      <c r="AJ136" s="907">
        <f>AH136*WkB_1_2.3a!$N$335+AI136*WkB_1_2.3a!$O$345</f>
        <v>1.0506187499999999</v>
      </c>
    </row>
    <row r="137" spans="4:36" ht="11.25" customHeight="1" x14ac:dyDescent="0.25">
      <c r="D137" s="1092">
        <v>0</v>
      </c>
      <c r="E137" s="1093">
        <v>0</v>
      </c>
      <c r="F137" s="1093">
        <v>0</v>
      </c>
      <c r="G137" s="1093">
        <v>0</v>
      </c>
      <c r="H137" s="1093">
        <v>0</v>
      </c>
      <c r="I137" s="1157">
        <v>0</v>
      </c>
      <c r="J137" s="563">
        <v>0</v>
      </c>
      <c r="K137" s="564">
        <v>0</v>
      </c>
      <c r="L137" s="529">
        <v>0</v>
      </c>
      <c r="M137" s="1022" t="s">
        <v>701</v>
      </c>
      <c r="N137" s="529">
        <v>0</v>
      </c>
      <c r="O137" s="565">
        <v>0</v>
      </c>
      <c r="P137" s="565">
        <v>0</v>
      </c>
      <c r="Q137" s="529">
        <v>0</v>
      </c>
      <c r="R137" s="529">
        <v>0</v>
      </c>
      <c r="S137" s="529">
        <v>0</v>
      </c>
      <c r="T137" s="1026" t="s">
        <v>701</v>
      </c>
      <c r="U137" s="1026" t="s">
        <v>701</v>
      </c>
      <c r="V137" s="529">
        <v>0</v>
      </c>
      <c r="W137" s="1011" t="s">
        <v>701</v>
      </c>
      <c r="X137" s="1102"/>
      <c r="Y137" s="1103"/>
      <c r="Z137" s="1099"/>
      <c r="AA137" s="1100">
        <v>0</v>
      </c>
      <c r="AB137" s="1161"/>
      <c r="AC137" s="1161"/>
      <c r="AD137" s="1161"/>
      <c r="AE137" s="1163"/>
      <c r="AF137" s="1165"/>
      <c r="AG137" s="1041" t="s">
        <v>596</v>
      </c>
      <c r="AH137" s="905">
        <v>1</v>
      </c>
      <c r="AI137" s="49">
        <f t="shared" si="204"/>
        <v>0</v>
      </c>
      <c r="AJ137" s="907">
        <f>AH137*WkB_1_2.3a!$N$335+AI137*WkB_1_2.3a!$O$345</f>
        <v>1.0506187499999999</v>
      </c>
    </row>
    <row r="138" spans="4:36" ht="11.25" customHeight="1" x14ac:dyDescent="0.25">
      <c r="D138" s="1092">
        <v>0</v>
      </c>
      <c r="E138" s="1093">
        <v>0</v>
      </c>
      <c r="F138" s="1093">
        <v>0</v>
      </c>
      <c r="G138" s="1093">
        <v>0</v>
      </c>
      <c r="H138" s="1093">
        <v>0</v>
      </c>
      <c r="I138" s="1157">
        <v>0</v>
      </c>
      <c r="J138" s="563">
        <v>0</v>
      </c>
      <c r="K138" s="564">
        <v>0</v>
      </c>
      <c r="L138" s="529">
        <v>0</v>
      </c>
      <c r="M138" s="1022" t="s">
        <v>701</v>
      </c>
      <c r="N138" s="529">
        <v>0</v>
      </c>
      <c r="O138" s="565">
        <v>0</v>
      </c>
      <c r="P138" s="565">
        <v>0</v>
      </c>
      <c r="Q138" s="529">
        <v>0</v>
      </c>
      <c r="R138" s="529">
        <v>0</v>
      </c>
      <c r="S138" s="529">
        <v>0</v>
      </c>
      <c r="T138" s="1026" t="s">
        <v>701</v>
      </c>
      <c r="U138" s="1026" t="s">
        <v>701</v>
      </c>
      <c r="V138" s="529">
        <v>0</v>
      </c>
      <c r="W138" s="1011" t="s">
        <v>701</v>
      </c>
      <c r="X138" s="1102"/>
      <c r="Y138" s="1103"/>
      <c r="Z138" s="1099"/>
      <c r="AA138" s="1100">
        <v>0</v>
      </c>
      <c r="AB138" s="1161"/>
      <c r="AC138" s="1161"/>
      <c r="AD138" s="1161"/>
      <c r="AE138" s="1163"/>
      <c r="AF138" s="1165"/>
      <c r="AG138" s="1041" t="s">
        <v>596</v>
      </c>
      <c r="AH138" s="905">
        <v>1</v>
      </c>
      <c r="AI138" s="49">
        <f t="shared" si="204"/>
        <v>0</v>
      </c>
      <c r="AJ138" s="907">
        <f>AH138*WkB_1_2.3a!$N$335+AI138*WkB_1_2.3a!$O$345</f>
        <v>1.0506187499999999</v>
      </c>
    </row>
    <row r="139" spans="4:36" ht="11.25" customHeight="1" x14ac:dyDescent="0.25">
      <c r="D139" s="1092">
        <v>0</v>
      </c>
      <c r="E139" s="1155">
        <v>0</v>
      </c>
      <c r="F139" s="1155">
        <v>0</v>
      </c>
      <c r="G139" s="1155">
        <v>0</v>
      </c>
      <c r="H139" s="1155">
        <v>0</v>
      </c>
      <c r="I139" s="1158">
        <v>0</v>
      </c>
      <c r="J139" s="566">
        <v>0</v>
      </c>
      <c r="K139" s="567">
        <v>0</v>
      </c>
      <c r="L139" s="568">
        <v>0</v>
      </c>
      <c r="M139" s="1023" t="s">
        <v>701</v>
      </c>
      <c r="N139" s="568">
        <v>0</v>
      </c>
      <c r="O139" s="569">
        <v>0</v>
      </c>
      <c r="P139" s="569">
        <v>0</v>
      </c>
      <c r="Q139" s="568">
        <v>0</v>
      </c>
      <c r="R139" s="568">
        <v>0</v>
      </c>
      <c r="S139" s="568">
        <v>0</v>
      </c>
      <c r="T139" s="1027" t="s">
        <v>701</v>
      </c>
      <c r="U139" s="1027" t="s">
        <v>701</v>
      </c>
      <c r="V139" s="568">
        <v>0</v>
      </c>
      <c r="W139" s="1028" t="s">
        <v>701</v>
      </c>
      <c r="X139" s="1102"/>
      <c r="Y139" s="1103"/>
      <c r="Z139" s="1099"/>
      <c r="AA139" s="1100">
        <v>0</v>
      </c>
      <c r="AB139" s="1161"/>
      <c r="AC139" s="1161"/>
      <c r="AD139" s="1161"/>
      <c r="AE139" s="1163"/>
      <c r="AF139" s="1165"/>
      <c r="AG139" s="1044" t="s">
        <v>596</v>
      </c>
      <c r="AH139" s="905">
        <v>1</v>
      </c>
      <c r="AI139" s="49">
        <f t="shared" si="204"/>
        <v>0</v>
      </c>
      <c r="AJ139" s="907">
        <f>AH139*WkB_1_2.3a!$N$335+AI139*WkB_1_2.3a!$O$345</f>
        <v>1.0506187499999999</v>
      </c>
    </row>
    <row r="140" spans="4:36" ht="11.25" customHeight="1" thickBot="1" x14ac:dyDescent="0.3">
      <c r="D140" s="532" t="s">
        <v>418</v>
      </c>
      <c r="E140" s="570"/>
      <c r="F140" s="571"/>
      <c r="G140" s="571"/>
      <c r="H140" s="571"/>
      <c r="I140" s="572"/>
      <c r="J140" s="573"/>
      <c r="K140" s="574">
        <f>SUM(K133:K139)</f>
        <v>0</v>
      </c>
      <c r="L140" s="574">
        <f t="shared" ref="L140" si="211">SUM(L133:L139)</f>
        <v>0</v>
      </c>
      <c r="M140" s="1024" t="s">
        <v>701</v>
      </c>
      <c r="N140" s="575"/>
      <c r="O140" s="576"/>
      <c r="P140" s="576"/>
      <c r="Q140" s="576"/>
      <c r="R140" s="576"/>
      <c r="S140" s="574">
        <f t="shared" ref="S140:V140" si="212">SUM(S133:S139)</f>
        <v>20</v>
      </c>
      <c r="T140" s="1024" t="s">
        <v>701</v>
      </c>
      <c r="U140" s="1012" t="s">
        <v>701</v>
      </c>
      <c r="V140" s="539">
        <f t="shared" si="212"/>
        <v>76696.168260085862</v>
      </c>
      <c r="W140" s="1024" t="s">
        <v>701</v>
      </c>
      <c r="X140" s="1024" t="s">
        <v>701</v>
      </c>
      <c r="Y140" s="1024" t="s">
        <v>701</v>
      </c>
      <c r="Z140" s="1024" t="s">
        <v>701</v>
      </c>
      <c r="AA140" s="577"/>
      <c r="AB140" s="1030" t="s">
        <v>701</v>
      </c>
      <c r="AC140" s="1030" t="s">
        <v>701</v>
      </c>
      <c r="AD140" s="1030" t="s">
        <v>701</v>
      </c>
      <c r="AE140" s="1030" t="s">
        <v>701</v>
      </c>
      <c r="AF140" s="1030" t="s">
        <v>701</v>
      </c>
      <c r="AG140" s="1045" t="s">
        <v>596</v>
      </c>
      <c r="AH140" s="905">
        <v>1</v>
      </c>
      <c r="AI140" s="49">
        <f t="shared" si="204"/>
        <v>0</v>
      </c>
      <c r="AJ140" s="907">
        <f>AH140*WkB_1_2.3a!$N$335+AI140*WkB_1_2.3a!$O$345</f>
        <v>1.0506187499999999</v>
      </c>
    </row>
    <row r="141" spans="4:36" ht="11.25" customHeight="1" x14ac:dyDescent="0.25">
      <c r="D141" s="1153" t="s">
        <v>800</v>
      </c>
      <c r="E141" s="1154" t="s">
        <v>756</v>
      </c>
      <c r="F141" s="1154" t="s">
        <v>737</v>
      </c>
      <c r="G141" s="1154" t="s">
        <v>720</v>
      </c>
      <c r="H141" s="1154">
        <v>0</v>
      </c>
      <c r="I141" s="1156">
        <v>0</v>
      </c>
      <c r="J141" s="560">
        <v>0</v>
      </c>
      <c r="K141" s="561">
        <v>0</v>
      </c>
      <c r="L141" s="541">
        <v>0</v>
      </c>
      <c r="M141" s="1021" t="s">
        <v>701</v>
      </c>
      <c r="N141" s="541">
        <v>0</v>
      </c>
      <c r="O141" s="562">
        <v>0</v>
      </c>
      <c r="P141" s="562">
        <v>0</v>
      </c>
      <c r="Q141" s="562">
        <v>0</v>
      </c>
      <c r="R141" s="562">
        <v>0</v>
      </c>
      <c r="S141" s="541">
        <v>0</v>
      </c>
      <c r="T141" s="1025" t="s">
        <v>701</v>
      </c>
      <c r="U141" s="1025" t="s">
        <v>701</v>
      </c>
      <c r="V141" s="542">
        <v>0</v>
      </c>
      <c r="W141" s="1011" t="s">
        <v>701</v>
      </c>
      <c r="X141" s="1167" t="s">
        <v>701</v>
      </c>
      <c r="Y141" s="1168" t="s">
        <v>701</v>
      </c>
      <c r="Z141" s="1159"/>
      <c r="AA141" s="1166">
        <v>0</v>
      </c>
      <c r="AB141" s="1160" t="s">
        <v>701</v>
      </c>
      <c r="AC141" s="1160" t="s">
        <v>701</v>
      </c>
      <c r="AD141" s="1160" t="s">
        <v>701</v>
      </c>
      <c r="AE141" s="1162" t="s">
        <v>701</v>
      </c>
      <c r="AF141" s="1164" t="s">
        <v>701</v>
      </c>
      <c r="AG141" s="1040" t="s">
        <v>811</v>
      </c>
      <c r="AH141" s="905">
        <v>1</v>
      </c>
      <c r="AI141" s="49">
        <f t="shared" si="204"/>
        <v>0</v>
      </c>
      <c r="AJ141" s="907">
        <f>AH141*WkB_1_2.3a!$N$335+AI141*WkB_1_2.3a!$O$345</f>
        <v>1.0506187499999999</v>
      </c>
    </row>
    <row r="142" spans="4:36" ht="11.25" customHeight="1" x14ac:dyDescent="0.25">
      <c r="D142" s="1092">
        <v>0</v>
      </c>
      <c r="E142" s="1093">
        <v>0</v>
      </c>
      <c r="F142" s="1093">
        <v>0</v>
      </c>
      <c r="G142" s="1093">
        <v>0</v>
      </c>
      <c r="H142" s="1093">
        <v>0</v>
      </c>
      <c r="I142" s="1157">
        <v>0</v>
      </c>
      <c r="J142" s="563">
        <v>0</v>
      </c>
      <c r="K142" s="564">
        <v>0</v>
      </c>
      <c r="L142" s="529">
        <v>0</v>
      </c>
      <c r="M142" s="1022" t="s">
        <v>701</v>
      </c>
      <c r="N142" s="529">
        <v>0</v>
      </c>
      <c r="O142" s="565">
        <v>0</v>
      </c>
      <c r="P142" s="565">
        <v>0</v>
      </c>
      <c r="Q142" s="529">
        <v>0</v>
      </c>
      <c r="R142" s="529">
        <v>0</v>
      </c>
      <c r="S142" s="529">
        <v>0</v>
      </c>
      <c r="T142" s="1026" t="s">
        <v>701</v>
      </c>
      <c r="U142" s="1026" t="s">
        <v>701</v>
      </c>
      <c r="V142" s="529">
        <v>0</v>
      </c>
      <c r="W142" s="1011" t="s">
        <v>701</v>
      </c>
      <c r="X142" s="1102"/>
      <c r="Y142" s="1103"/>
      <c r="Z142" s="1099"/>
      <c r="AA142" s="1100">
        <v>0</v>
      </c>
      <c r="AB142" s="1161"/>
      <c r="AC142" s="1161"/>
      <c r="AD142" s="1161"/>
      <c r="AE142" s="1163"/>
      <c r="AF142" s="1165"/>
      <c r="AG142" s="1041" t="s">
        <v>596</v>
      </c>
      <c r="AH142" s="905">
        <v>1</v>
      </c>
      <c r="AI142" s="49">
        <f t="shared" si="204"/>
        <v>0</v>
      </c>
      <c r="AJ142" s="907">
        <f>AH142*WkB_1_2.3a!$N$335+AI142*WkB_1_2.3a!$O$345</f>
        <v>1.0506187499999999</v>
      </c>
    </row>
    <row r="143" spans="4:36" ht="11.25" customHeight="1" x14ac:dyDescent="0.25">
      <c r="D143" s="1092">
        <v>0</v>
      </c>
      <c r="E143" s="1093">
        <v>0</v>
      </c>
      <c r="F143" s="1093">
        <v>0</v>
      </c>
      <c r="G143" s="1093">
        <v>0</v>
      </c>
      <c r="H143" s="1093">
        <v>0</v>
      </c>
      <c r="I143" s="1157">
        <v>0</v>
      </c>
      <c r="J143" s="563">
        <v>0</v>
      </c>
      <c r="K143" s="564">
        <v>0</v>
      </c>
      <c r="L143" s="529">
        <v>0</v>
      </c>
      <c r="M143" s="1022" t="s">
        <v>701</v>
      </c>
      <c r="N143" s="564">
        <v>0</v>
      </c>
      <c r="O143" s="565">
        <v>0</v>
      </c>
      <c r="P143" s="565">
        <v>0</v>
      </c>
      <c r="Q143" s="853">
        <v>0</v>
      </c>
      <c r="R143" s="529">
        <v>0</v>
      </c>
      <c r="S143" s="529">
        <v>0</v>
      </c>
      <c r="T143" s="1026" t="s">
        <v>701</v>
      </c>
      <c r="U143" s="1026" t="s">
        <v>701</v>
      </c>
      <c r="V143" s="529">
        <v>0</v>
      </c>
      <c r="W143" s="1011" t="s">
        <v>701</v>
      </c>
      <c r="X143" s="1102"/>
      <c r="Y143" s="1103"/>
      <c r="Z143" s="1099"/>
      <c r="AA143" s="1100">
        <v>0</v>
      </c>
      <c r="AB143" s="1161"/>
      <c r="AC143" s="1161"/>
      <c r="AD143" s="1161"/>
      <c r="AE143" s="1163"/>
      <c r="AF143" s="1165"/>
      <c r="AG143" s="1041" t="s">
        <v>596</v>
      </c>
      <c r="AH143" s="905">
        <v>1</v>
      </c>
      <c r="AI143" s="49">
        <f t="shared" si="204"/>
        <v>0</v>
      </c>
      <c r="AJ143" s="907">
        <f>AH143*WkB_1_2.3a!$N$335+AI143*WkB_1_2.3a!$O$345</f>
        <v>1.0506187499999999</v>
      </c>
    </row>
    <row r="144" spans="4:36" ht="11.25" customHeight="1" x14ac:dyDescent="0.25">
      <c r="D144" s="1092">
        <v>0</v>
      </c>
      <c r="E144" s="1093">
        <v>0</v>
      </c>
      <c r="F144" s="1093">
        <v>0</v>
      </c>
      <c r="G144" s="1093">
        <v>0</v>
      </c>
      <c r="H144" s="1093">
        <v>0</v>
      </c>
      <c r="I144" s="1157">
        <v>0</v>
      </c>
      <c r="J144" s="563">
        <v>0</v>
      </c>
      <c r="K144" s="564">
        <v>0</v>
      </c>
      <c r="L144" s="529">
        <v>0</v>
      </c>
      <c r="M144" s="1022" t="s">
        <v>701</v>
      </c>
      <c r="N144" s="529">
        <v>0</v>
      </c>
      <c r="O144" s="565">
        <v>0</v>
      </c>
      <c r="P144" s="565">
        <v>0</v>
      </c>
      <c r="Q144" s="529">
        <v>0</v>
      </c>
      <c r="R144" s="529">
        <v>0</v>
      </c>
      <c r="S144" s="529">
        <v>0</v>
      </c>
      <c r="T144" s="1026" t="s">
        <v>701</v>
      </c>
      <c r="U144" s="1026" t="s">
        <v>701</v>
      </c>
      <c r="V144" s="529">
        <v>0</v>
      </c>
      <c r="W144" s="1011" t="s">
        <v>701</v>
      </c>
      <c r="X144" s="1102"/>
      <c r="Y144" s="1103"/>
      <c r="Z144" s="1099"/>
      <c r="AA144" s="1100">
        <v>0</v>
      </c>
      <c r="AB144" s="1161"/>
      <c r="AC144" s="1161"/>
      <c r="AD144" s="1161"/>
      <c r="AE144" s="1163"/>
      <c r="AF144" s="1165"/>
      <c r="AG144" s="1041" t="s">
        <v>596</v>
      </c>
      <c r="AH144" s="905">
        <v>1</v>
      </c>
      <c r="AI144" s="49">
        <f t="shared" si="204"/>
        <v>0</v>
      </c>
      <c r="AJ144" s="907">
        <f>AH144*WkB_1_2.3a!$N$335+AI144*WkB_1_2.3a!$O$345</f>
        <v>1.0506187499999999</v>
      </c>
    </row>
    <row r="145" spans="4:36" ht="11.25" customHeight="1" x14ac:dyDescent="0.25">
      <c r="D145" s="1092">
        <v>0</v>
      </c>
      <c r="E145" s="1093">
        <v>0</v>
      </c>
      <c r="F145" s="1093">
        <v>0</v>
      </c>
      <c r="G145" s="1093">
        <v>0</v>
      </c>
      <c r="H145" s="1093">
        <v>0</v>
      </c>
      <c r="I145" s="1157">
        <v>0</v>
      </c>
      <c r="J145" s="563">
        <v>0</v>
      </c>
      <c r="K145" s="564">
        <v>0</v>
      </c>
      <c r="L145" s="529">
        <v>0</v>
      </c>
      <c r="M145" s="1022" t="s">
        <v>701</v>
      </c>
      <c r="N145" s="529">
        <v>0</v>
      </c>
      <c r="O145" s="565">
        <v>0</v>
      </c>
      <c r="P145" s="565">
        <v>0</v>
      </c>
      <c r="Q145" s="529">
        <v>0</v>
      </c>
      <c r="R145" s="529">
        <v>0</v>
      </c>
      <c r="S145" s="529">
        <v>0</v>
      </c>
      <c r="T145" s="1026" t="s">
        <v>701</v>
      </c>
      <c r="U145" s="1026" t="s">
        <v>701</v>
      </c>
      <c r="V145" s="529">
        <v>0</v>
      </c>
      <c r="W145" s="1011" t="s">
        <v>701</v>
      </c>
      <c r="X145" s="1102"/>
      <c r="Y145" s="1103"/>
      <c r="Z145" s="1099"/>
      <c r="AA145" s="1100">
        <v>0</v>
      </c>
      <c r="AB145" s="1161"/>
      <c r="AC145" s="1161"/>
      <c r="AD145" s="1161"/>
      <c r="AE145" s="1163"/>
      <c r="AF145" s="1165"/>
      <c r="AG145" s="1041" t="s">
        <v>596</v>
      </c>
      <c r="AH145" s="905">
        <v>1</v>
      </c>
      <c r="AI145" s="49">
        <f t="shared" si="204"/>
        <v>0</v>
      </c>
      <c r="AJ145" s="907">
        <f>AH145*WkB_1_2.3a!$N$335+AI145*WkB_1_2.3a!$O$345</f>
        <v>1.0506187499999999</v>
      </c>
    </row>
    <row r="146" spans="4:36" ht="11.25" customHeight="1" x14ac:dyDescent="0.25">
      <c r="D146" s="1092">
        <v>0</v>
      </c>
      <c r="E146" s="1093">
        <v>0</v>
      </c>
      <c r="F146" s="1093">
        <v>0</v>
      </c>
      <c r="G146" s="1093">
        <v>0</v>
      </c>
      <c r="H146" s="1093">
        <v>0</v>
      </c>
      <c r="I146" s="1157">
        <v>0</v>
      </c>
      <c r="J146" s="563">
        <v>0</v>
      </c>
      <c r="K146" s="564">
        <v>0</v>
      </c>
      <c r="L146" s="529">
        <v>0</v>
      </c>
      <c r="M146" s="1022" t="s">
        <v>701</v>
      </c>
      <c r="N146" s="529">
        <v>0</v>
      </c>
      <c r="O146" s="565">
        <v>0</v>
      </c>
      <c r="P146" s="565">
        <v>0</v>
      </c>
      <c r="Q146" s="529">
        <v>0</v>
      </c>
      <c r="R146" s="529">
        <v>0</v>
      </c>
      <c r="S146" s="529">
        <v>0</v>
      </c>
      <c r="T146" s="1026" t="s">
        <v>701</v>
      </c>
      <c r="U146" s="1026" t="s">
        <v>701</v>
      </c>
      <c r="V146" s="529">
        <v>0</v>
      </c>
      <c r="W146" s="1011" t="s">
        <v>701</v>
      </c>
      <c r="X146" s="1102"/>
      <c r="Y146" s="1103"/>
      <c r="Z146" s="1099"/>
      <c r="AA146" s="1100">
        <v>0</v>
      </c>
      <c r="AB146" s="1161"/>
      <c r="AC146" s="1161"/>
      <c r="AD146" s="1161"/>
      <c r="AE146" s="1163"/>
      <c r="AF146" s="1165"/>
      <c r="AG146" s="1041" t="s">
        <v>596</v>
      </c>
      <c r="AH146" s="905">
        <v>1</v>
      </c>
      <c r="AI146" s="49">
        <f t="shared" si="204"/>
        <v>0</v>
      </c>
      <c r="AJ146" s="907">
        <f>AH146*WkB_1_2.3a!$N$335+AI146*WkB_1_2.3a!$O$345</f>
        <v>1.0506187499999999</v>
      </c>
    </row>
    <row r="147" spans="4:36" ht="11.25" customHeight="1" x14ac:dyDescent="0.25">
      <c r="D147" s="1092">
        <v>0</v>
      </c>
      <c r="E147" s="1155">
        <v>0</v>
      </c>
      <c r="F147" s="1155">
        <v>0</v>
      </c>
      <c r="G147" s="1155">
        <v>0</v>
      </c>
      <c r="H147" s="1155">
        <v>0</v>
      </c>
      <c r="I147" s="1158">
        <v>0</v>
      </c>
      <c r="J147" s="566">
        <v>0</v>
      </c>
      <c r="K147" s="567">
        <v>0</v>
      </c>
      <c r="L147" s="568">
        <v>0</v>
      </c>
      <c r="M147" s="1023" t="s">
        <v>701</v>
      </c>
      <c r="N147" s="568">
        <v>0</v>
      </c>
      <c r="O147" s="569">
        <v>0</v>
      </c>
      <c r="P147" s="569">
        <v>0</v>
      </c>
      <c r="Q147" s="568">
        <v>0</v>
      </c>
      <c r="R147" s="568">
        <v>0</v>
      </c>
      <c r="S147" s="568">
        <v>0</v>
      </c>
      <c r="T147" s="1027" t="s">
        <v>701</v>
      </c>
      <c r="U147" s="1027" t="s">
        <v>701</v>
      </c>
      <c r="V147" s="568">
        <v>0</v>
      </c>
      <c r="W147" s="1028" t="s">
        <v>701</v>
      </c>
      <c r="X147" s="1102"/>
      <c r="Y147" s="1103"/>
      <c r="Z147" s="1099"/>
      <c r="AA147" s="1100">
        <v>0</v>
      </c>
      <c r="AB147" s="1161"/>
      <c r="AC147" s="1161"/>
      <c r="AD147" s="1161"/>
      <c r="AE147" s="1163"/>
      <c r="AF147" s="1165"/>
      <c r="AG147" s="1044" t="s">
        <v>596</v>
      </c>
      <c r="AH147" s="905">
        <v>1</v>
      </c>
      <c r="AI147" s="49">
        <f t="shared" si="204"/>
        <v>0</v>
      </c>
      <c r="AJ147" s="907">
        <f>AH147*WkB_1_2.3a!$N$335+AI147*WkB_1_2.3a!$O$345</f>
        <v>1.0506187499999999</v>
      </c>
    </row>
    <row r="148" spans="4:36" ht="11.25" customHeight="1" thickBot="1" x14ac:dyDescent="0.3">
      <c r="D148" s="532" t="s">
        <v>418</v>
      </c>
      <c r="E148" s="570"/>
      <c r="F148" s="571"/>
      <c r="G148" s="571"/>
      <c r="H148" s="571"/>
      <c r="I148" s="572"/>
      <c r="J148" s="573"/>
      <c r="K148" s="574">
        <f>SUM(K141:K147)</f>
        <v>0</v>
      </c>
      <c r="L148" s="574">
        <f t="shared" ref="L148" si="213">SUM(L141:L147)</f>
        <v>0</v>
      </c>
      <c r="M148" s="1024" t="s">
        <v>701</v>
      </c>
      <c r="N148" s="575"/>
      <c r="O148" s="576"/>
      <c r="P148" s="576"/>
      <c r="Q148" s="576"/>
      <c r="R148" s="576"/>
      <c r="S148" s="574">
        <f t="shared" ref="S148:V148" si="214">SUM(S141:S147)</f>
        <v>0</v>
      </c>
      <c r="T148" s="1024" t="s">
        <v>701</v>
      </c>
      <c r="U148" s="1012" t="s">
        <v>701</v>
      </c>
      <c r="V148" s="539">
        <f t="shared" si="214"/>
        <v>0</v>
      </c>
      <c r="W148" s="1024" t="s">
        <v>701</v>
      </c>
      <c r="X148" s="1024" t="s">
        <v>701</v>
      </c>
      <c r="Y148" s="1024" t="s">
        <v>701</v>
      </c>
      <c r="Z148" s="1024" t="s">
        <v>701</v>
      </c>
      <c r="AA148" s="577"/>
      <c r="AB148" s="1030" t="s">
        <v>701</v>
      </c>
      <c r="AC148" s="1030" t="s">
        <v>701</v>
      </c>
      <c r="AD148" s="1030" t="s">
        <v>701</v>
      </c>
      <c r="AE148" s="1030" t="s">
        <v>701</v>
      </c>
      <c r="AF148" s="1030" t="s">
        <v>701</v>
      </c>
      <c r="AG148" s="1045" t="s">
        <v>596</v>
      </c>
      <c r="AH148" s="905">
        <v>1</v>
      </c>
      <c r="AI148" s="49">
        <f t="shared" si="204"/>
        <v>0</v>
      </c>
      <c r="AJ148" s="907">
        <f>AH148*WkB_1_2.3a!$N$335+AI148*WkB_1_2.3a!$O$345</f>
        <v>1.0506187499999999</v>
      </c>
    </row>
    <row r="149" spans="4:36" ht="11.25" customHeight="1" x14ac:dyDescent="0.25">
      <c r="D149" s="1153" t="s">
        <v>801</v>
      </c>
      <c r="E149" s="1154">
        <v>1570</v>
      </c>
      <c r="F149" s="1154" t="s">
        <v>802</v>
      </c>
      <c r="G149" s="1154" t="s">
        <v>726</v>
      </c>
      <c r="H149" s="1154">
        <v>330</v>
      </c>
      <c r="I149" s="1156">
        <v>135</v>
      </c>
      <c r="J149" s="560" t="s">
        <v>803</v>
      </c>
      <c r="K149" s="561">
        <v>293</v>
      </c>
      <c r="L149" s="541">
        <v>0</v>
      </c>
      <c r="M149" s="1021" t="s">
        <v>701</v>
      </c>
      <c r="N149" s="541" t="s">
        <v>813</v>
      </c>
      <c r="O149" s="562">
        <v>0</v>
      </c>
      <c r="P149" s="562">
        <v>1600</v>
      </c>
      <c r="Q149" s="562">
        <v>0</v>
      </c>
      <c r="R149" s="562">
        <v>1600</v>
      </c>
      <c r="S149" s="541">
        <v>0</v>
      </c>
      <c r="T149" s="1025" t="s">
        <v>701</v>
      </c>
      <c r="U149" s="1025" t="s">
        <v>701</v>
      </c>
      <c r="V149" s="542">
        <v>336215.38227301708</v>
      </c>
      <c r="W149" s="1011" t="s">
        <v>701</v>
      </c>
      <c r="X149" s="1167" t="s">
        <v>701</v>
      </c>
      <c r="Y149" s="1168" t="s">
        <v>701</v>
      </c>
      <c r="Z149" s="1159"/>
      <c r="AA149" s="1166">
        <v>0</v>
      </c>
      <c r="AB149" s="1160" t="s">
        <v>701</v>
      </c>
      <c r="AC149" s="1160" t="s">
        <v>701</v>
      </c>
      <c r="AD149" s="1160" t="s">
        <v>701</v>
      </c>
      <c r="AE149" s="1162" t="s">
        <v>701</v>
      </c>
      <c r="AF149" s="1164" t="s">
        <v>701</v>
      </c>
      <c r="AG149" s="1040" t="s">
        <v>596</v>
      </c>
      <c r="AH149" s="905">
        <v>1</v>
      </c>
      <c r="AI149" s="49">
        <f t="shared" si="204"/>
        <v>0</v>
      </c>
      <c r="AJ149" s="907">
        <f>AH149*WkB_1_2.3a!$N$335+AI149*WkB_1_2.3a!$O$345</f>
        <v>1.0506187499999999</v>
      </c>
    </row>
    <row r="150" spans="4:36" ht="11.25" customHeight="1" x14ac:dyDescent="0.25">
      <c r="D150" s="1092">
        <v>0</v>
      </c>
      <c r="E150" s="1093">
        <v>0</v>
      </c>
      <c r="F150" s="1093">
        <v>0</v>
      </c>
      <c r="G150" s="1093">
        <v>0</v>
      </c>
      <c r="H150" s="1093">
        <v>0</v>
      </c>
      <c r="I150" s="1157">
        <v>0</v>
      </c>
      <c r="J150" s="563">
        <v>0</v>
      </c>
      <c r="K150" s="564">
        <v>0</v>
      </c>
      <c r="L150" s="529">
        <v>0</v>
      </c>
      <c r="M150" s="1022" t="s">
        <v>701</v>
      </c>
      <c r="N150" s="529">
        <v>0</v>
      </c>
      <c r="O150" s="565">
        <v>0</v>
      </c>
      <c r="P150" s="565">
        <v>0</v>
      </c>
      <c r="Q150" s="529">
        <v>0</v>
      </c>
      <c r="R150" s="529">
        <v>0</v>
      </c>
      <c r="S150" s="529">
        <v>0</v>
      </c>
      <c r="T150" s="1026" t="s">
        <v>701</v>
      </c>
      <c r="U150" s="1026" t="s">
        <v>701</v>
      </c>
      <c r="V150" s="529">
        <v>0</v>
      </c>
      <c r="W150" s="1011" t="s">
        <v>701</v>
      </c>
      <c r="X150" s="1102"/>
      <c r="Y150" s="1103"/>
      <c r="Z150" s="1099"/>
      <c r="AA150" s="1100">
        <v>0</v>
      </c>
      <c r="AB150" s="1161"/>
      <c r="AC150" s="1161"/>
      <c r="AD150" s="1161"/>
      <c r="AE150" s="1163"/>
      <c r="AF150" s="1165"/>
      <c r="AG150" s="1041" t="s">
        <v>596</v>
      </c>
      <c r="AH150" s="905">
        <v>1</v>
      </c>
      <c r="AI150" s="49">
        <f t="shared" si="204"/>
        <v>0</v>
      </c>
      <c r="AJ150" s="907">
        <f>AH150*WkB_1_2.3a!$N$335+AI150*WkB_1_2.3a!$O$345</f>
        <v>1.0506187499999999</v>
      </c>
    </row>
    <row r="151" spans="4:36" ht="11.25" customHeight="1" x14ac:dyDescent="0.25">
      <c r="D151" s="1092">
        <v>0</v>
      </c>
      <c r="E151" s="1093">
        <v>0</v>
      </c>
      <c r="F151" s="1093">
        <v>0</v>
      </c>
      <c r="G151" s="1093">
        <v>0</v>
      </c>
      <c r="H151" s="1093">
        <v>0</v>
      </c>
      <c r="I151" s="1157">
        <v>0</v>
      </c>
      <c r="J151" s="563">
        <v>0</v>
      </c>
      <c r="K151" s="564">
        <v>0</v>
      </c>
      <c r="L151" s="529">
        <v>0</v>
      </c>
      <c r="M151" s="1022" t="s">
        <v>701</v>
      </c>
      <c r="N151" s="564">
        <v>0</v>
      </c>
      <c r="O151" s="565">
        <v>0</v>
      </c>
      <c r="P151" s="565">
        <v>0</v>
      </c>
      <c r="Q151" s="853">
        <v>0</v>
      </c>
      <c r="R151" s="529">
        <v>0</v>
      </c>
      <c r="S151" s="529">
        <v>0</v>
      </c>
      <c r="T151" s="1026" t="s">
        <v>701</v>
      </c>
      <c r="U151" s="1026" t="s">
        <v>701</v>
      </c>
      <c r="V151" s="529">
        <v>0</v>
      </c>
      <c r="W151" s="1011" t="s">
        <v>701</v>
      </c>
      <c r="X151" s="1102"/>
      <c r="Y151" s="1103"/>
      <c r="Z151" s="1099"/>
      <c r="AA151" s="1100">
        <v>0</v>
      </c>
      <c r="AB151" s="1161"/>
      <c r="AC151" s="1161"/>
      <c r="AD151" s="1161"/>
      <c r="AE151" s="1163"/>
      <c r="AF151" s="1165"/>
      <c r="AG151" s="1041" t="s">
        <v>596</v>
      </c>
      <c r="AH151" s="905">
        <v>1</v>
      </c>
      <c r="AI151" s="49">
        <f t="shared" si="204"/>
        <v>0</v>
      </c>
      <c r="AJ151" s="907">
        <f>AH151*WkB_1_2.3a!$N$335+AI151*WkB_1_2.3a!$O$345</f>
        <v>1.0506187499999999</v>
      </c>
    </row>
    <row r="152" spans="4:36" ht="11.25" customHeight="1" x14ac:dyDescent="0.25">
      <c r="D152" s="1092">
        <v>0</v>
      </c>
      <c r="E152" s="1093">
        <v>0</v>
      </c>
      <c r="F152" s="1093">
        <v>0</v>
      </c>
      <c r="G152" s="1093">
        <v>0</v>
      </c>
      <c r="H152" s="1093">
        <v>0</v>
      </c>
      <c r="I152" s="1157">
        <v>0</v>
      </c>
      <c r="J152" s="563">
        <v>0</v>
      </c>
      <c r="K152" s="564">
        <v>0</v>
      </c>
      <c r="L152" s="529">
        <v>0</v>
      </c>
      <c r="M152" s="1022" t="s">
        <v>701</v>
      </c>
      <c r="N152" s="529">
        <v>0</v>
      </c>
      <c r="O152" s="565">
        <v>0</v>
      </c>
      <c r="P152" s="565">
        <v>0</v>
      </c>
      <c r="Q152" s="529">
        <v>0</v>
      </c>
      <c r="R152" s="529">
        <v>0</v>
      </c>
      <c r="S152" s="529">
        <v>0</v>
      </c>
      <c r="T152" s="1026" t="s">
        <v>701</v>
      </c>
      <c r="U152" s="1026" t="s">
        <v>701</v>
      </c>
      <c r="V152" s="529">
        <v>0</v>
      </c>
      <c r="W152" s="1011" t="s">
        <v>701</v>
      </c>
      <c r="X152" s="1102"/>
      <c r="Y152" s="1103"/>
      <c r="Z152" s="1099"/>
      <c r="AA152" s="1100">
        <v>0</v>
      </c>
      <c r="AB152" s="1161"/>
      <c r="AC152" s="1161"/>
      <c r="AD152" s="1161"/>
      <c r="AE152" s="1163"/>
      <c r="AF152" s="1165"/>
      <c r="AG152" s="1041" t="s">
        <v>596</v>
      </c>
      <c r="AH152" s="905">
        <v>1</v>
      </c>
      <c r="AI152" s="49">
        <f t="shared" si="204"/>
        <v>0</v>
      </c>
      <c r="AJ152" s="907">
        <f>AH152*WkB_1_2.3a!$N$335+AI152*WkB_1_2.3a!$O$345</f>
        <v>1.0506187499999999</v>
      </c>
    </row>
    <row r="153" spans="4:36" ht="11.25" customHeight="1" x14ac:dyDescent="0.25">
      <c r="D153" s="1092">
        <v>0</v>
      </c>
      <c r="E153" s="1093">
        <v>0</v>
      </c>
      <c r="F153" s="1093">
        <v>0</v>
      </c>
      <c r="G153" s="1093">
        <v>0</v>
      </c>
      <c r="H153" s="1093">
        <v>0</v>
      </c>
      <c r="I153" s="1157">
        <v>0</v>
      </c>
      <c r="J153" s="563">
        <v>0</v>
      </c>
      <c r="K153" s="564">
        <v>0</v>
      </c>
      <c r="L153" s="529">
        <v>0</v>
      </c>
      <c r="M153" s="1022" t="s">
        <v>701</v>
      </c>
      <c r="N153" s="529">
        <v>0</v>
      </c>
      <c r="O153" s="565">
        <v>0</v>
      </c>
      <c r="P153" s="565">
        <v>0</v>
      </c>
      <c r="Q153" s="529">
        <v>0</v>
      </c>
      <c r="R153" s="529">
        <v>0</v>
      </c>
      <c r="S153" s="529">
        <v>0</v>
      </c>
      <c r="T153" s="1026" t="s">
        <v>701</v>
      </c>
      <c r="U153" s="1026" t="s">
        <v>701</v>
      </c>
      <c r="V153" s="529">
        <v>0</v>
      </c>
      <c r="W153" s="1011" t="s">
        <v>701</v>
      </c>
      <c r="X153" s="1102"/>
      <c r="Y153" s="1103"/>
      <c r="Z153" s="1099"/>
      <c r="AA153" s="1100">
        <v>0</v>
      </c>
      <c r="AB153" s="1161"/>
      <c r="AC153" s="1161"/>
      <c r="AD153" s="1161"/>
      <c r="AE153" s="1163"/>
      <c r="AF153" s="1165"/>
      <c r="AG153" s="1041" t="s">
        <v>596</v>
      </c>
      <c r="AH153" s="905">
        <v>1</v>
      </c>
      <c r="AI153" s="49">
        <f t="shared" si="204"/>
        <v>0</v>
      </c>
      <c r="AJ153" s="907">
        <f>AH153*WkB_1_2.3a!$N$335+AI153*WkB_1_2.3a!$O$345</f>
        <v>1.0506187499999999</v>
      </c>
    </row>
    <row r="154" spans="4:36" ht="11.25" customHeight="1" x14ac:dyDescent="0.25">
      <c r="D154" s="1092">
        <v>0</v>
      </c>
      <c r="E154" s="1093">
        <v>0</v>
      </c>
      <c r="F154" s="1093">
        <v>0</v>
      </c>
      <c r="G154" s="1093">
        <v>0</v>
      </c>
      <c r="H154" s="1093">
        <v>0</v>
      </c>
      <c r="I154" s="1157">
        <v>0</v>
      </c>
      <c r="J154" s="563">
        <v>0</v>
      </c>
      <c r="K154" s="564">
        <v>0</v>
      </c>
      <c r="L154" s="529">
        <v>0</v>
      </c>
      <c r="M154" s="1022" t="s">
        <v>701</v>
      </c>
      <c r="N154" s="529">
        <v>0</v>
      </c>
      <c r="O154" s="565">
        <v>0</v>
      </c>
      <c r="P154" s="565">
        <v>0</v>
      </c>
      <c r="Q154" s="529">
        <v>0</v>
      </c>
      <c r="R154" s="529">
        <v>0</v>
      </c>
      <c r="S154" s="529">
        <v>0</v>
      </c>
      <c r="T154" s="1026" t="s">
        <v>701</v>
      </c>
      <c r="U154" s="1026" t="s">
        <v>701</v>
      </c>
      <c r="V154" s="529">
        <v>0</v>
      </c>
      <c r="W154" s="1011" t="s">
        <v>701</v>
      </c>
      <c r="X154" s="1102"/>
      <c r="Y154" s="1103"/>
      <c r="Z154" s="1099"/>
      <c r="AA154" s="1100">
        <v>0</v>
      </c>
      <c r="AB154" s="1161"/>
      <c r="AC154" s="1161"/>
      <c r="AD154" s="1161"/>
      <c r="AE154" s="1163"/>
      <c r="AF154" s="1165"/>
      <c r="AG154" s="1041" t="s">
        <v>596</v>
      </c>
      <c r="AH154" s="905">
        <v>1</v>
      </c>
      <c r="AI154" s="49">
        <f t="shared" si="204"/>
        <v>0</v>
      </c>
      <c r="AJ154" s="907">
        <f>AH154*WkB_1_2.3a!$N$335+AI154*WkB_1_2.3a!$O$345</f>
        <v>1.0506187499999999</v>
      </c>
    </row>
    <row r="155" spans="4:36" ht="11.25" customHeight="1" x14ac:dyDescent="0.25">
      <c r="D155" s="1092">
        <v>0</v>
      </c>
      <c r="E155" s="1155">
        <v>0</v>
      </c>
      <c r="F155" s="1155">
        <v>0</v>
      </c>
      <c r="G155" s="1155">
        <v>0</v>
      </c>
      <c r="H155" s="1155">
        <v>0</v>
      </c>
      <c r="I155" s="1158">
        <v>0</v>
      </c>
      <c r="J155" s="566">
        <v>0</v>
      </c>
      <c r="K155" s="567">
        <v>0</v>
      </c>
      <c r="L155" s="568">
        <v>0</v>
      </c>
      <c r="M155" s="1023" t="s">
        <v>701</v>
      </c>
      <c r="N155" s="568">
        <v>0</v>
      </c>
      <c r="O155" s="569">
        <v>0</v>
      </c>
      <c r="P155" s="569">
        <v>0</v>
      </c>
      <c r="Q155" s="568">
        <v>0</v>
      </c>
      <c r="R155" s="568">
        <v>0</v>
      </c>
      <c r="S155" s="568">
        <v>0</v>
      </c>
      <c r="T155" s="1027" t="s">
        <v>701</v>
      </c>
      <c r="U155" s="1027" t="s">
        <v>701</v>
      </c>
      <c r="V155" s="568">
        <v>0</v>
      </c>
      <c r="W155" s="1028" t="s">
        <v>701</v>
      </c>
      <c r="X155" s="1102"/>
      <c r="Y155" s="1103"/>
      <c r="Z155" s="1099"/>
      <c r="AA155" s="1100">
        <v>0</v>
      </c>
      <c r="AB155" s="1161"/>
      <c r="AC155" s="1161"/>
      <c r="AD155" s="1161"/>
      <c r="AE155" s="1163"/>
      <c r="AF155" s="1165"/>
      <c r="AG155" s="1044" t="s">
        <v>596</v>
      </c>
      <c r="AH155" s="905">
        <v>1</v>
      </c>
      <c r="AI155" s="49">
        <f t="shared" si="204"/>
        <v>0</v>
      </c>
      <c r="AJ155" s="907">
        <f>AH155*WkB_1_2.3a!$N$335+AI155*WkB_1_2.3a!$O$345</f>
        <v>1.0506187499999999</v>
      </c>
    </row>
    <row r="156" spans="4:36" ht="11.25" customHeight="1" thickBot="1" x14ac:dyDescent="0.3">
      <c r="D156" s="532" t="s">
        <v>418</v>
      </c>
      <c r="E156" s="570"/>
      <c r="F156" s="571"/>
      <c r="G156" s="571"/>
      <c r="H156" s="571"/>
      <c r="I156" s="572"/>
      <c r="J156" s="573"/>
      <c r="K156" s="574">
        <f>SUM(K149:K155)</f>
        <v>293</v>
      </c>
      <c r="L156" s="574">
        <f t="shared" ref="L156" si="215">SUM(L149:L155)</f>
        <v>0</v>
      </c>
      <c r="M156" s="1024" t="s">
        <v>701</v>
      </c>
      <c r="N156" s="575"/>
      <c r="O156" s="576"/>
      <c r="P156" s="576"/>
      <c r="Q156" s="576"/>
      <c r="R156" s="576"/>
      <c r="S156" s="574">
        <f t="shared" ref="S156:V156" si="216">SUM(S149:S155)</f>
        <v>0</v>
      </c>
      <c r="T156" s="1024" t="s">
        <v>701</v>
      </c>
      <c r="U156" s="1012" t="s">
        <v>701</v>
      </c>
      <c r="V156" s="539">
        <f t="shared" si="216"/>
        <v>336215.38227301708</v>
      </c>
      <c r="W156" s="1024" t="s">
        <v>701</v>
      </c>
      <c r="X156" s="1024" t="s">
        <v>701</v>
      </c>
      <c r="Y156" s="1024" t="s">
        <v>701</v>
      </c>
      <c r="Z156" s="1024" t="s">
        <v>701</v>
      </c>
      <c r="AA156" s="577"/>
      <c r="AB156" s="1030" t="s">
        <v>701</v>
      </c>
      <c r="AC156" s="1030" t="s">
        <v>701</v>
      </c>
      <c r="AD156" s="1030" t="s">
        <v>701</v>
      </c>
      <c r="AE156" s="1030" t="s">
        <v>701</v>
      </c>
      <c r="AF156" s="1030" t="s">
        <v>701</v>
      </c>
      <c r="AG156" s="1045" t="s">
        <v>596</v>
      </c>
      <c r="AH156" s="905">
        <v>1</v>
      </c>
      <c r="AI156" s="49">
        <f t="shared" si="204"/>
        <v>0</v>
      </c>
      <c r="AJ156" s="907">
        <f>AH156*WkB_1_2.3a!$N$335+AI156*WkB_1_2.3a!$O$345</f>
        <v>1.0506187499999999</v>
      </c>
    </row>
    <row r="157" spans="4:36" ht="11.25" customHeight="1" x14ac:dyDescent="0.25">
      <c r="D157" s="1153" t="s">
        <v>804</v>
      </c>
      <c r="E157" s="1154">
        <v>1570</v>
      </c>
      <c r="F157" s="1154" t="s">
        <v>802</v>
      </c>
      <c r="G157" s="1154" t="s">
        <v>726</v>
      </c>
      <c r="H157" s="1154">
        <v>330</v>
      </c>
      <c r="I157" s="1156">
        <v>376</v>
      </c>
      <c r="J157" s="560" t="s">
        <v>803</v>
      </c>
      <c r="K157" s="561">
        <v>799</v>
      </c>
      <c r="L157" s="541">
        <v>0</v>
      </c>
      <c r="M157" s="1021" t="s">
        <v>701</v>
      </c>
      <c r="N157" s="541" t="s">
        <v>813</v>
      </c>
      <c r="O157" s="562">
        <v>0</v>
      </c>
      <c r="P157" s="562">
        <v>1600</v>
      </c>
      <c r="Q157" s="562">
        <v>0</v>
      </c>
      <c r="R157" s="562">
        <v>1600</v>
      </c>
      <c r="S157" s="541">
        <v>0</v>
      </c>
      <c r="T157" s="1025" t="s">
        <v>701</v>
      </c>
      <c r="U157" s="1025" t="s">
        <v>701</v>
      </c>
      <c r="V157" s="542">
        <v>1191748.8966497504</v>
      </c>
      <c r="W157" s="1011" t="s">
        <v>701</v>
      </c>
      <c r="X157" s="1167" t="s">
        <v>701</v>
      </c>
      <c r="Y157" s="1168" t="s">
        <v>701</v>
      </c>
      <c r="Z157" s="1159"/>
      <c r="AA157" s="1166">
        <v>0</v>
      </c>
      <c r="AB157" s="1160" t="s">
        <v>701</v>
      </c>
      <c r="AC157" s="1160" t="s">
        <v>701</v>
      </c>
      <c r="AD157" s="1160" t="s">
        <v>701</v>
      </c>
      <c r="AE157" s="1162" t="s">
        <v>701</v>
      </c>
      <c r="AF157" s="1164" t="s">
        <v>701</v>
      </c>
      <c r="AG157" s="1040" t="s">
        <v>596</v>
      </c>
      <c r="AH157" s="905">
        <v>1</v>
      </c>
      <c r="AI157" s="49">
        <f t="shared" si="204"/>
        <v>0</v>
      </c>
      <c r="AJ157" s="907">
        <f>AH157*WkB_1_2.3a!$N$335+AI157*WkB_1_2.3a!$O$345</f>
        <v>1.0506187499999999</v>
      </c>
    </row>
    <row r="158" spans="4:36" ht="11.25" customHeight="1" x14ac:dyDescent="0.25">
      <c r="D158" s="1092">
        <v>0</v>
      </c>
      <c r="E158" s="1093">
        <v>0</v>
      </c>
      <c r="F158" s="1093">
        <v>0</v>
      </c>
      <c r="G158" s="1093">
        <v>0</v>
      </c>
      <c r="H158" s="1093">
        <v>0</v>
      </c>
      <c r="I158" s="1157">
        <v>0</v>
      </c>
      <c r="J158" s="563">
        <v>0</v>
      </c>
      <c r="K158" s="564">
        <v>0</v>
      </c>
      <c r="L158" s="529">
        <v>0</v>
      </c>
      <c r="M158" s="1022" t="s">
        <v>701</v>
      </c>
      <c r="N158" s="529">
        <v>0</v>
      </c>
      <c r="O158" s="565">
        <v>0</v>
      </c>
      <c r="P158" s="565">
        <v>0</v>
      </c>
      <c r="Q158" s="529">
        <v>0</v>
      </c>
      <c r="R158" s="529">
        <v>0</v>
      </c>
      <c r="S158" s="529">
        <v>0</v>
      </c>
      <c r="T158" s="1026" t="s">
        <v>701</v>
      </c>
      <c r="U158" s="1026" t="s">
        <v>701</v>
      </c>
      <c r="V158" s="529">
        <v>0</v>
      </c>
      <c r="W158" s="1011" t="s">
        <v>701</v>
      </c>
      <c r="X158" s="1102"/>
      <c r="Y158" s="1103"/>
      <c r="Z158" s="1099"/>
      <c r="AA158" s="1100">
        <v>0</v>
      </c>
      <c r="AB158" s="1161"/>
      <c r="AC158" s="1161"/>
      <c r="AD158" s="1161"/>
      <c r="AE158" s="1163"/>
      <c r="AF158" s="1165"/>
      <c r="AG158" s="1041" t="s">
        <v>596</v>
      </c>
      <c r="AH158" s="905">
        <v>1</v>
      </c>
      <c r="AI158" s="49">
        <f t="shared" si="204"/>
        <v>0</v>
      </c>
      <c r="AJ158" s="907">
        <f>AH158*WkB_1_2.3a!$N$335+AI158*WkB_1_2.3a!$O$345</f>
        <v>1.0506187499999999</v>
      </c>
    </row>
    <row r="159" spans="4:36" ht="11.25" customHeight="1" x14ac:dyDescent="0.25">
      <c r="D159" s="1092">
        <v>0</v>
      </c>
      <c r="E159" s="1093">
        <v>0</v>
      </c>
      <c r="F159" s="1093">
        <v>0</v>
      </c>
      <c r="G159" s="1093">
        <v>0</v>
      </c>
      <c r="H159" s="1093">
        <v>0</v>
      </c>
      <c r="I159" s="1157">
        <v>0</v>
      </c>
      <c r="J159" s="563">
        <v>0</v>
      </c>
      <c r="K159" s="564">
        <v>0</v>
      </c>
      <c r="L159" s="529">
        <v>0</v>
      </c>
      <c r="M159" s="1022" t="s">
        <v>701</v>
      </c>
      <c r="N159" s="564">
        <v>0</v>
      </c>
      <c r="O159" s="565">
        <v>0</v>
      </c>
      <c r="P159" s="565">
        <v>0</v>
      </c>
      <c r="Q159" s="853">
        <v>0</v>
      </c>
      <c r="R159" s="529">
        <v>0</v>
      </c>
      <c r="S159" s="529">
        <v>0</v>
      </c>
      <c r="T159" s="1026" t="s">
        <v>701</v>
      </c>
      <c r="U159" s="1026" t="s">
        <v>701</v>
      </c>
      <c r="V159" s="529">
        <v>0</v>
      </c>
      <c r="W159" s="1011" t="s">
        <v>701</v>
      </c>
      <c r="X159" s="1102"/>
      <c r="Y159" s="1103"/>
      <c r="Z159" s="1099"/>
      <c r="AA159" s="1100">
        <v>0</v>
      </c>
      <c r="AB159" s="1161"/>
      <c r="AC159" s="1161"/>
      <c r="AD159" s="1161"/>
      <c r="AE159" s="1163"/>
      <c r="AF159" s="1165"/>
      <c r="AG159" s="1041" t="s">
        <v>596</v>
      </c>
      <c r="AH159" s="905">
        <v>1</v>
      </c>
      <c r="AI159" s="49">
        <f t="shared" si="204"/>
        <v>0</v>
      </c>
      <c r="AJ159" s="907">
        <f>AH159*WkB_1_2.3a!$N$335+AI159*WkB_1_2.3a!$O$345</f>
        <v>1.0506187499999999</v>
      </c>
    </row>
    <row r="160" spans="4:36" ht="11.25" customHeight="1" x14ac:dyDescent="0.25">
      <c r="D160" s="1092">
        <v>0</v>
      </c>
      <c r="E160" s="1093">
        <v>0</v>
      </c>
      <c r="F160" s="1093">
        <v>0</v>
      </c>
      <c r="G160" s="1093">
        <v>0</v>
      </c>
      <c r="H160" s="1093">
        <v>0</v>
      </c>
      <c r="I160" s="1157">
        <v>0</v>
      </c>
      <c r="J160" s="563">
        <v>0</v>
      </c>
      <c r="K160" s="564">
        <v>0</v>
      </c>
      <c r="L160" s="529">
        <v>0</v>
      </c>
      <c r="M160" s="1022" t="s">
        <v>701</v>
      </c>
      <c r="N160" s="529">
        <v>0</v>
      </c>
      <c r="O160" s="565">
        <v>0</v>
      </c>
      <c r="P160" s="565">
        <v>0</v>
      </c>
      <c r="Q160" s="529">
        <v>0</v>
      </c>
      <c r="R160" s="529">
        <v>0</v>
      </c>
      <c r="S160" s="529">
        <v>0</v>
      </c>
      <c r="T160" s="1026" t="s">
        <v>701</v>
      </c>
      <c r="U160" s="1026" t="s">
        <v>701</v>
      </c>
      <c r="V160" s="529">
        <v>0</v>
      </c>
      <c r="W160" s="1011" t="s">
        <v>701</v>
      </c>
      <c r="X160" s="1102"/>
      <c r="Y160" s="1103"/>
      <c r="Z160" s="1099"/>
      <c r="AA160" s="1100">
        <v>0</v>
      </c>
      <c r="AB160" s="1161"/>
      <c r="AC160" s="1161"/>
      <c r="AD160" s="1161"/>
      <c r="AE160" s="1163"/>
      <c r="AF160" s="1165"/>
      <c r="AG160" s="1041" t="s">
        <v>596</v>
      </c>
      <c r="AH160" s="905">
        <v>1</v>
      </c>
      <c r="AI160" s="49">
        <f t="shared" si="204"/>
        <v>0</v>
      </c>
      <c r="AJ160" s="907">
        <f>AH160*WkB_1_2.3a!$N$335+AI160*WkB_1_2.3a!$O$345</f>
        <v>1.0506187499999999</v>
      </c>
    </row>
    <row r="161" spans="4:36" ht="11.25" customHeight="1" x14ac:dyDescent="0.25">
      <c r="D161" s="1092">
        <v>0</v>
      </c>
      <c r="E161" s="1093">
        <v>0</v>
      </c>
      <c r="F161" s="1093">
        <v>0</v>
      </c>
      <c r="G161" s="1093">
        <v>0</v>
      </c>
      <c r="H161" s="1093">
        <v>0</v>
      </c>
      <c r="I161" s="1157">
        <v>0</v>
      </c>
      <c r="J161" s="563">
        <v>0</v>
      </c>
      <c r="K161" s="564">
        <v>0</v>
      </c>
      <c r="L161" s="529">
        <v>0</v>
      </c>
      <c r="M161" s="1022" t="s">
        <v>701</v>
      </c>
      <c r="N161" s="529">
        <v>0</v>
      </c>
      <c r="O161" s="565">
        <v>0</v>
      </c>
      <c r="P161" s="565">
        <v>0</v>
      </c>
      <c r="Q161" s="529">
        <v>0</v>
      </c>
      <c r="R161" s="529">
        <v>0</v>
      </c>
      <c r="S161" s="529">
        <v>0</v>
      </c>
      <c r="T161" s="1026" t="s">
        <v>701</v>
      </c>
      <c r="U161" s="1026" t="s">
        <v>701</v>
      </c>
      <c r="V161" s="529">
        <v>0</v>
      </c>
      <c r="W161" s="1011" t="s">
        <v>701</v>
      </c>
      <c r="X161" s="1102"/>
      <c r="Y161" s="1103"/>
      <c r="Z161" s="1099"/>
      <c r="AA161" s="1100">
        <v>0</v>
      </c>
      <c r="AB161" s="1161"/>
      <c r="AC161" s="1161"/>
      <c r="AD161" s="1161"/>
      <c r="AE161" s="1163"/>
      <c r="AF161" s="1165"/>
      <c r="AG161" s="1041" t="s">
        <v>596</v>
      </c>
      <c r="AH161" s="905">
        <v>1</v>
      </c>
      <c r="AI161" s="49">
        <f t="shared" si="204"/>
        <v>0</v>
      </c>
      <c r="AJ161" s="907">
        <f>AH161*WkB_1_2.3a!$N$335+AI161*WkB_1_2.3a!$O$345</f>
        <v>1.0506187499999999</v>
      </c>
    </row>
    <row r="162" spans="4:36" ht="11.25" customHeight="1" x14ac:dyDescent="0.25">
      <c r="D162" s="1092">
        <v>0</v>
      </c>
      <c r="E162" s="1093">
        <v>0</v>
      </c>
      <c r="F162" s="1093">
        <v>0</v>
      </c>
      <c r="G162" s="1093">
        <v>0</v>
      </c>
      <c r="H162" s="1093">
        <v>0</v>
      </c>
      <c r="I162" s="1157">
        <v>0</v>
      </c>
      <c r="J162" s="563">
        <v>0</v>
      </c>
      <c r="K162" s="564">
        <v>0</v>
      </c>
      <c r="L162" s="529">
        <v>0</v>
      </c>
      <c r="M162" s="1022" t="s">
        <v>701</v>
      </c>
      <c r="N162" s="529">
        <v>0</v>
      </c>
      <c r="O162" s="565">
        <v>0</v>
      </c>
      <c r="P162" s="565">
        <v>0</v>
      </c>
      <c r="Q162" s="529">
        <v>0</v>
      </c>
      <c r="R162" s="529">
        <v>0</v>
      </c>
      <c r="S162" s="529">
        <v>0</v>
      </c>
      <c r="T162" s="1026" t="s">
        <v>701</v>
      </c>
      <c r="U162" s="1026" t="s">
        <v>701</v>
      </c>
      <c r="V162" s="529">
        <v>0</v>
      </c>
      <c r="W162" s="1011" t="s">
        <v>701</v>
      </c>
      <c r="X162" s="1102"/>
      <c r="Y162" s="1103"/>
      <c r="Z162" s="1099"/>
      <c r="AA162" s="1100">
        <v>0</v>
      </c>
      <c r="AB162" s="1161"/>
      <c r="AC162" s="1161"/>
      <c r="AD162" s="1161"/>
      <c r="AE162" s="1163"/>
      <c r="AF162" s="1165"/>
      <c r="AG162" s="1041" t="s">
        <v>596</v>
      </c>
      <c r="AH162" s="905">
        <v>1</v>
      </c>
      <c r="AI162" s="49">
        <f t="shared" si="204"/>
        <v>0</v>
      </c>
      <c r="AJ162" s="907">
        <f>AH162*WkB_1_2.3a!$N$335+AI162*WkB_1_2.3a!$O$345</f>
        <v>1.0506187499999999</v>
      </c>
    </row>
    <row r="163" spans="4:36" ht="11.25" customHeight="1" x14ac:dyDescent="0.25">
      <c r="D163" s="1092">
        <v>0</v>
      </c>
      <c r="E163" s="1155">
        <v>0</v>
      </c>
      <c r="F163" s="1155">
        <v>0</v>
      </c>
      <c r="G163" s="1155">
        <v>0</v>
      </c>
      <c r="H163" s="1155">
        <v>0</v>
      </c>
      <c r="I163" s="1158">
        <v>0</v>
      </c>
      <c r="J163" s="566">
        <v>0</v>
      </c>
      <c r="K163" s="567">
        <v>0</v>
      </c>
      <c r="L163" s="568">
        <v>0</v>
      </c>
      <c r="M163" s="1023" t="s">
        <v>701</v>
      </c>
      <c r="N163" s="568">
        <v>0</v>
      </c>
      <c r="O163" s="569">
        <v>0</v>
      </c>
      <c r="P163" s="569">
        <v>0</v>
      </c>
      <c r="Q163" s="568">
        <v>0</v>
      </c>
      <c r="R163" s="568">
        <v>0</v>
      </c>
      <c r="S163" s="568">
        <v>0</v>
      </c>
      <c r="T163" s="1027" t="s">
        <v>701</v>
      </c>
      <c r="U163" s="1027" t="s">
        <v>701</v>
      </c>
      <c r="V163" s="568">
        <v>0</v>
      </c>
      <c r="W163" s="1028" t="s">
        <v>701</v>
      </c>
      <c r="X163" s="1102"/>
      <c r="Y163" s="1103"/>
      <c r="Z163" s="1099"/>
      <c r="AA163" s="1100">
        <v>0</v>
      </c>
      <c r="AB163" s="1161"/>
      <c r="AC163" s="1161"/>
      <c r="AD163" s="1161"/>
      <c r="AE163" s="1163"/>
      <c r="AF163" s="1165"/>
      <c r="AG163" s="1044" t="s">
        <v>596</v>
      </c>
      <c r="AH163" s="905">
        <v>1</v>
      </c>
      <c r="AI163" s="49">
        <f t="shared" si="204"/>
        <v>0</v>
      </c>
      <c r="AJ163" s="907">
        <f>AH163*WkB_1_2.3a!$N$335+AI163*WkB_1_2.3a!$O$345</f>
        <v>1.0506187499999999</v>
      </c>
    </row>
    <row r="164" spans="4:36" ht="11.25" customHeight="1" thickBot="1" x14ac:dyDescent="0.3">
      <c r="D164" s="532" t="s">
        <v>418</v>
      </c>
      <c r="E164" s="570"/>
      <c r="F164" s="571"/>
      <c r="G164" s="571"/>
      <c r="H164" s="571"/>
      <c r="I164" s="572"/>
      <c r="J164" s="573"/>
      <c r="K164" s="574">
        <f>SUM(K157:K163)</f>
        <v>799</v>
      </c>
      <c r="L164" s="574">
        <f t="shared" ref="L164" si="217">SUM(L157:L163)</f>
        <v>0</v>
      </c>
      <c r="M164" s="1024" t="s">
        <v>701</v>
      </c>
      <c r="N164" s="575"/>
      <c r="O164" s="576"/>
      <c r="P164" s="576"/>
      <c r="Q164" s="576"/>
      <c r="R164" s="576"/>
      <c r="S164" s="574">
        <f t="shared" ref="S164:V164" si="218">SUM(S157:S163)</f>
        <v>0</v>
      </c>
      <c r="T164" s="1024" t="s">
        <v>701</v>
      </c>
      <c r="U164" s="1012" t="s">
        <v>701</v>
      </c>
      <c r="V164" s="539">
        <f t="shared" si="218"/>
        <v>1191748.8966497504</v>
      </c>
      <c r="W164" s="1024" t="s">
        <v>701</v>
      </c>
      <c r="X164" s="1024" t="s">
        <v>701</v>
      </c>
      <c r="Y164" s="1024" t="s">
        <v>701</v>
      </c>
      <c r="Z164" s="1024" t="s">
        <v>701</v>
      </c>
      <c r="AA164" s="577"/>
      <c r="AB164" s="1030" t="s">
        <v>701</v>
      </c>
      <c r="AC164" s="1030" t="s">
        <v>701</v>
      </c>
      <c r="AD164" s="1030" t="s">
        <v>701</v>
      </c>
      <c r="AE164" s="1030" t="s">
        <v>701</v>
      </c>
      <c r="AF164" s="1030" t="s">
        <v>701</v>
      </c>
      <c r="AG164" s="1045" t="s">
        <v>596</v>
      </c>
      <c r="AH164" s="905">
        <v>1</v>
      </c>
      <c r="AI164" s="49">
        <f t="shared" si="204"/>
        <v>0</v>
      </c>
      <c r="AJ164" s="907">
        <f>AH164*WkB_1_2.3a!$N$335+AI164*WkB_1_2.3a!$O$345</f>
        <v>1.0506187499999999</v>
      </c>
    </row>
    <row r="165" spans="4:36" ht="11.25" customHeight="1" x14ac:dyDescent="0.25">
      <c r="D165" s="1153" t="s">
        <v>805</v>
      </c>
      <c r="E165" s="1154">
        <v>1570</v>
      </c>
      <c r="F165" s="1154" t="s">
        <v>802</v>
      </c>
      <c r="G165" s="1154" t="s">
        <v>726</v>
      </c>
      <c r="H165" s="1154">
        <v>330</v>
      </c>
      <c r="I165" s="1156">
        <v>161</v>
      </c>
      <c r="J165" s="560" t="s">
        <v>803</v>
      </c>
      <c r="K165" s="561">
        <v>360</v>
      </c>
      <c r="L165" s="541">
        <v>0</v>
      </c>
      <c r="M165" s="1021" t="s">
        <v>701</v>
      </c>
      <c r="N165" s="541" t="s">
        <v>813</v>
      </c>
      <c r="O165" s="562">
        <v>0</v>
      </c>
      <c r="P165" s="562">
        <v>1600</v>
      </c>
      <c r="Q165" s="562">
        <v>0</v>
      </c>
      <c r="R165" s="562">
        <v>1600</v>
      </c>
      <c r="S165" s="541">
        <v>0</v>
      </c>
      <c r="T165" s="1025" t="s">
        <v>701</v>
      </c>
      <c r="U165" s="1025" t="s">
        <v>701</v>
      </c>
      <c r="V165" s="542">
        <v>567601.51629830501</v>
      </c>
      <c r="W165" s="1011" t="s">
        <v>701</v>
      </c>
      <c r="X165" s="1167" t="s">
        <v>701</v>
      </c>
      <c r="Y165" s="1168" t="s">
        <v>701</v>
      </c>
      <c r="Z165" s="1159"/>
      <c r="AA165" s="1166">
        <v>0</v>
      </c>
      <c r="AB165" s="1160" t="s">
        <v>701</v>
      </c>
      <c r="AC165" s="1160" t="s">
        <v>701</v>
      </c>
      <c r="AD165" s="1160" t="s">
        <v>701</v>
      </c>
      <c r="AE165" s="1162" t="s">
        <v>701</v>
      </c>
      <c r="AF165" s="1164" t="s">
        <v>701</v>
      </c>
      <c r="AG165" s="1040" t="s">
        <v>596</v>
      </c>
      <c r="AH165" s="905">
        <v>1</v>
      </c>
      <c r="AI165" s="49">
        <f t="shared" si="204"/>
        <v>0</v>
      </c>
      <c r="AJ165" s="907">
        <f>AH165*WkB_1_2.3a!$N$335+AI165*WkB_1_2.3a!$O$345</f>
        <v>1.0506187499999999</v>
      </c>
    </row>
    <row r="166" spans="4:36" ht="11.25" customHeight="1" x14ac:dyDescent="0.25">
      <c r="D166" s="1092">
        <v>0</v>
      </c>
      <c r="E166" s="1093">
        <v>0</v>
      </c>
      <c r="F166" s="1093">
        <v>0</v>
      </c>
      <c r="G166" s="1093">
        <v>0</v>
      </c>
      <c r="H166" s="1093">
        <v>0</v>
      </c>
      <c r="I166" s="1157">
        <v>0</v>
      </c>
      <c r="J166" s="563">
        <v>0</v>
      </c>
      <c r="K166" s="564">
        <v>0</v>
      </c>
      <c r="L166" s="529">
        <v>0</v>
      </c>
      <c r="M166" s="1022" t="s">
        <v>701</v>
      </c>
      <c r="N166" s="529">
        <v>0</v>
      </c>
      <c r="O166" s="565">
        <v>0</v>
      </c>
      <c r="P166" s="565">
        <v>0</v>
      </c>
      <c r="Q166" s="529">
        <v>0</v>
      </c>
      <c r="R166" s="529">
        <v>0</v>
      </c>
      <c r="S166" s="529">
        <v>0</v>
      </c>
      <c r="T166" s="1026" t="s">
        <v>701</v>
      </c>
      <c r="U166" s="1026" t="s">
        <v>701</v>
      </c>
      <c r="V166" s="529">
        <v>0</v>
      </c>
      <c r="W166" s="1011" t="s">
        <v>701</v>
      </c>
      <c r="X166" s="1102"/>
      <c r="Y166" s="1103"/>
      <c r="Z166" s="1099"/>
      <c r="AA166" s="1100">
        <v>0</v>
      </c>
      <c r="AB166" s="1161"/>
      <c r="AC166" s="1161"/>
      <c r="AD166" s="1161"/>
      <c r="AE166" s="1163"/>
      <c r="AF166" s="1165"/>
      <c r="AG166" s="1041" t="s">
        <v>596</v>
      </c>
      <c r="AH166" s="905">
        <v>1</v>
      </c>
      <c r="AI166" s="49">
        <f t="shared" si="204"/>
        <v>0</v>
      </c>
      <c r="AJ166" s="907">
        <f>AH166*WkB_1_2.3a!$N$335+AI166*WkB_1_2.3a!$O$345</f>
        <v>1.0506187499999999</v>
      </c>
    </row>
    <row r="167" spans="4:36" ht="11.25" customHeight="1" x14ac:dyDescent="0.25">
      <c r="D167" s="1092">
        <v>0</v>
      </c>
      <c r="E167" s="1093">
        <v>0</v>
      </c>
      <c r="F167" s="1093">
        <v>0</v>
      </c>
      <c r="G167" s="1093">
        <v>0</v>
      </c>
      <c r="H167" s="1093">
        <v>0</v>
      </c>
      <c r="I167" s="1157">
        <v>0</v>
      </c>
      <c r="J167" s="563">
        <v>0</v>
      </c>
      <c r="K167" s="564">
        <v>0</v>
      </c>
      <c r="L167" s="529">
        <v>0</v>
      </c>
      <c r="M167" s="1022" t="s">
        <v>701</v>
      </c>
      <c r="N167" s="564">
        <v>0</v>
      </c>
      <c r="O167" s="565">
        <v>0</v>
      </c>
      <c r="P167" s="565">
        <v>0</v>
      </c>
      <c r="Q167" s="853">
        <v>0</v>
      </c>
      <c r="R167" s="529">
        <v>0</v>
      </c>
      <c r="S167" s="529">
        <v>0</v>
      </c>
      <c r="T167" s="1026" t="s">
        <v>701</v>
      </c>
      <c r="U167" s="1026" t="s">
        <v>701</v>
      </c>
      <c r="V167" s="529">
        <v>0</v>
      </c>
      <c r="W167" s="1011" t="s">
        <v>701</v>
      </c>
      <c r="X167" s="1102"/>
      <c r="Y167" s="1103"/>
      <c r="Z167" s="1099"/>
      <c r="AA167" s="1100">
        <v>0</v>
      </c>
      <c r="AB167" s="1161"/>
      <c r="AC167" s="1161"/>
      <c r="AD167" s="1161"/>
      <c r="AE167" s="1163"/>
      <c r="AF167" s="1165"/>
      <c r="AG167" s="1041" t="s">
        <v>596</v>
      </c>
      <c r="AH167" s="905">
        <v>1</v>
      </c>
      <c r="AI167" s="49">
        <f t="shared" si="204"/>
        <v>0</v>
      </c>
      <c r="AJ167" s="907">
        <f>AH167*WkB_1_2.3a!$N$335+AI167*WkB_1_2.3a!$O$345</f>
        <v>1.0506187499999999</v>
      </c>
    </row>
    <row r="168" spans="4:36" ht="11.25" customHeight="1" x14ac:dyDescent="0.25">
      <c r="D168" s="1092">
        <v>0</v>
      </c>
      <c r="E168" s="1093">
        <v>0</v>
      </c>
      <c r="F168" s="1093">
        <v>0</v>
      </c>
      <c r="G168" s="1093">
        <v>0</v>
      </c>
      <c r="H168" s="1093">
        <v>0</v>
      </c>
      <c r="I168" s="1157">
        <v>0</v>
      </c>
      <c r="J168" s="563">
        <v>0</v>
      </c>
      <c r="K168" s="564">
        <v>0</v>
      </c>
      <c r="L168" s="529">
        <v>0</v>
      </c>
      <c r="M168" s="1022" t="s">
        <v>701</v>
      </c>
      <c r="N168" s="529">
        <v>0</v>
      </c>
      <c r="O168" s="565">
        <v>0</v>
      </c>
      <c r="P168" s="565">
        <v>0</v>
      </c>
      <c r="Q168" s="529">
        <v>0</v>
      </c>
      <c r="R168" s="529">
        <v>0</v>
      </c>
      <c r="S168" s="529">
        <v>0</v>
      </c>
      <c r="T168" s="1026" t="s">
        <v>701</v>
      </c>
      <c r="U168" s="1026" t="s">
        <v>701</v>
      </c>
      <c r="V168" s="529">
        <v>0</v>
      </c>
      <c r="W168" s="1011" t="s">
        <v>701</v>
      </c>
      <c r="X168" s="1102"/>
      <c r="Y168" s="1103"/>
      <c r="Z168" s="1099"/>
      <c r="AA168" s="1100">
        <v>0</v>
      </c>
      <c r="AB168" s="1161"/>
      <c r="AC168" s="1161"/>
      <c r="AD168" s="1161"/>
      <c r="AE168" s="1163"/>
      <c r="AF168" s="1165"/>
      <c r="AG168" s="1041" t="s">
        <v>596</v>
      </c>
      <c r="AH168" s="905">
        <v>1</v>
      </c>
      <c r="AI168" s="49">
        <f t="shared" si="204"/>
        <v>0</v>
      </c>
      <c r="AJ168" s="907">
        <f>AH168*WkB_1_2.3a!$N$335+AI168*WkB_1_2.3a!$O$345</f>
        <v>1.0506187499999999</v>
      </c>
    </row>
    <row r="169" spans="4:36" ht="11.25" customHeight="1" x14ac:dyDescent="0.25">
      <c r="D169" s="1092">
        <v>0</v>
      </c>
      <c r="E169" s="1093">
        <v>0</v>
      </c>
      <c r="F169" s="1093">
        <v>0</v>
      </c>
      <c r="G169" s="1093">
        <v>0</v>
      </c>
      <c r="H169" s="1093">
        <v>0</v>
      </c>
      <c r="I169" s="1157">
        <v>0</v>
      </c>
      <c r="J169" s="563">
        <v>0</v>
      </c>
      <c r="K169" s="564">
        <v>0</v>
      </c>
      <c r="L169" s="529">
        <v>0</v>
      </c>
      <c r="M169" s="1022" t="s">
        <v>701</v>
      </c>
      <c r="N169" s="529">
        <v>0</v>
      </c>
      <c r="O169" s="565">
        <v>0</v>
      </c>
      <c r="P169" s="565">
        <v>0</v>
      </c>
      <c r="Q169" s="529">
        <v>0</v>
      </c>
      <c r="R169" s="529">
        <v>0</v>
      </c>
      <c r="S169" s="529">
        <v>0</v>
      </c>
      <c r="T169" s="1026" t="s">
        <v>701</v>
      </c>
      <c r="U169" s="1026" t="s">
        <v>701</v>
      </c>
      <c r="V169" s="529">
        <v>0</v>
      </c>
      <c r="W169" s="1011" t="s">
        <v>701</v>
      </c>
      <c r="X169" s="1102"/>
      <c r="Y169" s="1103"/>
      <c r="Z169" s="1099"/>
      <c r="AA169" s="1100">
        <v>0</v>
      </c>
      <c r="AB169" s="1161"/>
      <c r="AC169" s="1161"/>
      <c r="AD169" s="1161"/>
      <c r="AE169" s="1163"/>
      <c r="AF169" s="1165"/>
      <c r="AG169" s="1041" t="s">
        <v>596</v>
      </c>
      <c r="AH169" s="905">
        <v>1</v>
      </c>
      <c r="AI169" s="49">
        <f t="shared" si="204"/>
        <v>0</v>
      </c>
      <c r="AJ169" s="907">
        <f>AH169*WkB_1_2.3a!$N$335+AI169*WkB_1_2.3a!$O$345</f>
        <v>1.0506187499999999</v>
      </c>
    </row>
    <row r="170" spans="4:36" ht="11.25" customHeight="1" x14ac:dyDescent="0.25">
      <c r="D170" s="1092">
        <v>0</v>
      </c>
      <c r="E170" s="1093">
        <v>0</v>
      </c>
      <c r="F170" s="1093">
        <v>0</v>
      </c>
      <c r="G170" s="1093">
        <v>0</v>
      </c>
      <c r="H170" s="1093">
        <v>0</v>
      </c>
      <c r="I170" s="1157">
        <v>0</v>
      </c>
      <c r="J170" s="563">
        <v>0</v>
      </c>
      <c r="K170" s="564">
        <v>0</v>
      </c>
      <c r="L170" s="529">
        <v>0</v>
      </c>
      <c r="M170" s="1022" t="s">
        <v>701</v>
      </c>
      <c r="N170" s="529">
        <v>0</v>
      </c>
      <c r="O170" s="565">
        <v>0</v>
      </c>
      <c r="P170" s="565">
        <v>0</v>
      </c>
      <c r="Q170" s="529">
        <v>0</v>
      </c>
      <c r="R170" s="529">
        <v>0</v>
      </c>
      <c r="S170" s="529">
        <v>0</v>
      </c>
      <c r="T170" s="1026" t="s">
        <v>701</v>
      </c>
      <c r="U170" s="1026" t="s">
        <v>701</v>
      </c>
      <c r="V170" s="529">
        <v>0</v>
      </c>
      <c r="W170" s="1011" t="s">
        <v>701</v>
      </c>
      <c r="X170" s="1102"/>
      <c r="Y170" s="1103"/>
      <c r="Z170" s="1099"/>
      <c r="AA170" s="1100">
        <v>0</v>
      </c>
      <c r="AB170" s="1161"/>
      <c r="AC170" s="1161"/>
      <c r="AD170" s="1161"/>
      <c r="AE170" s="1163"/>
      <c r="AF170" s="1165"/>
      <c r="AG170" s="1041" t="s">
        <v>596</v>
      </c>
      <c r="AH170" s="905">
        <v>1</v>
      </c>
      <c r="AI170" s="49">
        <f t="shared" si="204"/>
        <v>0</v>
      </c>
      <c r="AJ170" s="907">
        <f>AH170*WkB_1_2.3a!$N$335+AI170*WkB_1_2.3a!$O$345</f>
        <v>1.0506187499999999</v>
      </c>
    </row>
    <row r="171" spans="4:36" ht="11.25" customHeight="1" x14ac:dyDescent="0.25">
      <c r="D171" s="1092">
        <v>0</v>
      </c>
      <c r="E171" s="1155">
        <v>0</v>
      </c>
      <c r="F171" s="1155">
        <v>0</v>
      </c>
      <c r="G171" s="1155">
        <v>0</v>
      </c>
      <c r="H171" s="1155">
        <v>0</v>
      </c>
      <c r="I171" s="1158">
        <v>0</v>
      </c>
      <c r="J171" s="566">
        <v>0</v>
      </c>
      <c r="K171" s="567">
        <v>0</v>
      </c>
      <c r="L171" s="568">
        <v>0</v>
      </c>
      <c r="M171" s="1023" t="s">
        <v>701</v>
      </c>
      <c r="N171" s="568">
        <v>0</v>
      </c>
      <c r="O171" s="569">
        <v>0</v>
      </c>
      <c r="P171" s="569">
        <v>0</v>
      </c>
      <c r="Q171" s="568">
        <v>0</v>
      </c>
      <c r="R171" s="568">
        <v>0</v>
      </c>
      <c r="S171" s="568">
        <v>0</v>
      </c>
      <c r="T171" s="1027" t="s">
        <v>701</v>
      </c>
      <c r="U171" s="1027" t="s">
        <v>701</v>
      </c>
      <c r="V171" s="568">
        <v>0</v>
      </c>
      <c r="W171" s="1028" t="s">
        <v>701</v>
      </c>
      <c r="X171" s="1102"/>
      <c r="Y171" s="1103"/>
      <c r="Z171" s="1099"/>
      <c r="AA171" s="1100">
        <v>0</v>
      </c>
      <c r="AB171" s="1161"/>
      <c r="AC171" s="1161"/>
      <c r="AD171" s="1161"/>
      <c r="AE171" s="1163"/>
      <c r="AF171" s="1165"/>
      <c r="AG171" s="1044" t="s">
        <v>596</v>
      </c>
      <c r="AH171" s="905">
        <v>1</v>
      </c>
      <c r="AI171" s="49">
        <f t="shared" si="204"/>
        <v>0</v>
      </c>
      <c r="AJ171" s="907">
        <f>AH171*WkB_1_2.3a!$N$335+AI171*WkB_1_2.3a!$O$345</f>
        <v>1.0506187499999999</v>
      </c>
    </row>
    <row r="172" spans="4:36" ht="11.25" customHeight="1" thickBot="1" x14ac:dyDescent="0.3">
      <c r="D172" s="532" t="s">
        <v>418</v>
      </c>
      <c r="E172" s="570"/>
      <c r="F172" s="571"/>
      <c r="G172" s="571"/>
      <c r="H172" s="571"/>
      <c r="I172" s="572"/>
      <c r="J172" s="573"/>
      <c r="K172" s="574">
        <f>SUM(K165:K171)</f>
        <v>360</v>
      </c>
      <c r="L172" s="574">
        <f t="shared" ref="L172" si="219">SUM(L165:L171)</f>
        <v>0</v>
      </c>
      <c r="M172" s="1024" t="s">
        <v>701</v>
      </c>
      <c r="N172" s="575"/>
      <c r="O172" s="576"/>
      <c r="P172" s="576"/>
      <c r="Q172" s="576"/>
      <c r="R172" s="576"/>
      <c r="S172" s="574">
        <f t="shared" ref="S172:V172" si="220">SUM(S165:S171)</f>
        <v>0</v>
      </c>
      <c r="T172" s="1024" t="s">
        <v>701</v>
      </c>
      <c r="U172" s="1012" t="s">
        <v>701</v>
      </c>
      <c r="V172" s="539">
        <f t="shared" si="220"/>
        <v>567601.51629830501</v>
      </c>
      <c r="W172" s="1024" t="s">
        <v>701</v>
      </c>
      <c r="X172" s="1024" t="s">
        <v>701</v>
      </c>
      <c r="Y172" s="1024" t="s">
        <v>701</v>
      </c>
      <c r="Z172" s="1024" t="s">
        <v>701</v>
      </c>
      <c r="AA172" s="577"/>
      <c r="AB172" s="1030" t="s">
        <v>701</v>
      </c>
      <c r="AC172" s="1030" t="s">
        <v>701</v>
      </c>
      <c r="AD172" s="1030" t="s">
        <v>701</v>
      </c>
      <c r="AE172" s="1030" t="s">
        <v>701</v>
      </c>
      <c r="AF172" s="1030" t="s">
        <v>701</v>
      </c>
      <c r="AG172" s="1045" t="s">
        <v>596</v>
      </c>
      <c r="AH172" s="905">
        <v>1</v>
      </c>
      <c r="AI172" s="49">
        <f t="shared" si="204"/>
        <v>0</v>
      </c>
      <c r="AJ172" s="907">
        <f>AH172*WkB_1_2.3a!$N$335+AI172*WkB_1_2.3a!$O$345</f>
        <v>1.0506187499999999</v>
      </c>
    </row>
    <row r="173" spans="4:36" ht="11.25" customHeight="1" x14ac:dyDescent="0.25">
      <c r="D173" s="1153" t="s">
        <v>806</v>
      </c>
      <c r="E173" s="1154">
        <v>1570</v>
      </c>
      <c r="F173" s="1154" t="s">
        <v>807</v>
      </c>
      <c r="G173" s="1154" t="s">
        <v>726</v>
      </c>
      <c r="H173" s="1154">
        <v>220</v>
      </c>
      <c r="I173" s="1156">
        <v>0</v>
      </c>
      <c r="J173" s="560" t="s">
        <v>803</v>
      </c>
      <c r="K173" s="561">
        <v>60</v>
      </c>
      <c r="L173" s="541">
        <v>0</v>
      </c>
      <c r="M173" s="1021" t="s">
        <v>701</v>
      </c>
      <c r="N173" s="541" t="s">
        <v>815</v>
      </c>
      <c r="O173" s="562">
        <v>419</v>
      </c>
      <c r="P173" s="562">
        <v>1600</v>
      </c>
      <c r="Q173" s="562">
        <v>427</v>
      </c>
      <c r="R173" s="562">
        <v>1600</v>
      </c>
      <c r="S173" s="541">
        <v>0</v>
      </c>
      <c r="T173" s="1025" t="s">
        <v>701</v>
      </c>
      <c r="U173" s="1025" t="s">
        <v>701</v>
      </c>
      <c r="V173" s="542">
        <v>95789.805362154628</v>
      </c>
      <c r="W173" s="1011" t="s">
        <v>701</v>
      </c>
      <c r="X173" s="1167" t="s">
        <v>701</v>
      </c>
      <c r="Y173" s="1168" t="s">
        <v>701</v>
      </c>
      <c r="Z173" s="1159"/>
      <c r="AA173" s="1166">
        <v>0</v>
      </c>
      <c r="AB173" s="1160" t="s">
        <v>701</v>
      </c>
      <c r="AC173" s="1160" t="s">
        <v>701</v>
      </c>
      <c r="AD173" s="1160" t="s">
        <v>701</v>
      </c>
      <c r="AE173" s="1162" t="s">
        <v>701</v>
      </c>
      <c r="AF173" s="1164" t="s">
        <v>701</v>
      </c>
      <c r="AG173" s="1040" t="s">
        <v>812</v>
      </c>
      <c r="AH173" s="905">
        <v>1</v>
      </c>
      <c r="AI173" s="49">
        <f t="shared" si="204"/>
        <v>0</v>
      </c>
      <c r="AJ173" s="907">
        <f>AH173*WkB_1_2.3a!$N$335+AI173*WkB_1_2.3a!$O$345</f>
        <v>1.0506187499999999</v>
      </c>
    </row>
    <row r="174" spans="4:36" ht="11.25" customHeight="1" x14ac:dyDescent="0.25">
      <c r="D174" s="1092">
        <v>0</v>
      </c>
      <c r="E174" s="1093">
        <v>0</v>
      </c>
      <c r="F174" s="1093">
        <v>0</v>
      </c>
      <c r="G174" s="1093">
        <v>0</v>
      </c>
      <c r="H174" s="1093">
        <v>0</v>
      </c>
      <c r="I174" s="1157">
        <v>0</v>
      </c>
      <c r="J174" s="563">
        <v>0</v>
      </c>
      <c r="K174" s="564">
        <v>0</v>
      </c>
      <c r="L174" s="529">
        <v>0</v>
      </c>
      <c r="M174" s="1022" t="s">
        <v>701</v>
      </c>
      <c r="N174" s="529">
        <v>0</v>
      </c>
      <c r="O174" s="565">
        <v>0</v>
      </c>
      <c r="P174" s="565">
        <v>0</v>
      </c>
      <c r="Q174" s="529">
        <v>0</v>
      </c>
      <c r="R174" s="529">
        <v>0</v>
      </c>
      <c r="S174" s="529">
        <v>0</v>
      </c>
      <c r="T174" s="1026" t="s">
        <v>701</v>
      </c>
      <c r="U174" s="1026" t="s">
        <v>701</v>
      </c>
      <c r="V174" s="529">
        <v>0</v>
      </c>
      <c r="W174" s="1011" t="s">
        <v>701</v>
      </c>
      <c r="X174" s="1102"/>
      <c r="Y174" s="1103"/>
      <c r="Z174" s="1099"/>
      <c r="AA174" s="1100">
        <v>0</v>
      </c>
      <c r="AB174" s="1161"/>
      <c r="AC174" s="1161"/>
      <c r="AD174" s="1161"/>
      <c r="AE174" s="1163"/>
      <c r="AF174" s="1165"/>
      <c r="AG174" s="1041" t="s">
        <v>596</v>
      </c>
      <c r="AH174" s="905">
        <v>1</v>
      </c>
      <c r="AI174" s="49">
        <f t="shared" ref="AI174:AI189" si="221">IF(AH174,0,1)</f>
        <v>0</v>
      </c>
      <c r="AJ174" s="907">
        <f>AH174*WkB_1_2.3a!$N$335+AI174*WkB_1_2.3a!$O$345</f>
        <v>1.0506187499999999</v>
      </c>
    </row>
    <row r="175" spans="4:36" ht="11.25" customHeight="1" x14ac:dyDescent="0.25">
      <c r="D175" s="1092">
        <v>0</v>
      </c>
      <c r="E175" s="1093">
        <v>0</v>
      </c>
      <c r="F175" s="1093">
        <v>0</v>
      </c>
      <c r="G175" s="1093">
        <v>0</v>
      </c>
      <c r="H175" s="1093">
        <v>0</v>
      </c>
      <c r="I175" s="1157">
        <v>0</v>
      </c>
      <c r="J175" s="563">
        <v>0</v>
      </c>
      <c r="K175" s="564">
        <v>0</v>
      </c>
      <c r="L175" s="529">
        <v>0</v>
      </c>
      <c r="M175" s="1022" t="s">
        <v>701</v>
      </c>
      <c r="N175" s="564">
        <v>0</v>
      </c>
      <c r="O175" s="565">
        <v>0</v>
      </c>
      <c r="P175" s="565">
        <v>0</v>
      </c>
      <c r="Q175" s="853">
        <v>0</v>
      </c>
      <c r="R175" s="529">
        <v>0</v>
      </c>
      <c r="S175" s="529">
        <v>0</v>
      </c>
      <c r="T175" s="1026" t="s">
        <v>701</v>
      </c>
      <c r="U175" s="1026" t="s">
        <v>701</v>
      </c>
      <c r="V175" s="529">
        <v>0</v>
      </c>
      <c r="W175" s="1011" t="s">
        <v>701</v>
      </c>
      <c r="X175" s="1102"/>
      <c r="Y175" s="1103"/>
      <c r="Z175" s="1099"/>
      <c r="AA175" s="1100">
        <v>0</v>
      </c>
      <c r="AB175" s="1161"/>
      <c r="AC175" s="1161"/>
      <c r="AD175" s="1161"/>
      <c r="AE175" s="1163"/>
      <c r="AF175" s="1165"/>
      <c r="AG175" s="1041" t="s">
        <v>596</v>
      </c>
      <c r="AH175" s="905">
        <v>1</v>
      </c>
      <c r="AI175" s="49">
        <f t="shared" si="221"/>
        <v>0</v>
      </c>
      <c r="AJ175" s="907">
        <f>AH175*WkB_1_2.3a!$N$335+AI175*WkB_1_2.3a!$O$345</f>
        <v>1.0506187499999999</v>
      </c>
    </row>
    <row r="176" spans="4:36" ht="11.25" customHeight="1" x14ac:dyDescent="0.25">
      <c r="D176" s="1092">
        <v>0</v>
      </c>
      <c r="E176" s="1093">
        <v>0</v>
      </c>
      <c r="F176" s="1093">
        <v>0</v>
      </c>
      <c r="G176" s="1093">
        <v>0</v>
      </c>
      <c r="H176" s="1093">
        <v>0</v>
      </c>
      <c r="I176" s="1157">
        <v>0</v>
      </c>
      <c r="J176" s="563">
        <v>0</v>
      </c>
      <c r="K176" s="564">
        <v>0</v>
      </c>
      <c r="L176" s="529">
        <v>0</v>
      </c>
      <c r="M176" s="1022" t="s">
        <v>701</v>
      </c>
      <c r="N176" s="529">
        <v>0</v>
      </c>
      <c r="O176" s="565">
        <v>0</v>
      </c>
      <c r="P176" s="565">
        <v>0</v>
      </c>
      <c r="Q176" s="529">
        <v>0</v>
      </c>
      <c r="R176" s="529">
        <v>0</v>
      </c>
      <c r="S176" s="529">
        <v>0</v>
      </c>
      <c r="T176" s="1026" t="s">
        <v>701</v>
      </c>
      <c r="U176" s="1026" t="s">
        <v>701</v>
      </c>
      <c r="V176" s="529">
        <v>0</v>
      </c>
      <c r="W176" s="1011" t="s">
        <v>701</v>
      </c>
      <c r="X176" s="1102"/>
      <c r="Y176" s="1103"/>
      <c r="Z176" s="1099"/>
      <c r="AA176" s="1100">
        <v>0</v>
      </c>
      <c r="AB176" s="1161"/>
      <c r="AC176" s="1161"/>
      <c r="AD176" s="1161"/>
      <c r="AE176" s="1163"/>
      <c r="AF176" s="1165"/>
      <c r="AG176" s="1041" t="s">
        <v>596</v>
      </c>
      <c r="AH176" s="905">
        <v>1</v>
      </c>
      <c r="AI176" s="49">
        <f t="shared" si="221"/>
        <v>0</v>
      </c>
      <c r="AJ176" s="907">
        <f>AH176*WkB_1_2.3a!$N$335+AI176*WkB_1_2.3a!$O$345</f>
        <v>1.0506187499999999</v>
      </c>
    </row>
    <row r="177" spans="4:36" ht="11.25" customHeight="1" x14ac:dyDescent="0.25">
      <c r="D177" s="1092">
        <v>0</v>
      </c>
      <c r="E177" s="1093">
        <v>0</v>
      </c>
      <c r="F177" s="1093">
        <v>0</v>
      </c>
      <c r="G177" s="1093">
        <v>0</v>
      </c>
      <c r="H177" s="1093">
        <v>0</v>
      </c>
      <c r="I177" s="1157">
        <v>0</v>
      </c>
      <c r="J177" s="563">
        <v>0</v>
      </c>
      <c r="K177" s="564">
        <v>0</v>
      </c>
      <c r="L177" s="529">
        <v>0</v>
      </c>
      <c r="M177" s="1022" t="s">
        <v>701</v>
      </c>
      <c r="N177" s="529">
        <v>0</v>
      </c>
      <c r="O177" s="565">
        <v>0</v>
      </c>
      <c r="P177" s="565">
        <v>0</v>
      </c>
      <c r="Q177" s="529">
        <v>0</v>
      </c>
      <c r="R177" s="529">
        <v>0</v>
      </c>
      <c r="S177" s="529">
        <v>0</v>
      </c>
      <c r="T177" s="1026" t="s">
        <v>701</v>
      </c>
      <c r="U177" s="1026" t="s">
        <v>701</v>
      </c>
      <c r="V177" s="529">
        <v>0</v>
      </c>
      <c r="W177" s="1011" t="s">
        <v>701</v>
      </c>
      <c r="X177" s="1102"/>
      <c r="Y177" s="1103"/>
      <c r="Z177" s="1099"/>
      <c r="AA177" s="1100">
        <v>0</v>
      </c>
      <c r="AB177" s="1161"/>
      <c r="AC177" s="1161"/>
      <c r="AD177" s="1161"/>
      <c r="AE177" s="1163"/>
      <c r="AF177" s="1165"/>
      <c r="AG177" s="1041" t="s">
        <v>596</v>
      </c>
      <c r="AH177" s="905">
        <v>1</v>
      </c>
      <c r="AI177" s="49">
        <f t="shared" si="221"/>
        <v>0</v>
      </c>
      <c r="AJ177" s="907">
        <f>AH177*WkB_1_2.3a!$N$335+AI177*WkB_1_2.3a!$O$345</f>
        <v>1.0506187499999999</v>
      </c>
    </row>
    <row r="178" spans="4:36" ht="11.25" customHeight="1" x14ac:dyDescent="0.25">
      <c r="D178" s="1092">
        <v>0</v>
      </c>
      <c r="E178" s="1093">
        <v>0</v>
      </c>
      <c r="F178" s="1093">
        <v>0</v>
      </c>
      <c r="G178" s="1093">
        <v>0</v>
      </c>
      <c r="H178" s="1093">
        <v>0</v>
      </c>
      <c r="I178" s="1157">
        <v>0</v>
      </c>
      <c r="J178" s="563">
        <v>0</v>
      </c>
      <c r="K178" s="564">
        <v>0</v>
      </c>
      <c r="L178" s="529">
        <v>0</v>
      </c>
      <c r="M178" s="1022" t="s">
        <v>701</v>
      </c>
      <c r="N178" s="529">
        <v>0</v>
      </c>
      <c r="O178" s="565">
        <v>0</v>
      </c>
      <c r="P178" s="565">
        <v>0</v>
      </c>
      <c r="Q178" s="529">
        <v>0</v>
      </c>
      <c r="R178" s="529">
        <v>0</v>
      </c>
      <c r="S178" s="529">
        <v>0</v>
      </c>
      <c r="T178" s="1026" t="s">
        <v>701</v>
      </c>
      <c r="U178" s="1026" t="s">
        <v>701</v>
      </c>
      <c r="V178" s="529">
        <v>0</v>
      </c>
      <c r="W178" s="1011" t="s">
        <v>701</v>
      </c>
      <c r="X178" s="1102"/>
      <c r="Y178" s="1103"/>
      <c r="Z178" s="1099"/>
      <c r="AA178" s="1100">
        <v>0</v>
      </c>
      <c r="AB178" s="1161"/>
      <c r="AC178" s="1161"/>
      <c r="AD178" s="1161"/>
      <c r="AE178" s="1163"/>
      <c r="AF178" s="1165"/>
      <c r="AG178" s="1041" t="s">
        <v>596</v>
      </c>
      <c r="AH178" s="905">
        <v>1</v>
      </c>
      <c r="AI178" s="49">
        <f t="shared" si="221"/>
        <v>0</v>
      </c>
      <c r="AJ178" s="907">
        <f>AH178*WkB_1_2.3a!$N$335+AI178*WkB_1_2.3a!$O$345</f>
        <v>1.0506187499999999</v>
      </c>
    </row>
    <row r="179" spans="4:36" ht="11.25" customHeight="1" x14ac:dyDescent="0.25">
      <c r="D179" s="1092">
        <v>0</v>
      </c>
      <c r="E179" s="1155">
        <v>0</v>
      </c>
      <c r="F179" s="1155">
        <v>0</v>
      </c>
      <c r="G179" s="1155">
        <v>0</v>
      </c>
      <c r="H179" s="1155">
        <v>0</v>
      </c>
      <c r="I179" s="1158">
        <v>0</v>
      </c>
      <c r="J179" s="566">
        <v>0</v>
      </c>
      <c r="K179" s="567">
        <v>0</v>
      </c>
      <c r="L179" s="568">
        <v>0</v>
      </c>
      <c r="M179" s="1023" t="s">
        <v>701</v>
      </c>
      <c r="N179" s="568">
        <v>0</v>
      </c>
      <c r="O179" s="569">
        <v>0</v>
      </c>
      <c r="P179" s="569">
        <v>0</v>
      </c>
      <c r="Q179" s="568">
        <v>0</v>
      </c>
      <c r="R179" s="568">
        <v>0</v>
      </c>
      <c r="S179" s="568">
        <v>0</v>
      </c>
      <c r="T179" s="1027" t="s">
        <v>701</v>
      </c>
      <c r="U179" s="1027" t="s">
        <v>701</v>
      </c>
      <c r="V179" s="568">
        <v>0</v>
      </c>
      <c r="W179" s="1028" t="s">
        <v>701</v>
      </c>
      <c r="X179" s="1102"/>
      <c r="Y179" s="1103"/>
      <c r="Z179" s="1099"/>
      <c r="AA179" s="1100">
        <v>0</v>
      </c>
      <c r="AB179" s="1161"/>
      <c r="AC179" s="1161"/>
      <c r="AD179" s="1161"/>
      <c r="AE179" s="1163"/>
      <c r="AF179" s="1165"/>
      <c r="AG179" s="1044" t="s">
        <v>596</v>
      </c>
      <c r="AH179" s="905">
        <v>1</v>
      </c>
      <c r="AI179" s="49">
        <f t="shared" si="221"/>
        <v>0</v>
      </c>
      <c r="AJ179" s="907">
        <f>AH179*WkB_1_2.3a!$N$335+AI179*WkB_1_2.3a!$O$345</f>
        <v>1.0506187499999999</v>
      </c>
    </row>
    <row r="180" spans="4:36" ht="11.25" customHeight="1" thickBot="1" x14ac:dyDescent="0.3">
      <c r="D180" s="532" t="s">
        <v>418</v>
      </c>
      <c r="E180" s="570"/>
      <c r="F180" s="571"/>
      <c r="G180" s="571"/>
      <c r="H180" s="571"/>
      <c r="I180" s="572"/>
      <c r="J180" s="573"/>
      <c r="K180" s="574">
        <f>SUM(K173:K179)</f>
        <v>60</v>
      </c>
      <c r="L180" s="574">
        <f t="shared" ref="L180" si="222">SUM(L173:L179)</f>
        <v>0</v>
      </c>
      <c r="M180" s="1024" t="s">
        <v>701</v>
      </c>
      <c r="N180" s="575"/>
      <c r="O180" s="576"/>
      <c r="P180" s="576"/>
      <c r="Q180" s="576"/>
      <c r="R180" s="576"/>
      <c r="S180" s="574">
        <f t="shared" ref="S180:V180" si="223">SUM(S173:S179)</f>
        <v>0</v>
      </c>
      <c r="T180" s="1024" t="s">
        <v>701</v>
      </c>
      <c r="U180" s="1012" t="s">
        <v>701</v>
      </c>
      <c r="V180" s="539">
        <f t="shared" si="223"/>
        <v>95789.805362154628</v>
      </c>
      <c r="W180" s="1024" t="s">
        <v>701</v>
      </c>
      <c r="X180" s="1024" t="s">
        <v>701</v>
      </c>
      <c r="Y180" s="1024" t="s">
        <v>701</v>
      </c>
      <c r="Z180" s="1024" t="s">
        <v>701</v>
      </c>
      <c r="AA180" s="577"/>
      <c r="AB180" s="1030" t="s">
        <v>701</v>
      </c>
      <c r="AC180" s="1030" t="s">
        <v>701</v>
      </c>
      <c r="AD180" s="1030" t="s">
        <v>701</v>
      </c>
      <c r="AE180" s="1030" t="s">
        <v>701</v>
      </c>
      <c r="AF180" s="1030" t="s">
        <v>701</v>
      </c>
      <c r="AG180" s="1045" t="s">
        <v>596</v>
      </c>
      <c r="AH180" s="905">
        <v>1</v>
      </c>
      <c r="AI180" s="49">
        <f t="shared" si="221"/>
        <v>0</v>
      </c>
      <c r="AJ180" s="907">
        <f>AH180*WkB_1_2.3a!$N$335+AI180*WkB_1_2.3a!$O$345</f>
        <v>1.0506187499999999</v>
      </c>
    </row>
    <row r="181" spans="4:36" ht="11.25" customHeight="1" x14ac:dyDescent="0.25">
      <c r="D181" s="1153" t="s">
        <v>808</v>
      </c>
      <c r="E181" s="1154">
        <v>1529</v>
      </c>
      <c r="F181" s="1154" t="s">
        <v>793</v>
      </c>
      <c r="G181" s="1154" t="s">
        <v>726</v>
      </c>
      <c r="H181" s="1154">
        <v>330</v>
      </c>
      <c r="I181" s="1156">
        <v>0</v>
      </c>
      <c r="J181" s="560">
        <v>0</v>
      </c>
      <c r="K181" s="561">
        <v>0</v>
      </c>
      <c r="L181" s="541">
        <v>0</v>
      </c>
      <c r="M181" s="1021" t="s">
        <v>701</v>
      </c>
      <c r="N181" s="541">
        <v>0</v>
      </c>
      <c r="O181" s="562">
        <v>0</v>
      </c>
      <c r="P181" s="562">
        <v>0</v>
      </c>
      <c r="Q181" s="562">
        <v>0</v>
      </c>
      <c r="R181" s="562">
        <v>0</v>
      </c>
      <c r="S181" s="541">
        <v>0</v>
      </c>
      <c r="T181" s="1025" t="s">
        <v>701</v>
      </c>
      <c r="U181" s="1025" t="s">
        <v>701</v>
      </c>
      <c r="V181" s="542">
        <v>27349.273423755847</v>
      </c>
      <c r="W181" s="1011" t="s">
        <v>701</v>
      </c>
      <c r="X181" s="1167" t="s">
        <v>701</v>
      </c>
      <c r="Y181" s="1168" t="s">
        <v>701</v>
      </c>
      <c r="Z181" s="1159"/>
      <c r="AA181" s="1166">
        <v>0</v>
      </c>
      <c r="AB181" s="1160" t="s">
        <v>701</v>
      </c>
      <c r="AC181" s="1160" t="s">
        <v>701</v>
      </c>
      <c r="AD181" s="1160" t="s">
        <v>701</v>
      </c>
      <c r="AE181" s="1162" t="s">
        <v>701</v>
      </c>
      <c r="AF181" s="1164" t="s">
        <v>701</v>
      </c>
      <c r="AG181" s="1040" t="s">
        <v>596</v>
      </c>
      <c r="AH181" s="905">
        <v>1</v>
      </c>
      <c r="AI181" s="49">
        <f t="shared" si="221"/>
        <v>0</v>
      </c>
      <c r="AJ181" s="907">
        <f>AH181*WkB_1_2.3a!$N$335+AI181*WkB_1_2.3a!$O$345</f>
        <v>1.0506187499999999</v>
      </c>
    </row>
    <row r="182" spans="4:36" ht="11.25" customHeight="1" x14ac:dyDescent="0.25">
      <c r="D182" s="1092">
        <v>0</v>
      </c>
      <c r="E182" s="1093">
        <v>0</v>
      </c>
      <c r="F182" s="1093">
        <v>0</v>
      </c>
      <c r="G182" s="1093">
        <v>0</v>
      </c>
      <c r="H182" s="1093">
        <v>0</v>
      </c>
      <c r="I182" s="1157">
        <v>0</v>
      </c>
      <c r="J182" s="563">
        <v>0</v>
      </c>
      <c r="K182" s="564">
        <v>0</v>
      </c>
      <c r="L182" s="529">
        <v>0</v>
      </c>
      <c r="M182" s="1022" t="s">
        <v>701</v>
      </c>
      <c r="N182" s="529">
        <v>0</v>
      </c>
      <c r="O182" s="565">
        <v>0</v>
      </c>
      <c r="P182" s="565">
        <v>0</v>
      </c>
      <c r="Q182" s="529">
        <v>0</v>
      </c>
      <c r="R182" s="529">
        <v>0</v>
      </c>
      <c r="S182" s="529">
        <v>0</v>
      </c>
      <c r="T182" s="1026" t="s">
        <v>701</v>
      </c>
      <c r="U182" s="1026" t="s">
        <v>701</v>
      </c>
      <c r="V182" s="529">
        <v>0</v>
      </c>
      <c r="W182" s="1011" t="s">
        <v>701</v>
      </c>
      <c r="X182" s="1102"/>
      <c r="Y182" s="1103"/>
      <c r="Z182" s="1099"/>
      <c r="AA182" s="1100">
        <v>0</v>
      </c>
      <c r="AB182" s="1161"/>
      <c r="AC182" s="1161"/>
      <c r="AD182" s="1161"/>
      <c r="AE182" s="1163"/>
      <c r="AF182" s="1165"/>
      <c r="AG182" s="1041" t="s">
        <v>596</v>
      </c>
      <c r="AH182" s="905">
        <v>1</v>
      </c>
      <c r="AI182" s="49">
        <f t="shared" si="221"/>
        <v>0</v>
      </c>
      <c r="AJ182" s="907">
        <f>AH182*WkB_1_2.3a!$N$335+AI182*WkB_1_2.3a!$O$345</f>
        <v>1.0506187499999999</v>
      </c>
    </row>
    <row r="183" spans="4:36" ht="11.25" customHeight="1" x14ac:dyDescent="0.25">
      <c r="D183" s="1092">
        <v>0</v>
      </c>
      <c r="E183" s="1093">
        <v>0</v>
      </c>
      <c r="F183" s="1093">
        <v>0</v>
      </c>
      <c r="G183" s="1093">
        <v>0</v>
      </c>
      <c r="H183" s="1093">
        <v>0</v>
      </c>
      <c r="I183" s="1157">
        <v>0</v>
      </c>
      <c r="J183" s="563">
        <v>0</v>
      </c>
      <c r="K183" s="564">
        <v>0</v>
      </c>
      <c r="L183" s="529">
        <v>0</v>
      </c>
      <c r="M183" s="1022" t="s">
        <v>701</v>
      </c>
      <c r="N183" s="564">
        <v>0</v>
      </c>
      <c r="O183" s="565">
        <v>0</v>
      </c>
      <c r="P183" s="565">
        <v>0</v>
      </c>
      <c r="Q183" s="853">
        <v>0</v>
      </c>
      <c r="R183" s="529">
        <v>0</v>
      </c>
      <c r="S183" s="529">
        <v>0</v>
      </c>
      <c r="T183" s="1026" t="s">
        <v>701</v>
      </c>
      <c r="U183" s="1026" t="s">
        <v>701</v>
      </c>
      <c r="V183" s="529">
        <v>0</v>
      </c>
      <c r="W183" s="1011" t="s">
        <v>701</v>
      </c>
      <c r="X183" s="1102"/>
      <c r="Y183" s="1103"/>
      <c r="Z183" s="1099"/>
      <c r="AA183" s="1100">
        <v>0</v>
      </c>
      <c r="AB183" s="1161"/>
      <c r="AC183" s="1161"/>
      <c r="AD183" s="1161"/>
      <c r="AE183" s="1163"/>
      <c r="AF183" s="1165"/>
      <c r="AG183" s="1041" t="s">
        <v>596</v>
      </c>
      <c r="AH183" s="905">
        <v>1</v>
      </c>
      <c r="AI183" s="49">
        <f t="shared" si="221"/>
        <v>0</v>
      </c>
      <c r="AJ183" s="907">
        <f>AH183*WkB_1_2.3a!$N$335+AI183*WkB_1_2.3a!$O$345</f>
        <v>1.0506187499999999</v>
      </c>
    </row>
    <row r="184" spans="4:36" ht="11.25" customHeight="1" x14ac:dyDescent="0.25">
      <c r="D184" s="1092">
        <v>0</v>
      </c>
      <c r="E184" s="1093">
        <v>0</v>
      </c>
      <c r="F184" s="1093">
        <v>0</v>
      </c>
      <c r="G184" s="1093">
        <v>0</v>
      </c>
      <c r="H184" s="1093">
        <v>0</v>
      </c>
      <c r="I184" s="1157">
        <v>0</v>
      </c>
      <c r="J184" s="563">
        <v>0</v>
      </c>
      <c r="K184" s="564">
        <v>0</v>
      </c>
      <c r="L184" s="529">
        <v>0</v>
      </c>
      <c r="M184" s="1022" t="s">
        <v>701</v>
      </c>
      <c r="N184" s="529">
        <v>0</v>
      </c>
      <c r="O184" s="565">
        <v>0</v>
      </c>
      <c r="P184" s="565">
        <v>0</v>
      </c>
      <c r="Q184" s="529">
        <v>0</v>
      </c>
      <c r="R184" s="529">
        <v>0</v>
      </c>
      <c r="S184" s="529">
        <v>0</v>
      </c>
      <c r="T184" s="1026" t="s">
        <v>701</v>
      </c>
      <c r="U184" s="1026" t="s">
        <v>701</v>
      </c>
      <c r="V184" s="529">
        <v>0</v>
      </c>
      <c r="W184" s="1011" t="s">
        <v>701</v>
      </c>
      <c r="X184" s="1102"/>
      <c r="Y184" s="1103"/>
      <c r="Z184" s="1099"/>
      <c r="AA184" s="1100">
        <v>0</v>
      </c>
      <c r="AB184" s="1161"/>
      <c r="AC184" s="1161"/>
      <c r="AD184" s="1161"/>
      <c r="AE184" s="1163"/>
      <c r="AF184" s="1165"/>
      <c r="AG184" s="1041" t="s">
        <v>596</v>
      </c>
      <c r="AH184" s="905">
        <v>1</v>
      </c>
      <c r="AI184" s="49">
        <f t="shared" si="221"/>
        <v>0</v>
      </c>
      <c r="AJ184" s="907">
        <f>AH184*WkB_1_2.3a!$N$335+AI184*WkB_1_2.3a!$O$345</f>
        <v>1.0506187499999999</v>
      </c>
    </row>
    <row r="185" spans="4:36" ht="11.25" customHeight="1" x14ac:dyDescent="0.25">
      <c r="D185" s="1092">
        <v>0</v>
      </c>
      <c r="E185" s="1093">
        <v>0</v>
      </c>
      <c r="F185" s="1093">
        <v>0</v>
      </c>
      <c r="G185" s="1093">
        <v>0</v>
      </c>
      <c r="H185" s="1093">
        <v>0</v>
      </c>
      <c r="I185" s="1157">
        <v>0</v>
      </c>
      <c r="J185" s="563">
        <v>0</v>
      </c>
      <c r="K185" s="564">
        <v>0</v>
      </c>
      <c r="L185" s="529">
        <v>0</v>
      </c>
      <c r="M185" s="1022" t="s">
        <v>701</v>
      </c>
      <c r="N185" s="529">
        <v>0</v>
      </c>
      <c r="O185" s="565">
        <v>0</v>
      </c>
      <c r="P185" s="565">
        <v>0</v>
      </c>
      <c r="Q185" s="529">
        <v>0</v>
      </c>
      <c r="R185" s="529">
        <v>0</v>
      </c>
      <c r="S185" s="529">
        <v>0</v>
      </c>
      <c r="T185" s="1026" t="s">
        <v>701</v>
      </c>
      <c r="U185" s="1026" t="s">
        <v>701</v>
      </c>
      <c r="V185" s="529">
        <v>0</v>
      </c>
      <c r="W185" s="1011" t="s">
        <v>701</v>
      </c>
      <c r="X185" s="1102"/>
      <c r="Y185" s="1103"/>
      <c r="Z185" s="1099"/>
      <c r="AA185" s="1100">
        <v>0</v>
      </c>
      <c r="AB185" s="1161"/>
      <c r="AC185" s="1161"/>
      <c r="AD185" s="1161"/>
      <c r="AE185" s="1163"/>
      <c r="AF185" s="1165"/>
      <c r="AG185" s="1041" t="s">
        <v>596</v>
      </c>
      <c r="AH185" s="905">
        <v>1</v>
      </c>
      <c r="AI185" s="49">
        <f t="shared" si="221"/>
        <v>0</v>
      </c>
      <c r="AJ185" s="907">
        <f>AH185*WkB_1_2.3a!$N$335+AI185*WkB_1_2.3a!$O$345</f>
        <v>1.0506187499999999</v>
      </c>
    </row>
    <row r="186" spans="4:36" ht="11.25" customHeight="1" x14ac:dyDescent="0.25">
      <c r="D186" s="1092">
        <v>0</v>
      </c>
      <c r="E186" s="1093">
        <v>0</v>
      </c>
      <c r="F186" s="1093">
        <v>0</v>
      </c>
      <c r="G186" s="1093">
        <v>0</v>
      </c>
      <c r="H186" s="1093">
        <v>0</v>
      </c>
      <c r="I186" s="1157">
        <v>0</v>
      </c>
      <c r="J186" s="563">
        <v>0</v>
      </c>
      <c r="K186" s="564">
        <v>0</v>
      </c>
      <c r="L186" s="529">
        <v>0</v>
      </c>
      <c r="M186" s="1022" t="s">
        <v>701</v>
      </c>
      <c r="N186" s="529">
        <v>0</v>
      </c>
      <c r="O186" s="565">
        <v>0</v>
      </c>
      <c r="P186" s="565">
        <v>0</v>
      </c>
      <c r="Q186" s="529">
        <v>0</v>
      </c>
      <c r="R186" s="529">
        <v>0</v>
      </c>
      <c r="S186" s="529">
        <v>0</v>
      </c>
      <c r="T186" s="1026" t="s">
        <v>701</v>
      </c>
      <c r="U186" s="1026" t="s">
        <v>701</v>
      </c>
      <c r="V186" s="529">
        <v>0</v>
      </c>
      <c r="W186" s="1011" t="s">
        <v>701</v>
      </c>
      <c r="X186" s="1102"/>
      <c r="Y186" s="1103"/>
      <c r="Z186" s="1099"/>
      <c r="AA186" s="1100">
        <v>0</v>
      </c>
      <c r="AB186" s="1161"/>
      <c r="AC186" s="1161"/>
      <c r="AD186" s="1161"/>
      <c r="AE186" s="1163"/>
      <c r="AF186" s="1165"/>
      <c r="AG186" s="1041" t="s">
        <v>596</v>
      </c>
      <c r="AH186" s="905">
        <v>1</v>
      </c>
      <c r="AI186" s="49">
        <f t="shared" si="221"/>
        <v>0</v>
      </c>
      <c r="AJ186" s="907">
        <f>AH186*WkB_1_2.3a!$N$335+AI186*WkB_1_2.3a!$O$345</f>
        <v>1.0506187499999999</v>
      </c>
    </row>
    <row r="187" spans="4:36" ht="11.25" customHeight="1" x14ac:dyDescent="0.25">
      <c r="D187" s="1092">
        <v>0</v>
      </c>
      <c r="E187" s="1155">
        <v>0</v>
      </c>
      <c r="F187" s="1155">
        <v>0</v>
      </c>
      <c r="G187" s="1155">
        <v>0</v>
      </c>
      <c r="H187" s="1155">
        <v>0</v>
      </c>
      <c r="I187" s="1158">
        <v>0</v>
      </c>
      <c r="J187" s="566">
        <v>0</v>
      </c>
      <c r="K187" s="567">
        <v>0</v>
      </c>
      <c r="L187" s="568">
        <v>0</v>
      </c>
      <c r="M187" s="1023" t="s">
        <v>701</v>
      </c>
      <c r="N187" s="568">
        <v>0</v>
      </c>
      <c r="O187" s="569">
        <v>0</v>
      </c>
      <c r="P187" s="569">
        <v>0</v>
      </c>
      <c r="Q187" s="568">
        <v>0</v>
      </c>
      <c r="R187" s="568">
        <v>0</v>
      </c>
      <c r="S187" s="568">
        <v>0</v>
      </c>
      <c r="T187" s="1027" t="s">
        <v>701</v>
      </c>
      <c r="U187" s="1027" t="s">
        <v>701</v>
      </c>
      <c r="V187" s="568">
        <v>0</v>
      </c>
      <c r="W187" s="1028" t="s">
        <v>701</v>
      </c>
      <c r="X187" s="1102"/>
      <c r="Y187" s="1103"/>
      <c r="Z187" s="1099"/>
      <c r="AA187" s="1100">
        <v>0</v>
      </c>
      <c r="AB187" s="1161"/>
      <c r="AC187" s="1161"/>
      <c r="AD187" s="1161"/>
      <c r="AE187" s="1163"/>
      <c r="AF187" s="1165"/>
      <c r="AG187" s="1044" t="s">
        <v>596</v>
      </c>
      <c r="AH187" s="905">
        <v>1</v>
      </c>
      <c r="AI187" s="49">
        <f t="shared" si="221"/>
        <v>0</v>
      </c>
      <c r="AJ187" s="907">
        <f>AH187*WkB_1_2.3a!$N$335+AI187*WkB_1_2.3a!$O$345</f>
        <v>1.0506187499999999</v>
      </c>
    </row>
    <row r="188" spans="4:36" ht="11.25" customHeight="1" thickBot="1" x14ac:dyDescent="0.3">
      <c r="D188" s="532" t="s">
        <v>418</v>
      </c>
      <c r="E188" s="570"/>
      <c r="F188" s="571"/>
      <c r="G188" s="571"/>
      <c r="H188" s="571"/>
      <c r="I188" s="572"/>
      <c r="J188" s="573"/>
      <c r="K188" s="574">
        <f>SUM(K181:K187)</f>
        <v>0</v>
      </c>
      <c r="L188" s="574">
        <f t="shared" ref="L188" si="224">SUM(L181:L187)</f>
        <v>0</v>
      </c>
      <c r="M188" s="1024" t="s">
        <v>701</v>
      </c>
      <c r="N188" s="575"/>
      <c r="O188" s="576"/>
      <c r="P188" s="576"/>
      <c r="Q188" s="576"/>
      <c r="R188" s="576"/>
      <c r="S188" s="574">
        <f t="shared" ref="S188:V188" si="225">SUM(S181:S187)</f>
        <v>0</v>
      </c>
      <c r="T188" s="1024" t="s">
        <v>701</v>
      </c>
      <c r="U188" s="1012" t="s">
        <v>701</v>
      </c>
      <c r="V188" s="539">
        <f t="shared" si="225"/>
        <v>27349.273423755847</v>
      </c>
      <c r="W188" s="1024" t="s">
        <v>701</v>
      </c>
      <c r="X188" s="1024" t="s">
        <v>701</v>
      </c>
      <c r="Y188" s="1024" t="s">
        <v>701</v>
      </c>
      <c r="Z188" s="1024" t="s">
        <v>701</v>
      </c>
      <c r="AA188" s="577"/>
      <c r="AB188" s="1030" t="s">
        <v>701</v>
      </c>
      <c r="AC188" s="1030" t="s">
        <v>701</v>
      </c>
      <c r="AD188" s="1030" t="s">
        <v>701</v>
      </c>
      <c r="AE188" s="1030" t="s">
        <v>701</v>
      </c>
      <c r="AF188" s="1030" t="s">
        <v>701</v>
      </c>
      <c r="AG188" s="1045" t="s">
        <v>596</v>
      </c>
      <c r="AH188" s="905">
        <v>1</v>
      </c>
      <c r="AI188" s="49">
        <f t="shared" si="221"/>
        <v>0</v>
      </c>
      <c r="AJ188" s="907">
        <f>AH188*WkB_1_2.3a!$N$335+AI188*WkB_1_2.3a!$O$345</f>
        <v>1.0506187499999999</v>
      </c>
    </row>
    <row r="189" spans="4:36" ht="11.25" customHeight="1" thickBot="1" x14ac:dyDescent="0.3">
      <c r="D189" s="578"/>
      <c r="E189" s="1169" t="s">
        <v>777</v>
      </c>
      <c r="F189" s="1170"/>
      <c r="G189" s="1170"/>
      <c r="H189" s="1170"/>
      <c r="I189" s="1171"/>
      <c r="J189" s="579"/>
      <c r="K189" s="580"/>
      <c r="L189" s="581"/>
      <c r="M189" s="949"/>
      <c r="N189" s="581"/>
      <c r="O189" s="581"/>
      <c r="P189" s="581"/>
      <c r="Q189" s="581"/>
      <c r="R189" s="581"/>
      <c r="S189" s="581"/>
      <c r="T189" s="951"/>
      <c r="U189" s="951"/>
      <c r="V189" s="581"/>
      <c r="W189" s="951"/>
      <c r="X189" s="951"/>
      <c r="Y189" s="951"/>
      <c r="Z189" s="1029" t="s">
        <v>701</v>
      </c>
      <c r="AA189" s="1046" t="s">
        <v>810</v>
      </c>
      <c r="AB189" s="951"/>
      <c r="AC189" s="951"/>
      <c r="AD189" s="951"/>
      <c r="AE189" s="1031" t="s">
        <v>701</v>
      </c>
      <c r="AF189" s="1032" t="s">
        <v>701</v>
      </c>
      <c r="AG189" s="1045" t="s">
        <v>596</v>
      </c>
      <c r="AH189" s="905">
        <v>1</v>
      </c>
      <c r="AI189" s="49">
        <f t="shared" si="221"/>
        <v>0</v>
      </c>
      <c r="AJ189" s="907">
        <f>AH189*WkB_1_2.3a!$N$335+AI189*WkB_1_2.3a!$O$345</f>
        <v>1.0506187499999999</v>
      </c>
    </row>
    <row r="190" spans="4:36" ht="11.25" customHeight="1" x14ac:dyDescent="0.2">
      <c r="M190" s="941"/>
      <c r="T190" s="941"/>
      <c r="U190" s="941"/>
      <c r="W190" s="941"/>
      <c r="X190" s="941"/>
      <c r="Y190" s="941"/>
      <c r="Z190" s="941"/>
      <c r="AB190" s="941"/>
      <c r="AC190" s="941"/>
      <c r="AD190" s="941"/>
      <c r="AE190" s="941"/>
      <c r="AF190" s="941"/>
    </row>
    <row r="191" spans="4:36" ht="11.25" customHeight="1" x14ac:dyDescent="0.2">
      <c r="D191" s="6" t="s">
        <v>179</v>
      </c>
      <c r="M191" s="942" t="s">
        <v>701</v>
      </c>
      <c r="T191" s="942" t="s">
        <v>701</v>
      </c>
      <c r="U191" s="942" t="s">
        <v>701</v>
      </c>
      <c r="W191" s="942" t="s">
        <v>701</v>
      </c>
      <c r="X191" s="942" t="s">
        <v>701</v>
      </c>
      <c r="Y191" s="942" t="s">
        <v>701</v>
      </c>
      <c r="Z191" s="942" t="s">
        <v>701</v>
      </c>
      <c r="AB191" s="942" t="s">
        <v>701</v>
      </c>
      <c r="AC191" s="942" t="s">
        <v>701</v>
      </c>
      <c r="AD191" s="942" t="s">
        <v>701</v>
      </c>
      <c r="AE191" s="942" t="s">
        <v>701</v>
      </c>
      <c r="AF191" s="942" t="s">
        <v>701</v>
      </c>
      <c r="AG191" s="144">
        <f>SUM(Z191,AB191:AF191)</f>
        <v>0</v>
      </c>
    </row>
    <row r="192" spans="4:36" ht="11.25" customHeight="1" x14ac:dyDescent="0.2">
      <c r="D192" s="6" t="s">
        <v>564</v>
      </c>
      <c r="M192" s="943" t="s">
        <v>701</v>
      </c>
      <c r="T192" s="943" t="s">
        <v>701</v>
      </c>
      <c r="U192" s="943" t="s">
        <v>701</v>
      </c>
      <c r="W192" s="943" t="s">
        <v>701</v>
      </c>
      <c r="X192" s="943" t="s">
        <v>701</v>
      </c>
      <c r="Y192" s="943" t="s">
        <v>701</v>
      </c>
      <c r="Z192" s="943" t="s">
        <v>701</v>
      </c>
      <c r="AB192" s="943" t="s">
        <v>701</v>
      </c>
      <c r="AC192" s="943" t="s">
        <v>701</v>
      </c>
      <c r="AD192" s="943" t="s">
        <v>701</v>
      </c>
      <c r="AE192" s="943" t="s">
        <v>701</v>
      </c>
      <c r="AF192" s="943" t="s">
        <v>701</v>
      </c>
      <c r="AG192" s="144">
        <v>1493385271.6225414</v>
      </c>
    </row>
    <row r="193" spans="1:33" ht="11.25" customHeight="1" x14ac:dyDescent="0.2">
      <c r="A193" s="42">
        <f>IF(SUM($E193:$AG193)&gt;0,1,0)</f>
        <v>0</v>
      </c>
      <c r="D193" s="6" t="s">
        <v>569</v>
      </c>
      <c r="M193" s="739">
        <v>0</v>
      </c>
      <c r="T193" s="739">
        <v>0</v>
      </c>
      <c r="U193" s="739">
        <v>0</v>
      </c>
      <c r="W193" s="739">
        <v>0</v>
      </c>
      <c r="X193" s="739">
        <v>0</v>
      </c>
      <c r="Y193" s="739">
        <v>0</v>
      </c>
      <c r="Z193" s="739">
        <v>0</v>
      </c>
      <c r="AB193" s="739">
        <v>0</v>
      </c>
      <c r="AC193" s="739">
        <v>0</v>
      </c>
      <c r="AD193" s="739">
        <v>0</v>
      </c>
      <c r="AE193" s="739">
        <v>0</v>
      </c>
      <c r="AF193" s="739">
        <v>0</v>
      </c>
      <c r="AG193" s="739">
        <v>0</v>
      </c>
    </row>
    <row r="194" spans="1:33" ht="11.25" customHeight="1" x14ac:dyDescent="0.2"/>
    <row r="195" spans="1:33" s="47" customFormat="1" ht="15.75" x14ac:dyDescent="0.2">
      <c r="B195" s="47" t="s">
        <v>32</v>
      </c>
    </row>
  </sheetData>
  <mergeCells count="366">
    <mergeCell ref="D105:I105"/>
    <mergeCell ref="J105:W105"/>
    <mergeCell ref="X105:Y105"/>
    <mergeCell ref="Z105:Z108"/>
    <mergeCell ref="AA105:AA108"/>
    <mergeCell ref="AB105:AC105"/>
    <mergeCell ref="U106:U108"/>
    <mergeCell ref="V106:W107"/>
    <mergeCell ref="X106:X107"/>
    <mergeCell ref="Y106:Y107"/>
    <mergeCell ref="AB106:AB107"/>
    <mergeCell ref="AC106:AC107"/>
    <mergeCell ref="AE106:AE107"/>
    <mergeCell ref="AF106:AF107"/>
    <mergeCell ref="N107:N108"/>
    <mergeCell ref="O107:P107"/>
    <mergeCell ref="Q107:R107"/>
    <mergeCell ref="S107:S108"/>
    <mergeCell ref="T107:T108"/>
    <mergeCell ref="X108:Y108"/>
    <mergeCell ref="AD105:AD107"/>
    <mergeCell ref="AE105:AF105"/>
    <mergeCell ref="N106:T106"/>
    <mergeCell ref="AB108:AD108"/>
    <mergeCell ref="AE108:AF108"/>
    <mergeCell ref="F109:F115"/>
    <mergeCell ref="G109:G115"/>
    <mergeCell ref="H109:H115"/>
    <mergeCell ref="I109:I115"/>
    <mergeCell ref="X109:X115"/>
    <mergeCell ref="Y109:Y115"/>
    <mergeCell ref="D106:D108"/>
    <mergeCell ref="E106:E108"/>
    <mergeCell ref="F106:F108"/>
    <mergeCell ref="G106:G108"/>
    <mergeCell ref="H106:H108"/>
    <mergeCell ref="I106:I107"/>
    <mergeCell ref="J106:M107"/>
    <mergeCell ref="AA117:AA123"/>
    <mergeCell ref="AB117:AB123"/>
    <mergeCell ref="AC117:AC123"/>
    <mergeCell ref="AD117:AD123"/>
    <mergeCell ref="AE117:AE123"/>
    <mergeCell ref="AF117:AF123"/>
    <mergeCell ref="AF109:AF115"/>
    <mergeCell ref="D117:D123"/>
    <mergeCell ref="E117:E123"/>
    <mergeCell ref="F117:F123"/>
    <mergeCell ref="G117:G123"/>
    <mergeCell ref="H117:H123"/>
    <mergeCell ref="I117:I123"/>
    <mergeCell ref="X117:X123"/>
    <mergeCell ref="Y117:Y123"/>
    <mergeCell ref="Z117:Z123"/>
    <mergeCell ref="Z109:Z115"/>
    <mergeCell ref="AA109:AA115"/>
    <mergeCell ref="AB109:AB115"/>
    <mergeCell ref="AC109:AC115"/>
    <mergeCell ref="AD109:AD115"/>
    <mergeCell ref="AE109:AE115"/>
    <mergeCell ref="D109:D115"/>
    <mergeCell ref="E109:E115"/>
    <mergeCell ref="AD125:AD131"/>
    <mergeCell ref="AE125:AE131"/>
    <mergeCell ref="AF125:AF131"/>
    <mergeCell ref="D133:D139"/>
    <mergeCell ref="E133:E139"/>
    <mergeCell ref="F133:F139"/>
    <mergeCell ref="G133:G139"/>
    <mergeCell ref="H133:H139"/>
    <mergeCell ref="I133:I139"/>
    <mergeCell ref="X133:X139"/>
    <mergeCell ref="X125:X131"/>
    <mergeCell ref="Y125:Y131"/>
    <mergeCell ref="Z125:Z131"/>
    <mergeCell ref="AA125:AA131"/>
    <mergeCell ref="AB125:AB131"/>
    <mergeCell ref="AC125:AC131"/>
    <mergeCell ref="D125:D131"/>
    <mergeCell ref="E125:E131"/>
    <mergeCell ref="F125:F131"/>
    <mergeCell ref="G125:G131"/>
    <mergeCell ref="H125:H131"/>
    <mergeCell ref="I125:I131"/>
    <mergeCell ref="AE133:AE139"/>
    <mergeCell ref="AF133:AF139"/>
    <mergeCell ref="D141:D147"/>
    <mergeCell ref="E141:E147"/>
    <mergeCell ref="F141:F147"/>
    <mergeCell ref="G141:G147"/>
    <mergeCell ref="H141:H147"/>
    <mergeCell ref="I141:I147"/>
    <mergeCell ref="X141:X147"/>
    <mergeCell ref="Y141:Y147"/>
    <mergeCell ref="Y133:Y139"/>
    <mergeCell ref="Z133:Z139"/>
    <mergeCell ref="AA133:AA139"/>
    <mergeCell ref="AB133:AB139"/>
    <mergeCell ref="AC133:AC139"/>
    <mergeCell ref="AD133:AD139"/>
    <mergeCell ref="AD149:AD155"/>
    <mergeCell ref="AE149:AE155"/>
    <mergeCell ref="AF149:AF155"/>
    <mergeCell ref="AF141:AF147"/>
    <mergeCell ref="Z141:Z147"/>
    <mergeCell ref="AA141:AA147"/>
    <mergeCell ref="AB141:AB147"/>
    <mergeCell ref="AC141:AC147"/>
    <mergeCell ref="AD141:AD147"/>
    <mergeCell ref="AE141:AE147"/>
    <mergeCell ref="D157:D163"/>
    <mergeCell ref="E157:E163"/>
    <mergeCell ref="F157:F163"/>
    <mergeCell ref="G157:G163"/>
    <mergeCell ref="H157:H163"/>
    <mergeCell ref="I157:I163"/>
    <mergeCell ref="AA149:AA155"/>
    <mergeCell ref="AB149:AB155"/>
    <mergeCell ref="AC149:AC155"/>
    <mergeCell ref="D149:D155"/>
    <mergeCell ref="E149:E155"/>
    <mergeCell ref="F149:F155"/>
    <mergeCell ref="G149:G155"/>
    <mergeCell ref="H149:H155"/>
    <mergeCell ref="I149:I155"/>
    <mergeCell ref="X149:X155"/>
    <mergeCell ref="Y149:Y155"/>
    <mergeCell ref="Z149:Z155"/>
    <mergeCell ref="AD157:AD163"/>
    <mergeCell ref="AE157:AE163"/>
    <mergeCell ref="AF157:AF163"/>
    <mergeCell ref="E189:I189"/>
    <mergeCell ref="X157:X163"/>
    <mergeCell ref="Y157:Y163"/>
    <mergeCell ref="Z157:Z163"/>
    <mergeCell ref="AA157:AA163"/>
    <mergeCell ref="AB157:AB163"/>
    <mergeCell ref="AC157:AC163"/>
    <mergeCell ref="AA165:AA171"/>
    <mergeCell ref="AB165:AB171"/>
    <mergeCell ref="AC165:AC171"/>
    <mergeCell ref="AD165:AD171"/>
    <mergeCell ref="AE165:AE171"/>
    <mergeCell ref="AF165:AF171"/>
    <mergeCell ref="AA173:AA179"/>
    <mergeCell ref="AB173:AB179"/>
    <mergeCell ref="AC173:AC179"/>
    <mergeCell ref="AD173:AD179"/>
    <mergeCell ref="AE173:AE179"/>
    <mergeCell ref="AF173:AF179"/>
    <mergeCell ref="AA181:AA187"/>
    <mergeCell ref="AB181:AB187"/>
    <mergeCell ref="D10:I10"/>
    <mergeCell ref="J10:W10"/>
    <mergeCell ref="X10:Y10"/>
    <mergeCell ref="Z10:Z13"/>
    <mergeCell ref="AA10:AA13"/>
    <mergeCell ref="AB10:AC10"/>
    <mergeCell ref="AD10:AD12"/>
    <mergeCell ref="AE10:AF10"/>
    <mergeCell ref="D11:D13"/>
    <mergeCell ref="E11:E13"/>
    <mergeCell ref="F11:F13"/>
    <mergeCell ref="G11:G13"/>
    <mergeCell ref="H11:H13"/>
    <mergeCell ref="I11:I12"/>
    <mergeCell ref="J11:M12"/>
    <mergeCell ref="N11:T11"/>
    <mergeCell ref="U11:U13"/>
    <mergeCell ref="V11:W12"/>
    <mergeCell ref="X11:X12"/>
    <mergeCell ref="Y11:Y12"/>
    <mergeCell ref="AB11:AB12"/>
    <mergeCell ref="AC11:AC12"/>
    <mergeCell ref="AE11:AE12"/>
    <mergeCell ref="AF11:AF12"/>
    <mergeCell ref="N12:N13"/>
    <mergeCell ref="O12:P12"/>
    <mergeCell ref="Q12:R12"/>
    <mergeCell ref="S12:S13"/>
    <mergeCell ref="T12:T13"/>
    <mergeCell ref="X13:Y13"/>
    <mergeCell ref="AB13:AD13"/>
    <mergeCell ref="AE13:AF13"/>
    <mergeCell ref="D14:D20"/>
    <mergeCell ref="E14:E20"/>
    <mergeCell ref="F14:F20"/>
    <mergeCell ref="G14:G20"/>
    <mergeCell ref="H14:H20"/>
    <mergeCell ref="I14:I20"/>
    <mergeCell ref="X14:X20"/>
    <mergeCell ref="Y14:Y20"/>
    <mergeCell ref="Z14:Z20"/>
    <mergeCell ref="AA14:AA20"/>
    <mergeCell ref="AB14:AB20"/>
    <mergeCell ref="AC14:AC20"/>
    <mergeCell ref="AD14:AD20"/>
    <mergeCell ref="AE14:AE20"/>
    <mergeCell ref="AF14:AF20"/>
    <mergeCell ref="AD22:AD28"/>
    <mergeCell ref="AE22:AE28"/>
    <mergeCell ref="AF22:AF28"/>
    <mergeCell ref="D30:D36"/>
    <mergeCell ref="E30:E36"/>
    <mergeCell ref="F30:F36"/>
    <mergeCell ref="G30:G36"/>
    <mergeCell ref="H30:H36"/>
    <mergeCell ref="I30:I36"/>
    <mergeCell ref="X30:X36"/>
    <mergeCell ref="Y30:Y36"/>
    <mergeCell ref="Z30:Z36"/>
    <mergeCell ref="AA30:AA36"/>
    <mergeCell ref="AB30:AB36"/>
    <mergeCell ref="AC30:AC36"/>
    <mergeCell ref="AD30:AD36"/>
    <mergeCell ref="AE30:AE36"/>
    <mergeCell ref="AF30:AF36"/>
    <mergeCell ref="D22:D28"/>
    <mergeCell ref="E22:E28"/>
    <mergeCell ref="F22:F28"/>
    <mergeCell ref="G22:G28"/>
    <mergeCell ref="H22:H28"/>
    <mergeCell ref="I22:I28"/>
    <mergeCell ref="X38:X44"/>
    <mergeCell ref="Y38:Y44"/>
    <mergeCell ref="Z38:Z44"/>
    <mergeCell ref="AA22:AA28"/>
    <mergeCell ref="AB22:AB28"/>
    <mergeCell ref="AC22:AC28"/>
    <mergeCell ref="X22:X28"/>
    <mergeCell ref="Y22:Y28"/>
    <mergeCell ref="Z22:Z28"/>
    <mergeCell ref="AA38:AA44"/>
    <mergeCell ref="AB38:AB44"/>
    <mergeCell ref="AC38:AC44"/>
    <mergeCell ref="AD38:AD44"/>
    <mergeCell ref="AE38:AE44"/>
    <mergeCell ref="AF38:AF44"/>
    <mergeCell ref="D46:D52"/>
    <mergeCell ref="E46:E52"/>
    <mergeCell ref="F46:F52"/>
    <mergeCell ref="G46:G52"/>
    <mergeCell ref="H46:H52"/>
    <mergeCell ref="I46:I52"/>
    <mergeCell ref="X46:X52"/>
    <mergeCell ref="Y46:Y52"/>
    <mergeCell ref="Z46:Z52"/>
    <mergeCell ref="AA46:AA52"/>
    <mergeCell ref="AB46:AB52"/>
    <mergeCell ref="AC46:AC52"/>
    <mergeCell ref="AD46:AD52"/>
    <mergeCell ref="AE46:AE52"/>
    <mergeCell ref="AF46:AF52"/>
    <mergeCell ref="D38:D44"/>
    <mergeCell ref="E38:E44"/>
    <mergeCell ref="F38:F44"/>
    <mergeCell ref="G38:G44"/>
    <mergeCell ref="H38:H44"/>
    <mergeCell ref="I38:I44"/>
    <mergeCell ref="D54:D60"/>
    <mergeCell ref="E54:E60"/>
    <mergeCell ref="F54:F60"/>
    <mergeCell ref="G54:G60"/>
    <mergeCell ref="H54:H60"/>
    <mergeCell ref="I54:I60"/>
    <mergeCell ref="X54:X60"/>
    <mergeCell ref="Y54:Y60"/>
    <mergeCell ref="Z54:Z60"/>
    <mergeCell ref="D62:D68"/>
    <mergeCell ref="E62:E68"/>
    <mergeCell ref="F62:F68"/>
    <mergeCell ref="G62:G68"/>
    <mergeCell ref="H62:H68"/>
    <mergeCell ref="I62:I68"/>
    <mergeCell ref="X62:X68"/>
    <mergeCell ref="Y62:Y68"/>
    <mergeCell ref="Z62:Z68"/>
    <mergeCell ref="E94:I94"/>
    <mergeCell ref="AA54:AA60"/>
    <mergeCell ref="AB54:AB60"/>
    <mergeCell ref="AC54:AC60"/>
    <mergeCell ref="AD54:AD60"/>
    <mergeCell ref="AE54:AE60"/>
    <mergeCell ref="AF54:AF60"/>
    <mergeCell ref="AA62:AA68"/>
    <mergeCell ref="AB62:AB68"/>
    <mergeCell ref="AC62:AC68"/>
    <mergeCell ref="AD62:AD68"/>
    <mergeCell ref="AE62:AE68"/>
    <mergeCell ref="AF62:AF68"/>
    <mergeCell ref="G78:G84"/>
    <mergeCell ref="H78:H84"/>
    <mergeCell ref="I78:I84"/>
    <mergeCell ref="X78:X84"/>
    <mergeCell ref="Y78:Y84"/>
    <mergeCell ref="Z78:Z84"/>
    <mergeCell ref="AA78:AA84"/>
    <mergeCell ref="AB78:AB84"/>
    <mergeCell ref="AC78:AC84"/>
    <mergeCell ref="AF78:AF84"/>
    <mergeCell ref="AA86:AA92"/>
    <mergeCell ref="D165:D171"/>
    <mergeCell ref="E165:E171"/>
    <mergeCell ref="F165:F171"/>
    <mergeCell ref="G165:G171"/>
    <mergeCell ref="H165:H171"/>
    <mergeCell ref="I165:I171"/>
    <mergeCell ref="X165:X171"/>
    <mergeCell ref="Y165:Y171"/>
    <mergeCell ref="Z165:Z171"/>
    <mergeCell ref="D173:D179"/>
    <mergeCell ref="E173:E179"/>
    <mergeCell ref="F173:F179"/>
    <mergeCell ref="G173:G179"/>
    <mergeCell ref="H173:H179"/>
    <mergeCell ref="I173:I179"/>
    <mergeCell ref="X173:X179"/>
    <mergeCell ref="Y173:Y179"/>
    <mergeCell ref="Z173:Z179"/>
    <mergeCell ref="D181:D187"/>
    <mergeCell ref="E181:E187"/>
    <mergeCell ref="F181:F187"/>
    <mergeCell ref="G181:G187"/>
    <mergeCell ref="H181:H187"/>
    <mergeCell ref="I181:I187"/>
    <mergeCell ref="X181:X187"/>
    <mergeCell ref="Y181:Y187"/>
    <mergeCell ref="Z181:Z187"/>
    <mergeCell ref="AC181:AC187"/>
    <mergeCell ref="AD181:AD187"/>
    <mergeCell ref="AE181:AE187"/>
    <mergeCell ref="AF181:AF187"/>
    <mergeCell ref="D70:D76"/>
    <mergeCell ref="E70:E76"/>
    <mergeCell ref="F70:F76"/>
    <mergeCell ref="G70:G76"/>
    <mergeCell ref="H70:H76"/>
    <mergeCell ref="I70:I76"/>
    <mergeCell ref="X70:X76"/>
    <mergeCell ref="Y70:Y76"/>
    <mergeCell ref="Z70:Z76"/>
    <mergeCell ref="AA70:AA76"/>
    <mergeCell ref="AB70:AB76"/>
    <mergeCell ref="AC70:AC76"/>
    <mergeCell ref="AD70:AD76"/>
    <mergeCell ref="AE70:AE76"/>
    <mergeCell ref="AF70:AF76"/>
    <mergeCell ref="D78:D84"/>
    <mergeCell ref="E78:E84"/>
    <mergeCell ref="F78:F84"/>
    <mergeCell ref="AD78:AD84"/>
    <mergeCell ref="AE78:AE84"/>
    <mergeCell ref="AB86:AB92"/>
    <mergeCell ref="AC86:AC92"/>
    <mergeCell ref="AD86:AD92"/>
    <mergeCell ref="AE86:AE92"/>
    <mergeCell ref="AF86:AF92"/>
    <mergeCell ref="D86:D92"/>
    <mergeCell ref="E86:E92"/>
    <mergeCell ref="F86:F92"/>
    <mergeCell ref="G86:G92"/>
    <mergeCell ref="H86:H92"/>
    <mergeCell ref="I86:I92"/>
    <mergeCell ref="X86:X92"/>
    <mergeCell ref="Y86:Y92"/>
    <mergeCell ref="Z86:Z92"/>
  </mergeCells>
  <conditionalFormatting sqref="B2">
    <cfRule type="cellIs" dxfId="126" priority="1" operator="notEqual">
      <formula>"No Errors Found"</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32"/>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58.33203125" style="46" customWidth="1"/>
    <col min="5" max="11" width="15.6640625" style="46" customWidth="1"/>
    <col min="12" max="12" width="12.33203125" style="46" customWidth="1"/>
    <col min="13" max="13" width="16" style="46" customWidth="1"/>
    <col min="14" max="31" width="10.6640625" style="46" customWidth="1"/>
    <col min="32" max="16384" width="9.33203125" style="46"/>
  </cols>
  <sheetData>
    <row r="1" spans="1:13" ht="19.5" x14ac:dyDescent="0.2">
      <c r="A1" s="42">
        <f>IF(SUM($A2:$A32)&gt;0,1,0)</f>
        <v>0</v>
      </c>
      <c r="B1" s="3" t="s">
        <v>587</v>
      </c>
    </row>
    <row r="2" spans="1:13" x14ac:dyDescent="0.2">
      <c r="B2" s="9" t="str">
        <f>Title_Msg</f>
        <v>No Errors Found</v>
      </c>
    </row>
    <row r="3" spans="1:13" s="47" customFormat="1" ht="15.75" x14ac:dyDescent="0.2">
      <c r="B3" s="47" t="str">
        <f>WkB_1_2.1.1!$B$3</f>
        <v>Data required to populate TransGrid's 2023-28 regulatory submission</v>
      </c>
    </row>
    <row r="4" spans="1:13" ht="4.5" customHeight="1" x14ac:dyDescent="0.2"/>
    <row r="5" spans="1:13" s="7" customFormat="1" ht="15" x14ac:dyDescent="0.2">
      <c r="C5" s="7" t="str">
        <f>WkB_1_2.1.1!$C$5</f>
        <v>Output - RIN template</v>
      </c>
    </row>
    <row r="6" spans="1:13" ht="11.25" customHeight="1" x14ac:dyDescent="0.2"/>
    <row r="7" spans="1:13" ht="19.5" thickBot="1" x14ac:dyDescent="0.3">
      <c r="D7" s="51" t="str">
        <f>B1</f>
        <v>2.3.4 - Augex - Total Expenditure (as incurred)</v>
      </c>
      <c r="E7" s="52"/>
      <c r="F7" s="52"/>
      <c r="G7" s="52"/>
      <c r="H7" s="52"/>
      <c r="I7" s="52"/>
      <c r="J7" s="52"/>
      <c r="K7" s="52"/>
    </row>
    <row r="8" spans="1:13" ht="28.15" customHeight="1" thickBot="1" x14ac:dyDescent="0.25">
      <c r="D8"/>
      <c r="E8" s="1082" t="str">
        <f>WkB_1_2.1.1!$E$8</f>
        <v>Forecast 
($0's. real June 2023)</v>
      </c>
      <c r="F8" s="1083"/>
      <c r="G8" s="1083"/>
      <c r="H8" s="1083"/>
      <c r="I8" s="1083"/>
      <c r="J8" s="1083"/>
      <c r="K8" s="1084"/>
    </row>
    <row r="9" spans="1:13"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c r="L9" s="186" t="s">
        <v>225</v>
      </c>
      <c r="M9" s="186" t="s">
        <v>179</v>
      </c>
    </row>
    <row r="10" spans="1:13" ht="15" x14ac:dyDescent="0.25">
      <c r="D10" s="58" t="s">
        <v>184</v>
      </c>
      <c r="E10" s="59">
        <f>E23*Input_CPI!R$16</f>
        <v>230034861.97204465</v>
      </c>
      <c r="F10" s="60">
        <f>F23*Input_CPI!S$16</f>
        <v>280323410.97059655</v>
      </c>
      <c r="G10" s="59">
        <v>86950879.370175436</v>
      </c>
      <c r="H10" s="61">
        <v>46862232.959662929</v>
      </c>
      <c r="I10" s="61">
        <v>29471429.071944904</v>
      </c>
      <c r="J10" s="61">
        <v>22328633.259693235</v>
      </c>
      <c r="K10" s="60">
        <v>41380418.119469702</v>
      </c>
      <c r="L10" s="188">
        <f>IF(SUM($G$13:$K$13)=0,0,SUM(G10:K10)/SUM($G$13:$K$13))</f>
        <v>0.29207967149613306</v>
      </c>
      <c r="M10" s="864">
        <f>SUM(G10:K10)</f>
        <v>226993592.7809462</v>
      </c>
    </row>
    <row r="11" spans="1:13" ht="15" x14ac:dyDescent="0.25">
      <c r="D11" s="62" t="s">
        <v>185</v>
      </c>
      <c r="E11" s="63">
        <f>E24*Input_CPI!R$16</f>
        <v>299060285.04033726</v>
      </c>
      <c r="F11" s="64">
        <f>F24*Input_CPI!S$16</f>
        <v>475472531.11139864</v>
      </c>
      <c r="G11" s="63">
        <v>335049360.29496652</v>
      </c>
      <c r="H11" s="65">
        <v>10328151.017687181</v>
      </c>
      <c r="I11" s="65">
        <v>545875.31303018483</v>
      </c>
      <c r="J11" s="65">
        <v>1949396.8817046524</v>
      </c>
      <c r="K11" s="64">
        <v>8172943.5700992923</v>
      </c>
      <c r="L11" s="188">
        <f t="shared" ref="L11:L12" si="0">IF(SUM($G$13:$K$13)=0,0,SUM(G11:K11)/SUM($G$13:$K$13))</f>
        <v>0.45813504129497923</v>
      </c>
      <c r="M11" s="865">
        <f t="shared" ref="M11:M13" si="1">SUM(G11:K11)</f>
        <v>356045727.07748783</v>
      </c>
    </row>
    <row r="12" spans="1:13" ht="15.75" thickBot="1" x14ac:dyDescent="0.3">
      <c r="D12" s="62" t="s">
        <v>186</v>
      </c>
      <c r="E12" s="63">
        <f>E25*Input_CPI!R$16</f>
        <v>0</v>
      </c>
      <c r="F12" s="64">
        <f>F25*Input_CPI!S$16</f>
        <v>0</v>
      </c>
      <c r="G12" s="63">
        <v>78996655.085477874</v>
      </c>
      <c r="H12" s="65">
        <v>81077470.166775018</v>
      </c>
      <c r="I12" s="65">
        <v>7506174.5171839893</v>
      </c>
      <c r="J12" s="65">
        <v>9137618.4954787046</v>
      </c>
      <c r="K12" s="64">
        <v>17406032.494583208</v>
      </c>
      <c r="L12" s="188">
        <f t="shared" si="0"/>
        <v>0.2497852872088876</v>
      </c>
      <c r="M12" s="865">
        <f t="shared" si="1"/>
        <v>194123950.7594988</v>
      </c>
    </row>
    <row r="13" spans="1:13" ht="13.5" thickBot="1" x14ac:dyDescent="0.25">
      <c r="D13" s="66" t="s">
        <v>179</v>
      </c>
      <c r="E13" s="67">
        <f t="shared" ref="E13:K13" si="2">SUM(E10:E12)</f>
        <v>529095147.01238191</v>
      </c>
      <c r="F13" s="67">
        <f t="shared" si="2"/>
        <v>755795942.08199525</v>
      </c>
      <c r="G13" s="67">
        <f t="shared" si="2"/>
        <v>500996894.75061983</v>
      </c>
      <c r="H13" s="67">
        <f t="shared" si="2"/>
        <v>138267854.14412513</v>
      </c>
      <c r="I13" s="67">
        <f t="shared" si="2"/>
        <v>37523478.90215908</v>
      </c>
      <c r="J13" s="67">
        <f t="shared" si="2"/>
        <v>33415648.636876591</v>
      </c>
      <c r="K13" s="68">
        <f t="shared" si="2"/>
        <v>66959394.184152201</v>
      </c>
      <c r="L13" s="189">
        <f>SUM(L10:L12)</f>
        <v>0.99999999999999989</v>
      </c>
      <c r="M13" s="866">
        <f t="shared" si="1"/>
        <v>777163270.61793292</v>
      </c>
    </row>
    <row r="14" spans="1:13" ht="11.25" customHeight="1" x14ac:dyDescent="0.2"/>
    <row r="15" spans="1:13" ht="11.25" customHeight="1" x14ac:dyDescent="0.2">
      <c r="D15" s="6" t="s">
        <v>182</v>
      </c>
      <c r="E15" s="144">
        <f>WkB_1_2.1.1!E12</f>
        <v>529095147.01238191</v>
      </c>
      <c r="F15" s="145">
        <f>WkB_1_2.1.1!F12</f>
        <v>755795942.08199513</v>
      </c>
      <c r="G15" s="146">
        <f>WkB_1_2.1.1!G12</f>
        <v>500996894.75061977</v>
      </c>
      <c r="H15" s="144">
        <f>WkB_1_2.1.1!H12</f>
        <v>138267854.14412513</v>
      </c>
      <c r="I15" s="144">
        <f>WkB_1_2.1.1!I12</f>
        <v>37523478.90215908</v>
      </c>
      <c r="J15" s="144">
        <f>WkB_1_2.1.1!J12</f>
        <v>33415648.636876591</v>
      </c>
      <c r="K15" s="144">
        <f>WkB_1_2.1.1!K12</f>
        <v>66959394.184152201</v>
      </c>
    </row>
    <row r="16" spans="1:13" ht="11.25" customHeight="1" x14ac:dyDescent="0.2">
      <c r="A16" s="42">
        <f>IF(SUM($E16:$K16)&gt;0,1,0)</f>
        <v>0</v>
      </c>
      <c r="D16" s="6" t="s">
        <v>183</v>
      </c>
      <c r="E16" s="70">
        <f>IF(ROUND(E13-E15,3)&lt;&gt;0,1,0)</f>
        <v>0</v>
      </c>
      <c r="F16" s="70">
        <f t="shared" ref="F16:K16" si="3">IF(ROUND(F13-F15,3)&lt;&gt;0,1,0)</f>
        <v>0</v>
      </c>
      <c r="G16" s="70">
        <f t="shared" si="3"/>
        <v>0</v>
      </c>
      <c r="H16" s="70">
        <f t="shared" si="3"/>
        <v>0</v>
      </c>
      <c r="I16" s="70">
        <f t="shared" si="3"/>
        <v>0</v>
      </c>
      <c r="J16" s="70">
        <f t="shared" si="3"/>
        <v>0</v>
      </c>
      <c r="K16" s="70">
        <f t="shared" si="3"/>
        <v>0</v>
      </c>
    </row>
    <row r="17" spans="1:11" ht="11.25" customHeight="1" x14ac:dyDescent="0.2"/>
    <row r="18" spans="1:11" s="7" customFormat="1" ht="15" x14ac:dyDescent="0.2">
      <c r="C18" s="7" t="s">
        <v>379</v>
      </c>
    </row>
    <row r="19" spans="1:11" ht="11.25" customHeight="1" thickBot="1" x14ac:dyDescent="0.25"/>
    <row r="20" spans="1:11" ht="18.75" thickBot="1" x14ac:dyDescent="0.25">
      <c r="D20" s="582" t="s">
        <v>456</v>
      </c>
      <c r="E20" s="583"/>
      <c r="F20" s="583"/>
      <c r="G20" s="583"/>
      <c r="H20" s="583"/>
      <c r="I20" s="583"/>
      <c r="J20" s="583"/>
      <c r="K20" s="584"/>
    </row>
    <row r="21" spans="1:11" ht="32.65" customHeight="1" thickBot="1" x14ac:dyDescent="0.3">
      <c r="D21" s="585"/>
      <c r="E21" s="1213" t="s">
        <v>562</v>
      </c>
      <c r="F21" s="1214"/>
      <c r="G21" s="1214"/>
      <c r="H21" s="1214"/>
      <c r="I21" s="1214"/>
      <c r="J21" s="1214"/>
      <c r="K21" s="1215"/>
    </row>
    <row r="22" spans="1:11" ht="15.75" thickBot="1" x14ac:dyDescent="0.3">
      <c r="D22" s="857" t="s">
        <v>457</v>
      </c>
      <c r="E22" s="53" t="s">
        <v>167</v>
      </c>
      <c r="F22" s="54" t="s">
        <v>168</v>
      </c>
      <c r="G22" s="55" t="s">
        <v>169</v>
      </c>
      <c r="H22" s="56" t="s">
        <v>170</v>
      </c>
      <c r="I22" s="56" t="s">
        <v>171</v>
      </c>
      <c r="J22" s="56" t="s">
        <v>172</v>
      </c>
      <c r="K22" s="57" t="s">
        <v>181</v>
      </c>
    </row>
    <row r="23" spans="1:11" ht="15.75" x14ac:dyDescent="0.25">
      <c r="D23" s="854" t="s">
        <v>184</v>
      </c>
      <c r="E23" s="59">
        <v>221941964.96052155</v>
      </c>
      <c r="F23" s="60">
        <v>277222011.66886264</v>
      </c>
      <c r="G23" s="586"/>
      <c r="H23" s="586"/>
      <c r="I23" s="586"/>
      <c r="J23" s="586"/>
      <c r="K23" s="587"/>
    </row>
    <row r="24" spans="1:11" ht="15.75" x14ac:dyDescent="0.25">
      <c r="D24" s="855" t="s">
        <v>185</v>
      </c>
      <c r="E24" s="63">
        <v>288538992.45746642</v>
      </c>
      <c r="F24" s="64">
        <v>470212070.80636472</v>
      </c>
      <c r="G24" s="588"/>
      <c r="H24" s="588"/>
      <c r="I24" s="588"/>
      <c r="J24" s="588"/>
      <c r="K24" s="589"/>
    </row>
    <row r="25" spans="1:11" ht="16.5" thickBot="1" x14ac:dyDescent="0.3">
      <c r="D25" s="855" t="s">
        <v>186</v>
      </c>
      <c r="E25" s="63">
        <v>0</v>
      </c>
      <c r="F25" s="64">
        <v>0</v>
      </c>
      <c r="G25" s="590"/>
      <c r="H25" s="590"/>
      <c r="I25" s="590"/>
      <c r="J25" s="590"/>
      <c r="K25" s="591"/>
    </row>
    <row r="26" spans="1:11" ht="13.5" thickBot="1" x14ac:dyDescent="0.25">
      <c r="D26" s="856" t="s">
        <v>363</v>
      </c>
      <c r="E26" s="67">
        <f t="shared" ref="E26:K26" si="4">SUM(E23:E25)</f>
        <v>510480957.41798794</v>
      </c>
      <c r="F26" s="67">
        <f t="shared" si="4"/>
        <v>747434082.47522736</v>
      </c>
      <c r="G26" s="592">
        <f t="shared" si="4"/>
        <v>0</v>
      </c>
      <c r="H26" s="592">
        <f t="shared" si="4"/>
        <v>0</v>
      </c>
      <c r="I26" s="592">
        <f t="shared" si="4"/>
        <v>0</v>
      </c>
      <c r="J26" s="592">
        <f t="shared" si="4"/>
        <v>0</v>
      </c>
      <c r="K26" s="593">
        <f t="shared" si="4"/>
        <v>0</v>
      </c>
    </row>
    <row r="27" spans="1:11" ht="11.25" customHeight="1" x14ac:dyDescent="0.2"/>
    <row r="28" spans="1:11" ht="11.25" customHeight="1" x14ac:dyDescent="0.2">
      <c r="D28" s="6" t="s">
        <v>182</v>
      </c>
      <c r="E28" s="144">
        <f>WkB_1_2.1.1!E28</f>
        <v>510480957.41798794</v>
      </c>
      <c r="F28" s="144">
        <f>WkB_1_2.1.1!F28</f>
        <v>747434082.47522736</v>
      </c>
    </row>
    <row r="29" spans="1:11" ht="11.25" customHeight="1" x14ac:dyDescent="0.2">
      <c r="D29" s="6" t="s">
        <v>564</v>
      </c>
      <c r="E29" s="141">
        <v>510480957.41798794</v>
      </c>
      <c r="F29" s="142">
        <v>747434082.47522736</v>
      </c>
    </row>
    <row r="30" spans="1:11" ht="11.25" customHeight="1" x14ac:dyDescent="0.2">
      <c r="A30" s="42">
        <f>IF(SUM($E30:$K30)&gt;0,1,0)</f>
        <v>0</v>
      </c>
      <c r="D30" s="6" t="s">
        <v>183</v>
      </c>
      <c r="E30" s="739">
        <f>IF(OR(ROUND(E26-E29,0)&lt;&gt;0,ROUND(E26-E28,0)&lt;&gt;0),1,0)</f>
        <v>0</v>
      </c>
      <c r="F30" s="739">
        <f>IF(OR(ROUND(F26-F29,0)&lt;&gt;0,ROUND(F26-F28,0)&lt;&gt;0),1,0)</f>
        <v>0</v>
      </c>
    </row>
    <row r="31" spans="1:11" ht="11.25" customHeight="1" x14ac:dyDescent="0.2"/>
    <row r="32" spans="1:11" s="47" customFormat="1" ht="15.75" x14ac:dyDescent="0.2">
      <c r="B32" s="47" t="s">
        <v>32</v>
      </c>
    </row>
  </sheetData>
  <mergeCells count="2">
    <mergeCell ref="E8:K8"/>
    <mergeCell ref="E21:K21"/>
  </mergeCells>
  <conditionalFormatting sqref="B2">
    <cfRule type="cellIs" dxfId="125" priority="5" operator="notEqual">
      <formula>"No Errors Found"</formula>
    </cfRule>
  </conditionalFormatting>
  <conditionalFormatting sqref="K10:K12">
    <cfRule type="expression" dxfId="124" priority="4">
      <formula>(dms_FRCPlength_Num)&lt;5</formula>
    </cfRule>
  </conditionalFormatting>
  <conditionalFormatting sqref="K23:K25">
    <cfRule type="expression" dxfId="123" priority="2">
      <formula>(dms_FRCPlength_Num)&lt;5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3"/>
  <sheetViews>
    <sheetView showGridLines="0" zoomScaleNormal="100" workbookViewId="0">
      <pane xSplit="1" ySplit="2" topLeftCell="B86" activePane="bottomRight" state="frozen"/>
      <selection activeCell="D10" sqref="D10"/>
      <selection pane="topRight" activeCell="D10" sqref="D10"/>
      <selection pane="bottomLeft" activeCell="D10" sqref="D10"/>
      <selection pane="bottomRight" activeCell="F105" sqref="F105"/>
    </sheetView>
  </sheetViews>
  <sheetFormatPr defaultColWidth="9.33203125" defaultRowHeight="11.25" outlineLevelRow="1" x14ac:dyDescent="0.2"/>
  <cols>
    <col min="1" max="3" width="3.6640625" style="46" customWidth="1"/>
    <col min="4" max="4" width="67" style="46" customWidth="1"/>
    <col min="5" max="11" width="15.6640625" style="46" customWidth="1"/>
    <col min="12" max="12" width="13.33203125" style="46" customWidth="1"/>
    <col min="13" max="31" width="10.6640625" style="46" customWidth="1"/>
    <col min="32" max="16384" width="9.33203125" style="46"/>
  </cols>
  <sheetData>
    <row r="1" spans="1:12" ht="19.5" x14ac:dyDescent="0.2">
      <c r="A1" s="42">
        <f>IF(SUM($A2:$A133)&gt;0,1,0)</f>
        <v>0</v>
      </c>
      <c r="B1" s="3" t="s">
        <v>355</v>
      </c>
    </row>
    <row r="2" spans="1:12" x14ac:dyDescent="0.2">
      <c r="B2" s="9" t="str">
        <f>Title_Msg</f>
        <v>No Errors Found</v>
      </c>
    </row>
    <row r="3" spans="1:12" s="47" customFormat="1" ht="15.75" x14ac:dyDescent="0.2">
      <c r="B3" s="47" t="str">
        <f>WkB_1_2.1.1!$B$3</f>
        <v>Data required to populate TransGrid's 2023-28 regulatory submission</v>
      </c>
    </row>
    <row r="4" spans="1:12" ht="4.5" customHeight="1" x14ac:dyDescent="0.2"/>
    <row r="5" spans="1:12" s="7" customFormat="1" ht="15" x14ac:dyDescent="0.2">
      <c r="C5" s="7" t="str">
        <f>WkB_1_2.1.1!$C$5</f>
        <v>Output - RIN template</v>
      </c>
    </row>
    <row r="6" spans="1:12" ht="11.25" customHeight="1" x14ac:dyDescent="0.2"/>
    <row r="7" spans="1:12" ht="19.5" thickBot="1" x14ac:dyDescent="0.3">
      <c r="D7" s="51" t="str">
        <f>B1</f>
        <v>2.5.1 - Expenditure on Connection Projects</v>
      </c>
      <c r="E7" s="52"/>
      <c r="F7" s="52"/>
      <c r="G7" s="52"/>
      <c r="H7" s="52"/>
      <c r="I7" s="52"/>
      <c r="J7" s="52"/>
      <c r="K7" s="52"/>
    </row>
    <row r="8" spans="1:12" ht="28.15" customHeight="1" thickBot="1" x14ac:dyDescent="0.25">
      <c r="D8"/>
      <c r="E8" s="1082" t="str">
        <f>WkB_1_2.1.1!$E$8</f>
        <v>Forecast 
($0's. real June 2023)</v>
      </c>
      <c r="F8" s="1083"/>
      <c r="G8" s="1083"/>
      <c r="H8" s="1083"/>
      <c r="I8" s="1083"/>
      <c r="J8" s="1083"/>
      <c r="K8" s="1084"/>
    </row>
    <row r="9" spans="1:12"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2" ht="13.5" thickBot="1" x14ac:dyDescent="0.25">
      <c r="D10" s="223" t="s">
        <v>242</v>
      </c>
      <c r="E10" s="67"/>
      <c r="F10" s="67"/>
      <c r="G10" s="67"/>
      <c r="H10" s="67"/>
      <c r="I10" s="67"/>
      <c r="J10" s="67"/>
      <c r="K10" s="68"/>
      <c r="L10" s="186" t="s">
        <v>225</v>
      </c>
    </row>
    <row r="11" spans="1:12" ht="15" x14ac:dyDescent="0.25">
      <c r="D11" s="792" t="str">
        <f>D73</f>
        <v>Sydney West load increase - Need N2291</v>
      </c>
      <c r="E11" s="952" t="s">
        <v>701</v>
      </c>
      <c r="F11" s="953" t="s">
        <v>701</v>
      </c>
      <c r="G11" s="954" t="s">
        <v>701</v>
      </c>
      <c r="H11" s="955" t="s">
        <v>701</v>
      </c>
      <c r="I11" s="955" t="s">
        <v>701</v>
      </c>
      <c r="J11" s="955" t="s">
        <v>701</v>
      </c>
      <c r="K11" s="956" t="s">
        <v>701</v>
      </c>
      <c r="L11" s="957" t="s">
        <v>701</v>
      </c>
    </row>
    <row r="12" spans="1:12" ht="15" x14ac:dyDescent="0.25">
      <c r="D12" s="390" t="str">
        <f t="shared" ref="D12:D17" si="0">D74</f>
        <v>Macarthur 66kV connection Mt Gilead sub - Need 1444</v>
      </c>
      <c r="E12" s="958" t="s">
        <v>701</v>
      </c>
      <c r="F12" s="959" t="s">
        <v>701</v>
      </c>
      <c r="G12" s="960" t="s">
        <v>701</v>
      </c>
      <c r="H12" s="961" t="s">
        <v>701</v>
      </c>
      <c r="I12" s="961" t="s">
        <v>701</v>
      </c>
      <c r="J12" s="961" t="s">
        <v>701</v>
      </c>
      <c r="K12" s="962" t="s">
        <v>701</v>
      </c>
      <c r="L12" s="957" t="s">
        <v>701</v>
      </c>
    </row>
    <row r="13" spans="1:12" ht="15" x14ac:dyDescent="0.25">
      <c r="D13" s="390" t="str">
        <f t="shared" si="0"/>
        <v>Load Growth at West Syd Employment Area - Need N2203</v>
      </c>
      <c r="E13" s="958" t="s">
        <v>701</v>
      </c>
      <c r="F13" s="959" t="s">
        <v>701</v>
      </c>
      <c r="G13" s="960" t="s">
        <v>701</v>
      </c>
      <c r="H13" s="961" t="s">
        <v>701</v>
      </c>
      <c r="I13" s="961" t="s">
        <v>701</v>
      </c>
      <c r="J13" s="961" t="s">
        <v>701</v>
      </c>
      <c r="K13" s="962" t="s">
        <v>701</v>
      </c>
      <c r="L13" s="957" t="s">
        <v>701</v>
      </c>
    </row>
    <row r="14" spans="1:12" ht="15" x14ac:dyDescent="0.25">
      <c r="D14" s="390" t="str">
        <f t="shared" si="0"/>
        <v>Sydney West Battery BESS Install</v>
      </c>
      <c r="E14" s="958" t="s">
        <v>701</v>
      </c>
      <c r="F14" s="959" t="s">
        <v>701</v>
      </c>
      <c r="G14" s="960" t="s">
        <v>701</v>
      </c>
      <c r="H14" s="961" t="s">
        <v>701</v>
      </c>
      <c r="I14" s="961" t="s">
        <v>701</v>
      </c>
      <c r="J14" s="961" t="s">
        <v>701</v>
      </c>
      <c r="K14" s="962" t="s">
        <v>701</v>
      </c>
      <c r="L14" s="957" t="s">
        <v>701</v>
      </c>
    </row>
    <row r="15" spans="1:12" ht="15" x14ac:dyDescent="0.25">
      <c r="D15" s="390" t="str">
        <f t="shared" si="0"/>
        <v>New Macquarie STS connection - Need N2313</v>
      </c>
      <c r="E15" s="958" t="s">
        <v>701</v>
      </c>
      <c r="F15" s="959" t="s">
        <v>701</v>
      </c>
      <c r="G15" s="960" t="s">
        <v>701</v>
      </c>
      <c r="H15" s="961" t="s">
        <v>701</v>
      </c>
      <c r="I15" s="961" t="s">
        <v>701</v>
      </c>
      <c r="J15" s="961" t="s">
        <v>701</v>
      </c>
      <c r="K15" s="962" t="s">
        <v>701</v>
      </c>
      <c r="L15" s="957" t="s">
        <v>701</v>
      </c>
    </row>
    <row r="16" spans="1:12" ht="15" x14ac:dyDescent="0.25">
      <c r="D16" s="390" t="str">
        <f t="shared" si="0"/>
        <v>Connection of Molonglo Zone Substation - Need 1695</v>
      </c>
      <c r="E16" s="958" t="s">
        <v>701</v>
      </c>
      <c r="F16" s="959" t="s">
        <v>701</v>
      </c>
      <c r="G16" s="960" t="s">
        <v>701</v>
      </c>
      <c r="H16" s="961" t="s">
        <v>701</v>
      </c>
      <c r="I16" s="961" t="s">
        <v>701</v>
      </c>
      <c r="J16" s="961" t="s">
        <v>701</v>
      </c>
      <c r="K16" s="962" t="s">
        <v>701</v>
      </c>
      <c r="L16" s="957" t="s">
        <v>701</v>
      </c>
    </row>
    <row r="17" spans="4:12" ht="15" x14ac:dyDescent="0.25">
      <c r="D17" s="390" t="str">
        <f t="shared" si="0"/>
        <v>Vineyard 132kV connection - Box Hill Sub - Need 691</v>
      </c>
      <c r="E17" s="958" t="s">
        <v>701</v>
      </c>
      <c r="F17" s="959" t="s">
        <v>701</v>
      </c>
      <c r="G17" s="960" t="s">
        <v>701</v>
      </c>
      <c r="H17" s="961" t="s">
        <v>701</v>
      </c>
      <c r="I17" s="961" t="s">
        <v>701</v>
      </c>
      <c r="J17" s="961" t="s">
        <v>701</v>
      </c>
      <c r="K17" s="962" t="s">
        <v>701</v>
      </c>
      <c r="L17" s="957" t="s">
        <v>701</v>
      </c>
    </row>
    <row r="18" spans="4:12" ht="15" x14ac:dyDescent="0.25">
      <c r="D18" s="390" t="s">
        <v>899</v>
      </c>
      <c r="E18" s="958" t="s">
        <v>701</v>
      </c>
      <c r="F18" s="959" t="s">
        <v>701</v>
      </c>
      <c r="G18" s="960" t="s">
        <v>701</v>
      </c>
      <c r="H18" s="961" t="s">
        <v>701</v>
      </c>
      <c r="I18" s="961" t="s">
        <v>701</v>
      </c>
      <c r="J18" s="961" t="s">
        <v>701</v>
      </c>
      <c r="K18" s="962" t="s">
        <v>701</v>
      </c>
      <c r="L18" s="957" t="s">
        <v>701</v>
      </c>
    </row>
    <row r="19" spans="4:12" ht="15.75" thickBot="1" x14ac:dyDescent="0.3">
      <c r="D19" s="390" t="s">
        <v>900</v>
      </c>
      <c r="E19" s="958" t="s">
        <v>701</v>
      </c>
      <c r="F19" s="959" t="s">
        <v>701</v>
      </c>
      <c r="G19" s="960" t="s">
        <v>701</v>
      </c>
      <c r="H19" s="961" t="s">
        <v>701</v>
      </c>
      <c r="I19" s="961" t="s">
        <v>701</v>
      </c>
      <c r="J19" s="961" t="s">
        <v>701</v>
      </c>
      <c r="K19" s="962" t="s">
        <v>701</v>
      </c>
      <c r="L19" s="957" t="s">
        <v>701</v>
      </c>
    </row>
    <row r="20" spans="4:12" ht="15" hidden="1" outlineLevel="1" x14ac:dyDescent="0.25">
      <c r="D20" s="390"/>
      <c r="E20" s="958" t="s">
        <v>701</v>
      </c>
      <c r="F20" s="959" t="s">
        <v>701</v>
      </c>
      <c r="G20" s="960" t="s">
        <v>701</v>
      </c>
      <c r="H20" s="961" t="s">
        <v>701</v>
      </c>
      <c r="I20" s="961" t="s">
        <v>701</v>
      </c>
      <c r="J20" s="961" t="s">
        <v>701</v>
      </c>
      <c r="K20" s="962" t="s">
        <v>701</v>
      </c>
      <c r="L20" s="957" t="s">
        <v>701</v>
      </c>
    </row>
    <row r="21" spans="4:12" ht="15" hidden="1" outlineLevel="1" x14ac:dyDescent="0.25">
      <c r="D21" s="390"/>
      <c r="E21" s="958" t="s">
        <v>701</v>
      </c>
      <c r="F21" s="959" t="s">
        <v>701</v>
      </c>
      <c r="G21" s="960" t="s">
        <v>701</v>
      </c>
      <c r="H21" s="961" t="s">
        <v>701</v>
      </c>
      <c r="I21" s="961" t="s">
        <v>701</v>
      </c>
      <c r="J21" s="961" t="s">
        <v>701</v>
      </c>
      <c r="K21" s="962" t="s">
        <v>701</v>
      </c>
      <c r="L21" s="957" t="s">
        <v>701</v>
      </c>
    </row>
    <row r="22" spans="4:12" ht="15" hidden="1" outlineLevel="1" x14ac:dyDescent="0.25">
      <c r="D22" s="390"/>
      <c r="E22" s="958" t="s">
        <v>701</v>
      </c>
      <c r="F22" s="959" t="s">
        <v>701</v>
      </c>
      <c r="G22" s="960" t="s">
        <v>701</v>
      </c>
      <c r="H22" s="961" t="s">
        <v>701</v>
      </c>
      <c r="I22" s="961" t="s">
        <v>701</v>
      </c>
      <c r="J22" s="961" t="s">
        <v>701</v>
      </c>
      <c r="K22" s="962" t="s">
        <v>701</v>
      </c>
      <c r="L22" s="957" t="s">
        <v>701</v>
      </c>
    </row>
    <row r="23" spans="4:12" ht="15" hidden="1" outlineLevel="1" x14ac:dyDescent="0.25">
      <c r="D23" s="390"/>
      <c r="E23" s="958" t="s">
        <v>701</v>
      </c>
      <c r="F23" s="959" t="s">
        <v>701</v>
      </c>
      <c r="G23" s="960" t="s">
        <v>701</v>
      </c>
      <c r="H23" s="961" t="s">
        <v>701</v>
      </c>
      <c r="I23" s="961" t="s">
        <v>701</v>
      </c>
      <c r="J23" s="961" t="s">
        <v>701</v>
      </c>
      <c r="K23" s="962" t="s">
        <v>701</v>
      </c>
      <c r="L23" s="957" t="s">
        <v>701</v>
      </c>
    </row>
    <row r="24" spans="4:12" ht="15" hidden="1" outlineLevel="1" x14ac:dyDescent="0.25">
      <c r="D24" s="390"/>
      <c r="E24" s="958" t="s">
        <v>701</v>
      </c>
      <c r="F24" s="959" t="s">
        <v>701</v>
      </c>
      <c r="G24" s="960" t="s">
        <v>701</v>
      </c>
      <c r="H24" s="961" t="s">
        <v>701</v>
      </c>
      <c r="I24" s="961" t="s">
        <v>701</v>
      </c>
      <c r="J24" s="961" t="s">
        <v>701</v>
      </c>
      <c r="K24" s="962" t="s">
        <v>701</v>
      </c>
      <c r="L24" s="957" t="s">
        <v>701</v>
      </c>
    </row>
    <row r="25" spans="4:12" ht="15" hidden="1" outlineLevel="1" x14ac:dyDescent="0.25">
      <c r="D25" s="390"/>
      <c r="E25" s="958" t="s">
        <v>701</v>
      </c>
      <c r="F25" s="959" t="s">
        <v>701</v>
      </c>
      <c r="G25" s="960" t="s">
        <v>701</v>
      </c>
      <c r="H25" s="961" t="s">
        <v>701</v>
      </c>
      <c r="I25" s="961" t="s">
        <v>701</v>
      </c>
      <c r="J25" s="961" t="s">
        <v>701</v>
      </c>
      <c r="K25" s="962" t="s">
        <v>701</v>
      </c>
      <c r="L25" s="957" t="s">
        <v>701</v>
      </c>
    </row>
    <row r="26" spans="4:12" ht="15" hidden="1" outlineLevel="1" x14ac:dyDescent="0.25">
      <c r="D26" s="390"/>
      <c r="E26" s="958" t="s">
        <v>701</v>
      </c>
      <c r="F26" s="959" t="s">
        <v>701</v>
      </c>
      <c r="G26" s="960" t="s">
        <v>701</v>
      </c>
      <c r="H26" s="961" t="s">
        <v>701</v>
      </c>
      <c r="I26" s="961" t="s">
        <v>701</v>
      </c>
      <c r="J26" s="961" t="s">
        <v>701</v>
      </c>
      <c r="K26" s="962" t="s">
        <v>701</v>
      </c>
      <c r="L26" s="957" t="s">
        <v>701</v>
      </c>
    </row>
    <row r="27" spans="4:12" ht="15" hidden="1" outlineLevel="1" x14ac:dyDescent="0.25">
      <c r="D27" s="390"/>
      <c r="E27" s="958" t="s">
        <v>701</v>
      </c>
      <c r="F27" s="959" t="s">
        <v>701</v>
      </c>
      <c r="G27" s="960" t="s">
        <v>701</v>
      </c>
      <c r="H27" s="961" t="s">
        <v>701</v>
      </c>
      <c r="I27" s="961" t="s">
        <v>701</v>
      </c>
      <c r="J27" s="961" t="s">
        <v>701</v>
      </c>
      <c r="K27" s="962" t="s">
        <v>701</v>
      </c>
      <c r="L27" s="957" t="s">
        <v>701</v>
      </c>
    </row>
    <row r="28" spans="4:12" ht="15" hidden="1" outlineLevel="1" x14ac:dyDescent="0.25">
      <c r="D28" s="390"/>
      <c r="E28" s="958" t="s">
        <v>701</v>
      </c>
      <c r="F28" s="959" t="s">
        <v>701</v>
      </c>
      <c r="G28" s="960" t="s">
        <v>701</v>
      </c>
      <c r="H28" s="961" t="s">
        <v>701</v>
      </c>
      <c r="I28" s="961" t="s">
        <v>701</v>
      </c>
      <c r="J28" s="961" t="s">
        <v>701</v>
      </c>
      <c r="K28" s="962" t="s">
        <v>701</v>
      </c>
      <c r="L28" s="957" t="s">
        <v>701</v>
      </c>
    </row>
    <row r="29" spans="4:12" ht="15" hidden="1" outlineLevel="1" x14ac:dyDescent="0.25">
      <c r="D29" s="390"/>
      <c r="E29" s="958" t="s">
        <v>701</v>
      </c>
      <c r="F29" s="959" t="s">
        <v>701</v>
      </c>
      <c r="G29" s="960" t="s">
        <v>701</v>
      </c>
      <c r="H29" s="961" t="s">
        <v>701</v>
      </c>
      <c r="I29" s="961" t="s">
        <v>701</v>
      </c>
      <c r="J29" s="961" t="s">
        <v>701</v>
      </c>
      <c r="K29" s="962" t="s">
        <v>701</v>
      </c>
      <c r="L29" s="957" t="s">
        <v>701</v>
      </c>
    </row>
    <row r="30" spans="4:12" ht="15" hidden="1" outlineLevel="1" x14ac:dyDescent="0.25">
      <c r="D30" s="390"/>
      <c r="E30" s="958" t="s">
        <v>701</v>
      </c>
      <c r="F30" s="959" t="s">
        <v>701</v>
      </c>
      <c r="G30" s="960" t="s">
        <v>701</v>
      </c>
      <c r="H30" s="961" t="s">
        <v>701</v>
      </c>
      <c r="I30" s="961" t="s">
        <v>701</v>
      </c>
      <c r="J30" s="961" t="s">
        <v>701</v>
      </c>
      <c r="K30" s="962" t="s">
        <v>701</v>
      </c>
      <c r="L30" s="957" t="s">
        <v>701</v>
      </c>
    </row>
    <row r="31" spans="4:12" ht="15" hidden="1" outlineLevel="1" x14ac:dyDescent="0.25">
      <c r="D31" s="390"/>
      <c r="E31" s="958" t="s">
        <v>701</v>
      </c>
      <c r="F31" s="959" t="s">
        <v>701</v>
      </c>
      <c r="G31" s="960" t="s">
        <v>701</v>
      </c>
      <c r="H31" s="961" t="s">
        <v>701</v>
      </c>
      <c r="I31" s="961" t="s">
        <v>701</v>
      </c>
      <c r="J31" s="961" t="s">
        <v>701</v>
      </c>
      <c r="K31" s="962" t="s">
        <v>701</v>
      </c>
      <c r="L31" s="957" t="s">
        <v>701</v>
      </c>
    </row>
    <row r="32" spans="4:12" ht="15" hidden="1" outlineLevel="1" x14ac:dyDescent="0.25">
      <c r="D32" s="390"/>
      <c r="E32" s="958" t="s">
        <v>701</v>
      </c>
      <c r="F32" s="959" t="s">
        <v>701</v>
      </c>
      <c r="G32" s="960" t="s">
        <v>701</v>
      </c>
      <c r="H32" s="961" t="s">
        <v>701</v>
      </c>
      <c r="I32" s="961" t="s">
        <v>701</v>
      </c>
      <c r="J32" s="961" t="s">
        <v>701</v>
      </c>
      <c r="K32" s="962" t="s">
        <v>701</v>
      </c>
      <c r="L32" s="957" t="s">
        <v>701</v>
      </c>
    </row>
    <row r="33" spans="4:12" ht="15" hidden="1" outlineLevel="1" x14ac:dyDescent="0.25">
      <c r="D33" s="390"/>
      <c r="E33" s="958" t="s">
        <v>701</v>
      </c>
      <c r="F33" s="959" t="s">
        <v>701</v>
      </c>
      <c r="G33" s="960" t="s">
        <v>701</v>
      </c>
      <c r="H33" s="961" t="s">
        <v>701</v>
      </c>
      <c r="I33" s="961" t="s">
        <v>701</v>
      </c>
      <c r="J33" s="961" t="s">
        <v>701</v>
      </c>
      <c r="K33" s="962" t="s">
        <v>701</v>
      </c>
      <c r="L33" s="957" t="s">
        <v>701</v>
      </c>
    </row>
    <row r="34" spans="4:12" ht="15" hidden="1" outlineLevel="1" x14ac:dyDescent="0.25">
      <c r="D34" s="390"/>
      <c r="E34" s="958" t="s">
        <v>701</v>
      </c>
      <c r="F34" s="959" t="s">
        <v>701</v>
      </c>
      <c r="G34" s="960" t="s">
        <v>701</v>
      </c>
      <c r="H34" s="961" t="s">
        <v>701</v>
      </c>
      <c r="I34" s="961" t="s">
        <v>701</v>
      </c>
      <c r="J34" s="961" t="s">
        <v>701</v>
      </c>
      <c r="K34" s="962" t="s">
        <v>701</v>
      </c>
      <c r="L34" s="957" t="s">
        <v>701</v>
      </c>
    </row>
    <row r="35" spans="4:12" ht="15.75" hidden="1" outlineLevel="1" thickBot="1" x14ac:dyDescent="0.3">
      <c r="D35" s="391"/>
      <c r="E35" s="958" t="s">
        <v>701</v>
      </c>
      <c r="F35" s="959" t="s">
        <v>701</v>
      </c>
      <c r="G35" s="960" t="s">
        <v>701</v>
      </c>
      <c r="H35" s="961" t="s">
        <v>701</v>
      </c>
      <c r="I35" s="961" t="s">
        <v>701</v>
      </c>
      <c r="J35" s="961" t="s">
        <v>701</v>
      </c>
      <c r="K35" s="962" t="s">
        <v>701</v>
      </c>
      <c r="L35" s="957" t="s">
        <v>701</v>
      </c>
    </row>
    <row r="36" spans="4:12" ht="13.5" collapsed="1" thickBot="1" x14ac:dyDescent="0.25">
      <c r="D36" s="223" t="s">
        <v>243</v>
      </c>
      <c r="E36" s="963"/>
      <c r="F36" s="964"/>
      <c r="G36" s="964"/>
      <c r="H36" s="964"/>
      <c r="I36" s="964"/>
      <c r="J36" s="964"/>
      <c r="K36" s="965"/>
      <c r="L36" s="957"/>
    </row>
    <row r="37" spans="4:12" ht="15" x14ac:dyDescent="0.25">
      <c r="D37" s="226" t="str">
        <f>D11</f>
        <v>Sydney West load increase - Need N2291</v>
      </c>
      <c r="E37" s="958" t="s">
        <v>701</v>
      </c>
      <c r="F37" s="959" t="s">
        <v>701</v>
      </c>
      <c r="G37" s="960" t="s">
        <v>701</v>
      </c>
      <c r="H37" s="961" t="s">
        <v>701</v>
      </c>
      <c r="I37" s="961" t="s">
        <v>701</v>
      </c>
      <c r="J37" s="961" t="s">
        <v>701</v>
      </c>
      <c r="K37" s="962" t="s">
        <v>701</v>
      </c>
      <c r="L37" s="957" t="s">
        <v>701</v>
      </c>
    </row>
    <row r="38" spans="4:12" ht="15" x14ac:dyDescent="0.25">
      <c r="D38" s="224" t="str">
        <f t="shared" ref="D38:D61" si="1">D12</f>
        <v>Macarthur 66kV connection Mt Gilead sub - Need 1444</v>
      </c>
      <c r="E38" s="958" t="s">
        <v>701</v>
      </c>
      <c r="F38" s="959" t="s">
        <v>701</v>
      </c>
      <c r="G38" s="960" t="s">
        <v>701</v>
      </c>
      <c r="H38" s="961" t="s">
        <v>701</v>
      </c>
      <c r="I38" s="961" t="s">
        <v>701</v>
      </c>
      <c r="J38" s="961" t="s">
        <v>701</v>
      </c>
      <c r="K38" s="962" t="s">
        <v>701</v>
      </c>
      <c r="L38" s="957" t="s">
        <v>701</v>
      </c>
    </row>
    <row r="39" spans="4:12" ht="15" x14ac:dyDescent="0.25">
      <c r="D39" s="224" t="str">
        <f t="shared" si="1"/>
        <v>Load Growth at West Syd Employment Area - Need N2203</v>
      </c>
      <c r="E39" s="958" t="s">
        <v>701</v>
      </c>
      <c r="F39" s="959" t="s">
        <v>701</v>
      </c>
      <c r="G39" s="960" t="s">
        <v>701</v>
      </c>
      <c r="H39" s="961" t="s">
        <v>701</v>
      </c>
      <c r="I39" s="961" t="s">
        <v>701</v>
      </c>
      <c r="J39" s="961" t="s">
        <v>701</v>
      </c>
      <c r="K39" s="962" t="s">
        <v>701</v>
      </c>
      <c r="L39" s="957" t="s">
        <v>701</v>
      </c>
    </row>
    <row r="40" spans="4:12" ht="15" x14ac:dyDescent="0.25">
      <c r="D40" s="224" t="str">
        <f t="shared" si="1"/>
        <v>Sydney West Battery BESS Install</v>
      </c>
      <c r="E40" s="958" t="s">
        <v>701</v>
      </c>
      <c r="F40" s="959" t="s">
        <v>701</v>
      </c>
      <c r="G40" s="960" t="s">
        <v>701</v>
      </c>
      <c r="H40" s="961" t="s">
        <v>701</v>
      </c>
      <c r="I40" s="961" t="s">
        <v>701</v>
      </c>
      <c r="J40" s="961" t="s">
        <v>701</v>
      </c>
      <c r="K40" s="962" t="s">
        <v>701</v>
      </c>
      <c r="L40" s="957" t="s">
        <v>701</v>
      </c>
    </row>
    <row r="41" spans="4:12" ht="15" x14ac:dyDescent="0.25">
      <c r="D41" s="224" t="str">
        <f t="shared" si="1"/>
        <v>New Macquarie STS connection - Need N2313</v>
      </c>
      <c r="E41" s="958" t="s">
        <v>701</v>
      </c>
      <c r="F41" s="959" t="s">
        <v>701</v>
      </c>
      <c r="G41" s="960" t="s">
        <v>701</v>
      </c>
      <c r="H41" s="961" t="s">
        <v>701</v>
      </c>
      <c r="I41" s="961" t="s">
        <v>701</v>
      </c>
      <c r="J41" s="961" t="s">
        <v>701</v>
      </c>
      <c r="K41" s="962" t="s">
        <v>701</v>
      </c>
      <c r="L41" s="957" t="s">
        <v>701</v>
      </c>
    </row>
    <row r="42" spans="4:12" ht="15" x14ac:dyDescent="0.25">
      <c r="D42" s="224" t="str">
        <f t="shared" si="1"/>
        <v>Connection of Molonglo Zone Substation - Need 1695</v>
      </c>
      <c r="E42" s="958" t="s">
        <v>701</v>
      </c>
      <c r="F42" s="959" t="s">
        <v>701</v>
      </c>
      <c r="G42" s="960" t="s">
        <v>701</v>
      </c>
      <c r="H42" s="961" t="s">
        <v>701</v>
      </c>
      <c r="I42" s="961" t="s">
        <v>701</v>
      </c>
      <c r="J42" s="961" t="s">
        <v>701</v>
      </c>
      <c r="K42" s="962" t="s">
        <v>701</v>
      </c>
      <c r="L42" s="957" t="s">
        <v>701</v>
      </c>
    </row>
    <row r="43" spans="4:12" ht="15" x14ac:dyDescent="0.25">
      <c r="D43" s="224" t="str">
        <f t="shared" si="1"/>
        <v>Vineyard 132kV connection - Box Hill Sub - Need 691</v>
      </c>
      <c r="E43" s="958" t="s">
        <v>701</v>
      </c>
      <c r="F43" s="959" t="s">
        <v>701</v>
      </c>
      <c r="G43" s="960" t="s">
        <v>701</v>
      </c>
      <c r="H43" s="961" t="s">
        <v>701</v>
      </c>
      <c r="I43" s="961" t="s">
        <v>701</v>
      </c>
      <c r="J43" s="961" t="s">
        <v>701</v>
      </c>
      <c r="K43" s="962" t="s">
        <v>701</v>
      </c>
      <c r="L43" s="957" t="s">
        <v>701</v>
      </c>
    </row>
    <row r="44" spans="4:12" ht="15" x14ac:dyDescent="0.25">
      <c r="D44" s="224" t="str">
        <f t="shared" si="1"/>
        <v>Supply to Strathnairn area  (EVOEnergy)</v>
      </c>
      <c r="E44" s="958" t="s">
        <v>701</v>
      </c>
      <c r="F44" s="959" t="s">
        <v>701</v>
      </c>
      <c r="G44" s="960" t="s">
        <v>701</v>
      </c>
      <c r="H44" s="961" t="s">
        <v>701</v>
      </c>
      <c r="I44" s="961" t="s">
        <v>701</v>
      </c>
      <c r="J44" s="961" t="s">
        <v>701</v>
      </c>
      <c r="K44" s="962" t="s">
        <v>701</v>
      </c>
      <c r="L44" s="957" t="s">
        <v>701</v>
      </c>
    </row>
    <row r="45" spans="4:12" ht="15.75" thickBot="1" x14ac:dyDescent="0.3">
      <c r="D45" s="224" t="str">
        <f t="shared" si="1"/>
        <v>Condition of  AusGrid cables 9SA and 92P</v>
      </c>
      <c r="E45" s="958" t="s">
        <v>701</v>
      </c>
      <c r="F45" s="959" t="s">
        <v>701</v>
      </c>
      <c r="G45" s="960" t="s">
        <v>701</v>
      </c>
      <c r="H45" s="961" t="s">
        <v>701</v>
      </c>
      <c r="I45" s="961" t="s">
        <v>701</v>
      </c>
      <c r="J45" s="961" t="s">
        <v>701</v>
      </c>
      <c r="K45" s="962" t="s">
        <v>701</v>
      </c>
      <c r="L45" s="957" t="s">
        <v>701</v>
      </c>
    </row>
    <row r="46" spans="4:12" ht="15" hidden="1" outlineLevel="1" x14ac:dyDescent="0.25">
      <c r="D46" s="224">
        <f t="shared" si="1"/>
        <v>0</v>
      </c>
      <c r="E46" s="958" t="s">
        <v>701</v>
      </c>
      <c r="F46" s="959" t="s">
        <v>701</v>
      </c>
      <c r="G46" s="960" t="s">
        <v>701</v>
      </c>
      <c r="H46" s="961" t="s">
        <v>701</v>
      </c>
      <c r="I46" s="961" t="s">
        <v>701</v>
      </c>
      <c r="J46" s="961" t="s">
        <v>701</v>
      </c>
      <c r="K46" s="962" t="s">
        <v>701</v>
      </c>
      <c r="L46" s="957" t="s">
        <v>701</v>
      </c>
    </row>
    <row r="47" spans="4:12" ht="15" hidden="1" outlineLevel="1" x14ac:dyDescent="0.25">
      <c r="D47" s="224">
        <f t="shared" si="1"/>
        <v>0</v>
      </c>
      <c r="E47" s="958" t="s">
        <v>701</v>
      </c>
      <c r="F47" s="959" t="s">
        <v>701</v>
      </c>
      <c r="G47" s="960" t="s">
        <v>701</v>
      </c>
      <c r="H47" s="961" t="s">
        <v>701</v>
      </c>
      <c r="I47" s="961" t="s">
        <v>701</v>
      </c>
      <c r="J47" s="961" t="s">
        <v>701</v>
      </c>
      <c r="K47" s="962" t="s">
        <v>701</v>
      </c>
      <c r="L47" s="957" t="s">
        <v>701</v>
      </c>
    </row>
    <row r="48" spans="4:12" ht="15" hidden="1" outlineLevel="1" x14ac:dyDescent="0.25">
      <c r="D48" s="224">
        <f t="shared" si="1"/>
        <v>0</v>
      </c>
      <c r="E48" s="958" t="s">
        <v>701</v>
      </c>
      <c r="F48" s="959" t="s">
        <v>701</v>
      </c>
      <c r="G48" s="960" t="s">
        <v>701</v>
      </c>
      <c r="H48" s="961" t="s">
        <v>701</v>
      </c>
      <c r="I48" s="961" t="s">
        <v>701</v>
      </c>
      <c r="J48" s="961" t="s">
        <v>701</v>
      </c>
      <c r="K48" s="962" t="s">
        <v>701</v>
      </c>
      <c r="L48" s="957" t="s">
        <v>701</v>
      </c>
    </row>
    <row r="49" spans="4:12" ht="15" hidden="1" outlineLevel="1" x14ac:dyDescent="0.25">
      <c r="D49" s="224">
        <f t="shared" si="1"/>
        <v>0</v>
      </c>
      <c r="E49" s="958" t="s">
        <v>701</v>
      </c>
      <c r="F49" s="959" t="s">
        <v>701</v>
      </c>
      <c r="G49" s="960" t="s">
        <v>701</v>
      </c>
      <c r="H49" s="961" t="s">
        <v>701</v>
      </c>
      <c r="I49" s="961" t="s">
        <v>701</v>
      </c>
      <c r="J49" s="961" t="s">
        <v>701</v>
      </c>
      <c r="K49" s="962" t="s">
        <v>701</v>
      </c>
      <c r="L49" s="957" t="s">
        <v>701</v>
      </c>
    </row>
    <row r="50" spans="4:12" ht="15" hidden="1" outlineLevel="1" x14ac:dyDescent="0.25">
      <c r="D50" s="224">
        <f t="shared" si="1"/>
        <v>0</v>
      </c>
      <c r="E50" s="958" t="s">
        <v>701</v>
      </c>
      <c r="F50" s="959" t="s">
        <v>701</v>
      </c>
      <c r="G50" s="960" t="s">
        <v>701</v>
      </c>
      <c r="H50" s="961" t="s">
        <v>701</v>
      </c>
      <c r="I50" s="961" t="s">
        <v>701</v>
      </c>
      <c r="J50" s="961" t="s">
        <v>701</v>
      </c>
      <c r="K50" s="962" t="s">
        <v>701</v>
      </c>
      <c r="L50" s="957" t="s">
        <v>701</v>
      </c>
    </row>
    <row r="51" spans="4:12" ht="15" hidden="1" outlineLevel="1" x14ac:dyDescent="0.25">
      <c r="D51" s="224">
        <f t="shared" si="1"/>
        <v>0</v>
      </c>
      <c r="E51" s="958" t="s">
        <v>701</v>
      </c>
      <c r="F51" s="959" t="s">
        <v>701</v>
      </c>
      <c r="G51" s="960" t="s">
        <v>701</v>
      </c>
      <c r="H51" s="961" t="s">
        <v>701</v>
      </c>
      <c r="I51" s="961" t="s">
        <v>701</v>
      </c>
      <c r="J51" s="961" t="s">
        <v>701</v>
      </c>
      <c r="K51" s="962" t="s">
        <v>701</v>
      </c>
      <c r="L51" s="957" t="s">
        <v>701</v>
      </c>
    </row>
    <row r="52" spans="4:12" ht="15" hidden="1" outlineLevel="1" x14ac:dyDescent="0.25">
      <c r="D52" s="224">
        <f t="shared" si="1"/>
        <v>0</v>
      </c>
      <c r="E52" s="958" t="s">
        <v>701</v>
      </c>
      <c r="F52" s="959" t="s">
        <v>701</v>
      </c>
      <c r="G52" s="960" t="s">
        <v>701</v>
      </c>
      <c r="H52" s="961" t="s">
        <v>701</v>
      </c>
      <c r="I52" s="961" t="s">
        <v>701</v>
      </c>
      <c r="J52" s="961" t="s">
        <v>701</v>
      </c>
      <c r="K52" s="962" t="s">
        <v>701</v>
      </c>
      <c r="L52" s="957" t="s">
        <v>701</v>
      </c>
    </row>
    <row r="53" spans="4:12" ht="15" hidden="1" outlineLevel="1" x14ac:dyDescent="0.25">
      <c r="D53" s="224">
        <f t="shared" si="1"/>
        <v>0</v>
      </c>
      <c r="E53" s="958" t="s">
        <v>701</v>
      </c>
      <c r="F53" s="959" t="s">
        <v>701</v>
      </c>
      <c r="G53" s="960" t="s">
        <v>701</v>
      </c>
      <c r="H53" s="961" t="s">
        <v>701</v>
      </c>
      <c r="I53" s="961" t="s">
        <v>701</v>
      </c>
      <c r="J53" s="961" t="s">
        <v>701</v>
      </c>
      <c r="K53" s="962" t="s">
        <v>701</v>
      </c>
      <c r="L53" s="957" t="s">
        <v>701</v>
      </c>
    </row>
    <row r="54" spans="4:12" ht="15" hidden="1" outlineLevel="1" x14ac:dyDescent="0.25">
      <c r="D54" s="224">
        <f t="shared" si="1"/>
        <v>0</v>
      </c>
      <c r="E54" s="958" t="s">
        <v>701</v>
      </c>
      <c r="F54" s="959" t="s">
        <v>701</v>
      </c>
      <c r="G54" s="960" t="s">
        <v>701</v>
      </c>
      <c r="H54" s="961" t="s">
        <v>701</v>
      </c>
      <c r="I54" s="961" t="s">
        <v>701</v>
      </c>
      <c r="J54" s="961" t="s">
        <v>701</v>
      </c>
      <c r="K54" s="962" t="s">
        <v>701</v>
      </c>
      <c r="L54" s="957" t="s">
        <v>701</v>
      </c>
    </row>
    <row r="55" spans="4:12" ht="15" hidden="1" outlineLevel="1" x14ac:dyDescent="0.25">
      <c r="D55" s="224">
        <f t="shared" si="1"/>
        <v>0</v>
      </c>
      <c r="E55" s="958" t="s">
        <v>701</v>
      </c>
      <c r="F55" s="959" t="s">
        <v>701</v>
      </c>
      <c r="G55" s="960" t="s">
        <v>701</v>
      </c>
      <c r="H55" s="961" t="s">
        <v>701</v>
      </c>
      <c r="I55" s="961" t="s">
        <v>701</v>
      </c>
      <c r="J55" s="961" t="s">
        <v>701</v>
      </c>
      <c r="K55" s="962" t="s">
        <v>701</v>
      </c>
      <c r="L55" s="957" t="s">
        <v>701</v>
      </c>
    </row>
    <row r="56" spans="4:12" ht="15" hidden="1" outlineLevel="1" x14ac:dyDescent="0.25">
      <c r="D56" s="224">
        <f t="shared" si="1"/>
        <v>0</v>
      </c>
      <c r="E56" s="958" t="s">
        <v>701</v>
      </c>
      <c r="F56" s="959" t="s">
        <v>701</v>
      </c>
      <c r="G56" s="960" t="s">
        <v>701</v>
      </c>
      <c r="H56" s="961" t="s">
        <v>701</v>
      </c>
      <c r="I56" s="961" t="s">
        <v>701</v>
      </c>
      <c r="J56" s="961" t="s">
        <v>701</v>
      </c>
      <c r="K56" s="962" t="s">
        <v>701</v>
      </c>
      <c r="L56" s="957" t="s">
        <v>701</v>
      </c>
    </row>
    <row r="57" spans="4:12" ht="15" hidden="1" outlineLevel="1" x14ac:dyDescent="0.25">
      <c r="D57" s="224">
        <f t="shared" si="1"/>
        <v>0</v>
      </c>
      <c r="E57" s="958" t="s">
        <v>701</v>
      </c>
      <c r="F57" s="959" t="s">
        <v>701</v>
      </c>
      <c r="G57" s="960" t="s">
        <v>701</v>
      </c>
      <c r="H57" s="961" t="s">
        <v>701</v>
      </c>
      <c r="I57" s="961" t="s">
        <v>701</v>
      </c>
      <c r="J57" s="961" t="s">
        <v>701</v>
      </c>
      <c r="K57" s="962" t="s">
        <v>701</v>
      </c>
      <c r="L57" s="957" t="s">
        <v>701</v>
      </c>
    </row>
    <row r="58" spans="4:12" ht="15" hidden="1" outlineLevel="1" x14ac:dyDescent="0.25">
      <c r="D58" s="224">
        <f t="shared" si="1"/>
        <v>0</v>
      </c>
      <c r="E58" s="958" t="s">
        <v>701</v>
      </c>
      <c r="F58" s="959" t="s">
        <v>701</v>
      </c>
      <c r="G58" s="960" t="s">
        <v>701</v>
      </c>
      <c r="H58" s="961" t="s">
        <v>701</v>
      </c>
      <c r="I58" s="961" t="s">
        <v>701</v>
      </c>
      <c r="J58" s="961" t="s">
        <v>701</v>
      </c>
      <c r="K58" s="962" t="s">
        <v>701</v>
      </c>
      <c r="L58" s="957" t="s">
        <v>701</v>
      </c>
    </row>
    <row r="59" spans="4:12" ht="15" hidden="1" outlineLevel="1" x14ac:dyDescent="0.25">
      <c r="D59" s="224">
        <f t="shared" si="1"/>
        <v>0</v>
      </c>
      <c r="E59" s="958" t="s">
        <v>701</v>
      </c>
      <c r="F59" s="959" t="s">
        <v>701</v>
      </c>
      <c r="G59" s="960" t="s">
        <v>701</v>
      </c>
      <c r="H59" s="961" t="s">
        <v>701</v>
      </c>
      <c r="I59" s="961" t="s">
        <v>701</v>
      </c>
      <c r="J59" s="961" t="s">
        <v>701</v>
      </c>
      <c r="K59" s="962" t="s">
        <v>701</v>
      </c>
      <c r="L59" s="957" t="s">
        <v>701</v>
      </c>
    </row>
    <row r="60" spans="4:12" ht="15" hidden="1" outlineLevel="1" x14ac:dyDescent="0.25">
      <c r="D60" s="224">
        <f t="shared" si="1"/>
        <v>0</v>
      </c>
      <c r="E60" s="958" t="s">
        <v>701</v>
      </c>
      <c r="F60" s="959" t="s">
        <v>701</v>
      </c>
      <c r="G60" s="960" t="s">
        <v>701</v>
      </c>
      <c r="H60" s="961" t="s">
        <v>701</v>
      </c>
      <c r="I60" s="961" t="s">
        <v>701</v>
      </c>
      <c r="J60" s="961" t="s">
        <v>701</v>
      </c>
      <c r="K60" s="962" t="s">
        <v>701</v>
      </c>
      <c r="L60" s="957" t="s">
        <v>701</v>
      </c>
    </row>
    <row r="61" spans="4:12" ht="15.75" hidden="1" outlineLevel="1" thickBot="1" x14ac:dyDescent="0.3">
      <c r="D61" s="225">
        <f t="shared" si="1"/>
        <v>0</v>
      </c>
      <c r="E61" s="958" t="s">
        <v>701</v>
      </c>
      <c r="F61" s="959" t="s">
        <v>701</v>
      </c>
      <c r="G61" s="999" t="s">
        <v>701</v>
      </c>
      <c r="H61" s="990" t="s">
        <v>701</v>
      </c>
      <c r="I61" s="990" t="s">
        <v>701</v>
      </c>
      <c r="J61" s="990" t="s">
        <v>701</v>
      </c>
      <c r="K61" s="991" t="s">
        <v>701</v>
      </c>
      <c r="L61" s="957" t="s">
        <v>701</v>
      </c>
    </row>
    <row r="62" spans="4:12" ht="13.5" collapsed="1" thickBot="1" x14ac:dyDescent="0.25">
      <c r="D62" s="66" t="s">
        <v>179</v>
      </c>
      <c r="E62" s="67">
        <v>9177953.1882860884</v>
      </c>
      <c r="F62" s="67">
        <v>1299247.4654949955</v>
      </c>
      <c r="G62" s="67">
        <v>0</v>
      </c>
      <c r="H62" s="67">
        <v>0</v>
      </c>
      <c r="I62" s="67">
        <v>0</v>
      </c>
      <c r="J62" s="67">
        <v>577330.75711153331</v>
      </c>
      <c r="K62" s="68">
        <v>2275959.8228357201</v>
      </c>
      <c r="L62" s="189">
        <v>1</v>
      </c>
    </row>
    <row r="63" spans="4:12" ht="11.25" customHeight="1" x14ac:dyDescent="0.2"/>
    <row r="64" spans="4:12" ht="11.25" customHeight="1" x14ac:dyDescent="0.2">
      <c r="D64" s="6" t="s">
        <v>182</v>
      </c>
      <c r="E64" s="144">
        <f>WkB_1_2.1.1!E11</f>
        <v>9177953.3507938664</v>
      </c>
      <c r="F64" s="145">
        <f>WkB_1_2.1.1!F11</f>
        <v>1299247.5822524875</v>
      </c>
      <c r="G64" s="146">
        <f>WkB_1_2.1.1!G11</f>
        <v>0</v>
      </c>
      <c r="H64" s="144">
        <f>WkB_1_2.1.1!H11</f>
        <v>0</v>
      </c>
      <c r="I64" s="144">
        <f>WkB_1_2.1.1!I11</f>
        <v>0</v>
      </c>
      <c r="J64" s="144">
        <f>WkB_1_2.1.1!J11</f>
        <v>577330.75711153331</v>
      </c>
      <c r="K64" s="144">
        <f>WkB_1_2.1.1!K11</f>
        <v>2275959.8228357206</v>
      </c>
    </row>
    <row r="65" spans="1:11" ht="11.25" customHeight="1" x14ac:dyDescent="0.2">
      <c r="A65" s="42">
        <f>IF(SUM($E65:$K65)&gt;0,1,0)</f>
        <v>0</v>
      </c>
      <c r="D65" s="6" t="s">
        <v>183</v>
      </c>
      <c r="E65" s="70">
        <f>IF(ROUND(E62-E64,0)&lt;&gt;0,1,0)</f>
        <v>0</v>
      </c>
      <c r="F65" s="70">
        <f t="shared" ref="F65" si="2">IF(ROUND(F62-F64,0)&lt;&gt;0,1,0)</f>
        <v>0</v>
      </c>
      <c r="G65" s="70">
        <f t="shared" ref="G65" si="3">IF(ROUND(G62-G64,0)&lt;&gt;0,1,0)</f>
        <v>0</v>
      </c>
      <c r="H65" s="70">
        <f t="shared" ref="H65" si="4">IF(ROUND(H62-H64,0)&lt;&gt;0,1,0)</f>
        <v>0</v>
      </c>
      <c r="I65" s="70">
        <f t="shared" ref="I65" si="5">IF(ROUND(I62-I64,0)&lt;&gt;0,1,0)</f>
        <v>0</v>
      </c>
      <c r="J65" s="70">
        <f t="shared" ref="J65" si="6">IF(ROUND(J62-J64,0)&lt;&gt;0,1,0)</f>
        <v>0</v>
      </c>
      <c r="K65" s="70">
        <f t="shared" ref="K65" si="7">IF(ROUND(K62-K64,0)&lt;&gt;0,1,0)</f>
        <v>0</v>
      </c>
    </row>
    <row r="66" spans="1:11" ht="11.25" customHeight="1" x14ac:dyDescent="0.2"/>
    <row r="67" spans="1:11" s="7" customFormat="1" ht="15" x14ac:dyDescent="0.2">
      <c r="C67" s="7" t="s">
        <v>379</v>
      </c>
    </row>
    <row r="68" spans="1:11" ht="11.25" customHeight="1" thickBot="1" x14ac:dyDescent="0.25"/>
    <row r="69" spans="1:11" ht="19.5" thickBot="1" x14ac:dyDescent="0.25">
      <c r="D69" s="594" t="s">
        <v>458</v>
      </c>
      <c r="E69" s="595"/>
      <c r="F69" s="595"/>
      <c r="G69" s="595"/>
      <c r="H69" s="595"/>
      <c r="I69" s="595"/>
      <c r="J69" s="595"/>
      <c r="K69" s="595"/>
    </row>
    <row r="70" spans="1:11" ht="47.1" customHeight="1" thickBot="1" x14ac:dyDescent="0.25">
      <c r="D70"/>
      <c r="E70" s="1216" t="s">
        <v>509</v>
      </c>
      <c r="F70" s="1217"/>
      <c r="G70" s="1217"/>
      <c r="H70" s="1217"/>
      <c r="I70" s="1217"/>
      <c r="J70" s="1217"/>
      <c r="K70" s="1218"/>
    </row>
    <row r="71" spans="1:11" ht="13.5" thickBot="1" x14ac:dyDescent="0.25">
      <c r="D71"/>
      <c r="E71" s="53" t="s">
        <v>167</v>
      </c>
      <c r="F71" s="54" t="s">
        <v>168</v>
      </c>
      <c r="G71" s="55" t="s">
        <v>169</v>
      </c>
      <c r="H71" s="56" t="s">
        <v>170</v>
      </c>
      <c r="I71" s="56" t="s">
        <v>171</v>
      </c>
      <c r="J71" s="56" t="s">
        <v>172</v>
      </c>
      <c r="K71" s="57" t="s">
        <v>181</v>
      </c>
    </row>
    <row r="72" spans="1:11" ht="16.5" thickBot="1" x14ac:dyDescent="0.3">
      <c r="D72" s="596" t="s">
        <v>242</v>
      </c>
      <c r="E72" s="397"/>
      <c r="F72" s="397"/>
      <c r="G72" s="397"/>
      <c r="H72" s="397"/>
      <c r="I72" s="397"/>
      <c r="J72" s="397"/>
      <c r="K72" s="597"/>
    </row>
    <row r="73" spans="1:11" ht="11.25" customHeight="1" x14ac:dyDescent="0.25">
      <c r="D73" s="598" t="s">
        <v>816</v>
      </c>
      <c r="E73" s="966" t="s">
        <v>701</v>
      </c>
      <c r="F73" s="967" t="s">
        <v>701</v>
      </c>
      <c r="G73" s="599"/>
      <c r="H73" s="600"/>
      <c r="I73" s="600"/>
      <c r="J73" s="600"/>
      <c r="K73" s="587"/>
    </row>
    <row r="74" spans="1:11" ht="11.25" customHeight="1" x14ac:dyDescent="0.25">
      <c r="D74" s="601" t="s">
        <v>817</v>
      </c>
      <c r="E74" s="968" t="s">
        <v>701</v>
      </c>
      <c r="F74" s="969" t="s">
        <v>701</v>
      </c>
      <c r="G74" s="602"/>
      <c r="H74" s="603"/>
      <c r="I74" s="603"/>
      <c r="J74" s="603"/>
      <c r="K74" s="589"/>
    </row>
    <row r="75" spans="1:11" ht="11.25" customHeight="1" x14ac:dyDescent="0.25">
      <c r="D75" s="601" t="s">
        <v>818</v>
      </c>
      <c r="E75" s="968" t="s">
        <v>701</v>
      </c>
      <c r="F75" s="969" t="s">
        <v>701</v>
      </c>
      <c r="G75" s="602"/>
      <c r="H75" s="603"/>
      <c r="I75" s="603"/>
      <c r="J75" s="603"/>
      <c r="K75" s="589"/>
    </row>
    <row r="76" spans="1:11" ht="11.25" customHeight="1" x14ac:dyDescent="0.25">
      <c r="D76" s="601" t="s">
        <v>819</v>
      </c>
      <c r="E76" s="968" t="s">
        <v>701</v>
      </c>
      <c r="F76" s="969" t="s">
        <v>701</v>
      </c>
      <c r="G76" s="602"/>
      <c r="H76" s="603"/>
      <c r="I76" s="603"/>
      <c r="J76" s="603"/>
      <c r="K76" s="589"/>
    </row>
    <row r="77" spans="1:11" ht="11.25" customHeight="1" x14ac:dyDescent="0.25">
      <c r="D77" s="601" t="s">
        <v>820</v>
      </c>
      <c r="E77" s="968" t="s">
        <v>701</v>
      </c>
      <c r="F77" s="969" t="s">
        <v>701</v>
      </c>
      <c r="G77" s="602"/>
      <c r="H77" s="603"/>
      <c r="I77" s="603"/>
      <c r="J77" s="603"/>
      <c r="K77" s="589"/>
    </row>
    <row r="78" spans="1:11" ht="11.25" customHeight="1" x14ac:dyDescent="0.25">
      <c r="D78" s="601" t="s">
        <v>821</v>
      </c>
      <c r="E78" s="968" t="s">
        <v>701</v>
      </c>
      <c r="F78" s="969" t="s">
        <v>701</v>
      </c>
      <c r="G78" s="602"/>
      <c r="H78" s="603"/>
      <c r="I78" s="603"/>
      <c r="J78" s="603"/>
      <c r="K78" s="589"/>
    </row>
    <row r="79" spans="1:11" ht="11.25" customHeight="1" x14ac:dyDescent="0.25">
      <c r="D79" s="601" t="s">
        <v>822</v>
      </c>
      <c r="E79" s="968" t="s">
        <v>701</v>
      </c>
      <c r="F79" s="969" t="s">
        <v>701</v>
      </c>
      <c r="G79" s="602"/>
      <c r="H79" s="603"/>
      <c r="I79" s="603"/>
      <c r="J79" s="603"/>
      <c r="K79" s="589"/>
    </row>
    <row r="80" spans="1:11" ht="11.25" customHeight="1" outlineLevel="1" x14ac:dyDescent="0.25">
      <c r="D80" s="601">
        <v>0</v>
      </c>
      <c r="E80" s="1072">
        <v>0</v>
      </c>
      <c r="F80" s="1073">
        <v>0</v>
      </c>
      <c r="G80" s="602"/>
      <c r="H80" s="603"/>
      <c r="I80" s="603"/>
      <c r="J80" s="603"/>
      <c r="K80" s="589"/>
    </row>
    <row r="81" spans="4:11" ht="11.25" customHeight="1" outlineLevel="1" x14ac:dyDescent="0.25">
      <c r="D81" s="601">
        <v>0</v>
      </c>
      <c r="E81" s="1072">
        <v>0</v>
      </c>
      <c r="F81" s="1073">
        <v>0</v>
      </c>
      <c r="G81" s="602"/>
      <c r="H81" s="603"/>
      <c r="I81" s="603"/>
      <c r="J81" s="603"/>
      <c r="K81" s="589"/>
    </row>
    <row r="82" spans="4:11" ht="11.25" customHeight="1" outlineLevel="1" x14ac:dyDescent="0.25">
      <c r="D82" s="601">
        <v>0</v>
      </c>
      <c r="E82" s="1072">
        <v>0</v>
      </c>
      <c r="F82" s="1073">
        <v>0</v>
      </c>
      <c r="G82" s="602"/>
      <c r="H82" s="603"/>
      <c r="I82" s="603"/>
      <c r="J82" s="603"/>
      <c r="K82" s="589"/>
    </row>
    <row r="83" spans="4:11" ht="11.25" customHeight="1" outlineLevel="1" x14ac:dyDescent="0.25">
      <c r="D83" s="601">
        <v>0</v>
      </c>
      <c r="E83" s="1072">
        <v>0</v>
      </c>
      <c r="F83" s="1073">
        <v>0</v>
      </c>
      <c r="G83" s="602"/>
      <c r="H83" s="603"/>
      <c r="I83" s="603"/>
      <c r="J83" s="603"/>
      <c r="K83" s="589"/>
    </row>
    <row r="84" spans="4:11" ht="11.25" customHeight="1" outlineLevel="1" x14ac:dyDescent="0.25">
      <c r="D84" s="601">
        <v>0</v>
      </c>
      <c r="E84" s="1072">
        <v>0</v>
      </c>
      <c r="F84" s="1073">
        <v>0</v>
      </c>
      <c r="G84" s="602"/>
      <c r="H84" s="603"/>
      <c r="I84" s="603"/>
      <c r="J84" s="603"/>
      <c r="K84" s="589"/>
    </row>
    <row r="85" spans="4:11" ht="11.25" customHeight="1" outlineLevel="1" x14ac:dyDescent="0.25">
      <c r="D85" s="601">
        <v>0</v>
      </c>
      <c r="E85" s="1072">
        <v>0</v>
      </c>
      <c r="F85" s="1073">
        <v>0</v>
      </c>
      <c r="G85" s="602"/>
      <c r="H85" s="603"/>
      <c r="I85" s="603"/>
      <c r="J85" s="603"/>
      <c r="K85" s="589"/>
    </row>
    <row r="86" spans="4:11" ht="11.25" customHeight="1" outlineLevel="1" x14ac:dyDescent="0.25">
      <c r="D86" s="601">
        <v>0</v>
      </c>
      <c r="E86" s="1072">
        <v>0</v>
      </c>
      <c r="F86" s="1073">
        <v>0</v>
      </c>
      <c r="G86" s="602"/>
      <c r="H86" s="603"/>
      <c r="I86" s="603"/>
      <c r="J86" s="603"/>
      <c r="K86" s="589"/>
    </row>
    <row r="87" spans="4:11" ht="11.25" customHeight="1" outlineLevel="1" x14ac:dyDescent="0.25">
      <c r="D87" s="601">
        <v>0</v>
      </c>
      <c r="E87" s="1072">
        <v>0</v>
      </c>
      <c r="F87" s="1073">
        <v>0</v>
      </c>
      <c r="G87" s="602"/>
      <c r="H87" s="603"/>
      <c r="I87" s="603"/>
      <c r="J87" s="603"/>
      <c r="K87" s="589"/>
    </row>
    <row r="88" spans="4:11" ht="11.25" customHeight="1" outlineLevel="1" x14ac:dyDescent="0.25">
      <c r="D88" s="601">
        <v>0</v>
      </c>
      <c r="E88" s="1072">
        <v>0</v>
      </c>
      <c r="F88" s="1073">
        <v>0</v>
      </c>
      <c r="G88" s="602"/>
      <c r="H88" s="603"/>
      <c r="I88" s="603"/>
      <c r="J88" s="603"/>
      <c r="K88" s="589"/>
    </row>
    <row r="89" spans="4:11" ht="11.25" customHeight="1" outlineLevel="1" x14ac:dyDescent="0.25">
      <c r="D89" s="601">
        <v>0</v>
      </c>
      <c r="E89" s="1072">
        <v>0</v>
      </c>
      <c r="F89" s="1073">
        <v>0</v>
      </c>
      <c r="G89" s="602"/>
      <c r="H89" s="603"/>
      <c r="I89" s="603"/>
      <c r="J89" s="603"/>
      <c r="K89" s="589"/>
    </row>
    <row r="90" spans="4:11" ht="11.25" customHeight="1" outlineLevel="1" x14ac:dyDescent="0.25">
      <c r="D90" s="601">
        <v>0</v>
      </c>
      <c r="E90" s="1072">
        <v>0</v>
      </c>
      <c r="F90" s="1073">
        <v>0</v>
      </c>
      <c r="G90" s="602"/>
      <c r="H90" s="603"/>
      <c r="I90" s="603"/>
      <c r="J90" s="603"/>
      <c r="K90" s="589"/>
    </row>
    <row r="91" spans="4:11" ht="11.25" customHeight="1" outlineLevel="1" x14ac:dyDescent="0.25">
      <c r="D91" s="601">
        <v>0</v>
      </c>
      <c r="E91" s="1072">
        <v>0</v>
      </c>
      <c r="F91" s="1073">
        <v>0</v>
      </c>
      <c r="G91" s="602"/>
      <c r="H91" s="603"/>
      <c r="I91" s="603"/>
      <c r="J91" s="603"/>
      <c r="K91" s="589"/>
    </row>
    <row r="92" spans="4:11" ht="11.25" customHeight="1" outlineLevel="1" x14ac:dyDescent="0.25">
      <c r="D92" s="1071">
        <v>0</v>
      </c>
      <c r="E92" s="1072">
        <v>0</v>
      </c>
      <c r="F92" s="1073">
        <v>0</v>
      </c>
      <c r="G92" s="602"/>
      <c r="H92" s="603"/>
      <c r="I92" s="603"/>
      <c r="J92" s="603"/>
      <c r="K92" s="589"/>
    </row>
    <row r="93" spans="4:11" ht="11.25" customHeight="1" outlineLevel="1" x14ac:dyDescent="0.25">
      <c r="D93" s="1071">
        <v>0</v>
      </c>
      <c r="E93" s="1072">
        <v>0</v>
      </c>
      <c r="F93" s="1073">
        <v>0</v>
      </c>
      <c r="G93" s="602"/>
      <c r="H93" s="603"/>
      <c r="I93" s="603"/>
      <c r="J93" s="603"/>
      <c r="K93" s="589"/>
    </row>
    <row r="94" spans="4:11" ht="11.25" customHeight="1" outlineLevel="1" x14ac:dyDescent="0.25">
      <c r="D94" s="1071">
        <v>0</v>
      </c>
      <c r="E94" s="1072">
        <v>0</v>
      </c>
      <c r="F94" s="1073">
        <v>0</v>
      </c>
      <c r="G94" s="602"/>
      <c r="H94" s="603"/>
      <c r="I94" s="603"/>
      <c r="J94" s="603"/>
      <c r="K94" s="589"/>
    </row>
    <row r="95" spans="4:11" ht="11.25" customHeight="1" outlineLevel="1" x14ac:dyDescent="0.25">
      <c r="D95" s="1071">
        <v>0</v>
      </c>
      <c r="E95" s="1072">
        <v>0</v>
      </c>
      <c r="F95" s="1073">
        <v>0</v>
      </c>
      <c r="G95" s="602"/>
      <c r="H95" s="603"/>
      <c r="I95" s="603"/>
      <c r="J95" s="603"/>
      <c r="K95" s="589"/>
    </row>
    <row r="96" spans="4:11" ht="11.25" customHeight="1" outlineLevel="1" x14ac:dyDescent="0.25">
      <c r="D96" s="1071">
        <v>0</v>
      </c>
      <c r="E96" s="1072">
        <v>0</v>
      </c>
      <c r="F96" s="1073">
        <v>0</v>
      </c>
      <c r="G96" s="602"/>
      <c r="H96" s="603"/>
      <c r="I96" s="603"/>
      <c r="J96" s="603"/>
      <c r="K96" s="589"/>
    </row>
    <row r="97" spans="4:11" ht="11.25" customHeight="1" outlineLevel="1" thickBot="1" x14ac:dyDescent="0.3">
      <c r="D97" s="604">
        <v>0</v>
      </c>
      <c r="E97" s="1072">
        <v>0</v>
      </c>
      <c r="F97" s="1073">
        <v>0</v>
      </c>
      <c r="G97" s="605"/>
      <c r="H97" s="606"/>
      <c r="I97" s="606"/>
      <c r="J97" s="606"/>
      <c r="K97" s="589"/>
    </row>
    <row r="98" spans="4:11" ht="16.5" thickBot="1" x14ac:dyDescent="0.3">
      <c r="D98" s="596" t="s">
        <v>243</v>
      </c>
      <c r="E98" s="1070"/>
      <c r="F98" s="1070"/>
      <c r="G98" s="397"/>
      <c r="H98" s="397"/>
      <c r="I98" s="397"/>
      <c r="J98" s="397"/>
      <c r="K98" s="597"/>
    </row>
    <row r="99" spans="4:11" ht="11.25" customHeight="1" x14ac:dyDescent="0.25">
      <c r="D99" s="607" t="str">
        <f>D73</f>
        <v>Sydney West load increase - Need N2291</v>
      </c>
      <c r="E99" s="970" t="s">
        <v>701</v>
      </c>
      <c r="F99" s="967" t="s">
        <v>701</v>
      </c>
      <c r="G99" s="599"/>
      <c r="H99" s="600"/>
      <c r="I99" s="600"/>
      <c r="J99" s="600"/>
      <c r="K99" s="587"/>
    </row>
    <row r="100" spans="4:11" ht="11.25" customHeight="1" x14ac:dyDescent="0.25">
      <c r="D100" s="608" t="str">
        <f t="shared" ref="D100:D123" si="8">D74</f>
        <v>Macarthur 66kV connection Mt Gilead sub - Need 1444</v>
      </c>
      <c r="E100" s="971" t="s">
        <v>701</v>
      </c>
      <c r="F100" s="969" t="s">
        <v>701</v>
      </c>
      <c r="G100" s="602"/>
      <c r="H100" s="603"/>
      <c r="I100" s="603"/>
      <c r="J100" s="603"/>
      <c r="K100" s="589"/>
    </row>
    <row r="101" spans="4:11" ht="11.25" customHeight="1" x14ac:dyDescent="0.25">
      <c r="D101" s="608" t="str">
        <f t="shared" si="8"/>
        <v>Load Growth at West Syd Employment Area - Need N2203</v>
      </c>
      <c r="E101" s="971" t="s">
        <v>701</v>
      </c>
      <c r="F101" s="969" t="s">
        <v>701</v>
      </c>
      <c r="G101" s="602"/>
      <c r="H101" s="603"/>
      <c r="I101" s="603"/>
      <c r="J101" s="603"/>
      <c r="K101" s="589"/>
    </row>
    <row r="102" spans="4:11" ht="11.25" customHeight="1" x14ac:dyDescent="0.25">
      <c r="D102" s="608" t="str">
        <f t="shared" si="8"/>
        <v>Sydney West Battery BESS Install</v>
      </c>
      <c r="E102" s="971" t="s">
        <v>701</v>
      </c>
      <c r="F102" s="969" t="s">
        <v>701</v>
      </c>
      <c r="G102" s="602"/>
      <c r="H102" s="603"/>
      <c r="I102" s="603"/>
      <c r="J102" s="603"/>
      <c r="K102" s="589"/>
    </row>
    <row r="103" spans="4:11" ht="11.25" customHeight="1" x14ac:dyDescent="0.25">
      <c r="D103" s="608" t="str">
        <f t="shared" si="8"/>
        <v>New Macquarie STS connection - Need N2313</v>
      </c>
      <c r="E103" s="971" t="s">
        <v>701</v>
      </c>
      <c r="F103" s="969" t="s">
        <v>701</v>
      </c>
      <c r="G103" s="602"/>
      <c r="H103" s="603"/>
      <c r="I103" s="603"/>
      <c r="J103" s="603"/>
      <c r="K103" s="589"/>
    </row>
    <row r="104" spans="4:11" ht="11.25" customHeight="1" x14ac:dyDescent="0.25">
      <c r="D104" s="608" t="str">
        <f t="shared" si="8"/>
        <v>Connection of Molonglo Zone Substation - Need 1695</v>
      </c>
      <c r="E104" s="971" t="s">
        <v>701</v>
      </c>
      <c r="F104" s="969" t="s">
        <v>701</v>
      </c>
      <c r="G104" s="602"/>
      <c r="H104" s="603"/>
      <c r="I104" s="603"/>
      <c r="J104" s="603"/>
      <c r="K104" s="589"/>
    </row>
    <row r="105" spans="4:11" ht="11.25" customHeight="1" x14ac:dyDescent="0.25">
      <c r="D105" s="608" t="str">
        <f t="shared" si="8"/>
        <v>Vineyard 132kV connection - Box Hill Sub - Need 691</v>
      </c>
      <c r="E105" s="971" t="s">
        <v>701</v>
      </c>
      <c r="F105" s="969" t="s">
        <v>701</v>
      </c>
      <c r="G105" s="602"/>
      <c r="H105" s="603"/>
      <c r="I105" s="603"/>
      <c r="J105" s="603"/>
      <c r="K105" s="589"/>
    </row>
    <row r="106" spans="4:11" ht="11.25" customHeight="1" outlineLevel="1" x14ac:dyDescent="0.25">
      <c r="D106" s="224">
        <f t="shared" si="8"/>
        <v>0</v>
      </c>
      <c r="E106" s="1074">
        <v>0</v>
      </c>
      <c r="F106" s="1073">
        <v>0</v>
      </c>
      <c r="G106" s="602"/>
      <c r="H106" s="603"/>
      <c r="I106" s="603"/>
      <c r="J106" s="603"/>
      <c r="K106" s="589"/>
    </row>
    <row r="107" spans="4:11" ht="11.25" customHeight="1" outlineLevel="1" x14ac:dyDescent="0.25">
      <c r="D107" s="224">
        <f t="shared" si="8"/>
        <v>0</v>
      </c>
      <c r="E107" s="1074">
        <v>0</v>
      </c>
      <c r="F107" s="1073">
        <v>0</v>
      </c>
      <c r="G107" s="602"/>
      <c r="H107" s="603"/>
      <c r="I107" s="603"/>
      <c r="J107" s="603"/>
      <c r="K107" s="589"/>
    </row>
    <row r="108" spans="4:11" ht="11.25" customHeight="1" outlineLevel="1" x14ac:dyDescent="0.25">
      <c r="D108" s="224">
        <f t="shared" si="8"/>
        <v>0</v>
      </c>
      <c r="E108" s="1074">
        <v>0</v>
      </c>
      <c r="F108" s="1073">
        <v>0</v>
      </c>
      <c r="G108" s="602"/>
      <c r="H108" s="603"/>
      <c r="I108" s="603"/>
      <c r="J108" s="603"/>
      <c r="K108" s="589"/>
    </row>
    <row r="109" spans="4:11" ht="11.25" customHeight="1" outlineLevel="1" x14ac:dyDescent="0.25">
      <c r="D109" s="224">
        <f t="shared" si="8"/>
        <v>0</v>
      </c>
      <c r="E109" s="1074">
        <v>0</v>
      </c>
      <c r="F109" s="1073">
        <v>0</v>
      </c>
      <c r="G109" s="602"/>
      <c r="H109" s="603"/>
      <c r="I109" s="603"/>
      <c r="J109" s="603"/>
      <c r="K109" s="589"/>
    </row>
    <row r="110" spans="4:11" ht="11.25" customHeight="1" outlineLevel="1" x14ac:dyDescent="0.25">
      <c r="D110" s="224">
        <f t="shared" si="8"/>
        <v>0</v>
      </c>
      <c r="E110" s="1074">
        <v>0</v>
      </c>
      <c r="F110" s="1073">
        <v>0</v>
      </c>
      <c r="G110" s="602"/>
      <c r="H110" s="603"/>
      <c r="I110" s="603"/>
      <c r="J110" s="603"/>
      <c r="K110" s="589"/>
    </row>
    <row r="111" spans="4:11" ht="11.25" customHeight="1" outlineLevel="1" x14ac:dyDescent="0.25">
      <c r="D111" s="224">
        <f t="shared" si="8"/>
        <v>0</v>
      </c>
      <c r="E111" s="1074">
        <v>0</v>
      </c>
      <c r="F111" s="1073">
        <v>0</v>
      </c>
      <c r="G111" s="602"/>
      <c r="H111" s="603"/>
      <c r="I111" s="603"/>
      <c r="J111" s="603"/>
      <c r="K111" s="589"/>
    </row>
    <row r="112" spans="4:11" ht="11.25" customHeight="1" outlineLevel="1" x14ac:dyDescent="0.25">
      <c r="D112" s="224">
        <f t="shared" si="8"/>
        <v>0</v>
      </c>
      <c r="E112" s="1074">
        <v>0</v>
      </c>
      <c r="F112" s="1073">
        <v>0</v>
      </c>
      <c r="G112" s="602"/>
      <c r="H112" s="603"/>
      <c r="I112" s="603"/>
      <c r="J112" s="603"/>
      <c r="K112" s="589"/>
    </row>
    <row r="113" spans="4:11" ht="11.25" customHeight="1" outlineLevel="1" x14ac:dyDescent="0.25">
      <c r="D113" s="224">
        <f t="shared" si="8"/>
        <v>0</v>
      </c>
      <c r="E113" s="1074">
        <v>0</v>
      </c>
      <c r="F113" s="1073">
        <v>0</v>
      </c>
      <c r="G113" s="602"/>
      <c r="H113" s="603"/>
      <c r="I113" s="603"/>
      <c r="J113" s="603"/>
      <c r="K113" s="589"/>
    </row>
    <row r="114" spans="4:11" ht="11.25" customHeight="1" outlineLevel="1" x14ac:dyDescent="0.25">
      <c r="D114" s="224">
        <f t="shared" si="8"/>
        <v>0</v>
      </c>
      <c r="E114" s="1074">
        <v>0</v>
      </c>
      <c r="F114" s="1073">
        <v>0</v>
      </c>
      <c r="G114" s="602"/>
      <c r="H114" s="603"/>
      <c r="I114" s="603"/>
      <c r="J114" s="603"/>
      <c r="K114" s="589"/>
    </row>
    <row r="115" spans="4:11" ht="11.25" customHeight="1" outlineLevel="1" x14ac:dyDescent="0.25">
      <c r="D115" s="224">
        <f t="shared" si="8"/>
        <v>0</v>
      </c>
      <c r="E115" s="1074">
        <v>0</v>
      </c>
      <c r="F115" s="1073">
        <v>0</v>
      </c>
      <c r="G115" s="602"/>
      <c r="H115" s="603"/>
      <c r="I115" s="603"/>
      <c r="J115" s="603"/>
      <c r="K115" s="589"/>
    </row>
    <row r="116" spans="4:11" ht="11.25" customHeight="1" outlineLevel="1" x14ac:dyDescent="0.25">
      <c r="D116" s="224">
        <f t="shared" si="8"/>
        <v>0</v>
      </c>
      <c r="E116" s="1074">
        <v>0</v>
      </c>
      <c r="F116" s="1073">
        <v>0</v>
      </c>
      <c r="G116" s="602"/>
      <c r="H116" s="603"/>
      <c r="I116" s="603"/>
      <c r="J116" s="603"/>
      <c r="K116" s="589"/>
    </row>
    <row r="117" spans="4:11" ht="11.25" customHeight="1" outlineLevel="1" x14ac:dyDescent="0.25">
      <c r="D117" s="224">
        <f t="shared" si="8"/>
        <v>0</v>
      </c>
      <c r="E117" s="1074">
        <v>0</v>
      </c>
      <c r="F117" s="1073">
        <v>0</v>
      </c>
      <c r="G117" s="602"/>
      <c r="H117" s="603"/>
      <c r="I117" s="603"/>
      <c r="J117" s="603"/>
      <c r="K117" s="589"/>
    </row>
    <row r="118" spans="4:11" ht="11.25" customHeight="1" outlineLevel="1" x14ac:dyDescent="0.25">
      <c r="D118" s="224">
        <f t="shared" si="8"/>
        <v>0</v>
      </c>
      <c r="E118" s="1074">
        <v>0</v>
      </c>
      <c r="F118" s="1073">
        <v>0</v>
      </c>
      <c r="G118" s="602"/>
      <c r="H118" s="603"/>
      <c r="I118" s="603"/>
      <c r="J118" s="603"/>
      <c r="K118" s="589"/>
    </row>
    <row r="119" spans="4:11" ht="11.25" customHeight="1" outlineLevel="1" x14ac:dyDescent="0.25">
      <c r="D119" s="224">
        <f t="shared" si="8"/>
        <v>0</v>
      </c>
      <c r="E119" s="1074">
        <v>0</v>
      </c>
      <c r="F119" s="1073">
        <v>0</v>
      </c>
      <c r="G119" s="602"/>
      <c r="H119" s="603"/>
      <c r="I119" s="603"/>
      <c r="J119" s="603"/>
      <c r="K119" s="589"/>
    </row>
    <row r="120" spans="4:11" ht="11.25" customHeight="1" outlineLevel="1" x14ac:dyDescent="0.25">
      <c r="D120" s="224">
        <f t="shared" si="8"/>
        <v>0</v>
      </c>
      <c r="E120" s="1074">
        <v>0</v>
      </c>
      <c r="F120" s="1073">
        <v>0</v>
      </c>
      <c r="G120" s="602"/>
      <c r="H120" s="603"/>
      <c r="I120" s="603"/>
      <c r="J120" s="603"/>
      <c r="K120" s="589"/>
    </row>
    <row r="121" spans="4:11" ht="11.25" customHeight="1" outlineLevel="1" x14ac:dyDescent="0.25">
      <c r="D121" s="224">
        <f t="shared" si="8"/>
        <v>0</v>
      </c>
      <c r="E121" s="1074">
        <v>0</v>
      </c>
      <c r="F121" s="1073">
        <v>0</v>
      </c>
      <c r="G121" s="602"/>
      <c r="H121" s="603"/>
      <c r="I121" s="603"/>
      <c r="J121" s="603"/>
      <c r="K121" s="589"/>
    </row>
    <row r="122" spans="4:11" ht="11.25" customHeight="1" outlineLevel="1" x14ac:dyDescent="0.25">
      <c r="D122" s="224">
        <f t="shared" si="8"/>
        <v>0</v>
      </c>
      <c r="E122" s="1074">
        <v>0</v>
      </c>
      <c r="F122" s="1073">
        <v>0</v>
      </c>
      <c r="G122" s="602"/>
      <c r="H122" s="603"/>
      <c r="I122" s="603"/>
      <c r="J122" s="603"/>
      <c r="K122" s="589"/>
    </row>
    <row r="123" spans="4:11" ht="11.25" customHeight="1" outlineLevel="1" thickBot="1" x14ac:dyDescent="0.3">
      <c r="D123" s="225">
        <f t="shared" si="8"/>
        <v>0</v>
      </c>
      <c r="E123" s="1075">
        <v>0</v>
      </c>
      <c r="F123" s="1076">
        <v>0</v>
      </c>
      <c r="G123" s="605"/>
      <c r="H123" s="606"/>
      <c r="I123" s="606"/>
      <c r="J123" s="606"/>
      <c r="K123" s="609"/>
    </row>
    <row r="124" spans="4:11" ht="11.25" customHeight="1" x14ac:dyDescent="0.2"/>
    <row r="125" spans="4:11" ht="11.25" customHeight="1" x14ac:dyDescent="0.2">
      <c r="D125" s="6" t="s">
        <v>524</v>
      </c>
      <c r="E125" s="144">
        <v>7520435.8600000003</v>
      </c>
      <c r="F125" s="144">
        <v>803578.9</v>
      </c>
    </row>
    <row r="126" spans="4:11" ht="11.25" customHeight="1" x14ac:dyDescent="0.2">
      <c r="D126" s="6" t="s">
        <v>525</v>
      </c>
      <c r="E126" s="144">
        <v>1334626.1400000001</v>
      </c>
      <c r="F126" s="144">
        <v>481294.15</v>
      </c>
    </row>
    <row r="127" spans="4:11" ht="11.25" customHeight="1" x14ac:dyDescent="0.2">
      <c r="D127" s="6" t="s">
        <v>526</v>
      </c>
      <c r="E127" s="144">
        <f>SUM(E125:E126)</f>
        <v>8855062</v>
      </c>
      <c r="F127" s="144">
        <f>SUM(F125:F126)</f>
        <v>1284873.05</v>
      </c>
    </row>
    <row r="128" spans="4:11" ht="11.25" customHeight="1" x14ac:dyDescent="0.2">
      <c r="D128" s="6"/>
      <c r="E128" s="236"/>
      <c r="F128" s="236"/>
    </row>
    <row r="129" spans="1:6" ht="11.25" customHeight="1" x14ac:dyDescent="0.2">
      <c r="D129" s="6" t="s">
        <v>182</v>
      </c>
      <c r="E129" s="144">
        <f>WkB_1_2.1.1!E27</f>
        <v>8855062.1567905638</v>
      </c>
      <c r="F129" s="144">
        <f>WkB_1_2.1.1!F27</f>
        <v>1284873.1654657284</v>
      </c>
    </row>
    <row r="130" spans="1:6" ht="11.25" customHeight="1" x14ac:dyDescent="0.2">
      <c r="D130" s="6" t="s">
        <v>564</v>
      </c>
      <c r="E130" s="141">
        <v>8855062</v>
      </c>
      <c r="F130" s="142">
        <v>1284873.05</v>
      </c>
    </row>
    <row r="131" spans="1:6" ht="11.25" customHeight="1" x14ac:dyDescent="0.2">
      <c r="A131" s="42">
        <f>IF(SUM($E131:$K131)&gt;0,1,0)</f>
        <v>0</v>
      </c>
      <c r="D131" s="6" t="s">
        <v>183</v>
      </c>
      <c r="E131" s="739">
        <f>IF(OR(ROUND(E127-E130,0)&lt;&gt;0,ROUND(E127-E129,0)&lt;&gt;0),1,0)</f>
        <v>0</v>
      </c>
      <c r="F131" s="739">
        <f>IF(OR(ROUND(F127-F130,0)&lt;&gt;0,ROUND(F127-F129,0)&lt;&gt;0),1,0)</f>
        <v>0</v>
      </c>
    </row>
    <row r="132" spans="1:6" ht="11.25" customHeight="1" x14ac:dyDescent="0.2"/>
    <row r="133" spans="1:6" s="47" customFormat="1" ht="15.75" x14ac:dyDescent="0.2">
      <c r="B133" s="47" t="s">
        <v>32</v>
      </c>
    </row>
  </sheetData>
  <mergeCells count="2">
    <mergeCell ref="E8:K8"/>
    <mergeCell ref="E70:K70"/>
  </mergeCells>
  <conditionalFormatting sqref="B2">
    <cfRule type="cellIs" dxfId="122" priority="4" operator="notEqual">
      <formula>"No Errors Found"</formula>
    </cfRule>
  </conditionalFormatting>
  <conditionalFormatting sqref="K11:K35 K37:K61">
    <cfRule type="expression" dxfId="121" priority="3">
      <formula>(dms_FRCPlength_Num)&lt;5</formula>
    </cfRule>
  </conditionalFormatting>
  <conditionalFormatting sqref="K73:K97">
    <cfRule type="expression" dxfId="120" priority="2">
      <formula>(dms_FRCPlength_Num)&lt;5</formula>
    </cfRule>
  </conditionalFormatting>
  <conditionalFormatting sqref="K99:K123">
    <cfRule type="expression" dxfId="119" priority="1">
      <formula>(dms_FRCPlength_Num)&lt;5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33"/>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38.1640625" style="46" customWidth="1"/>
    <col min="5" max="5" width="76" style="46" customWidth="1"/>
    <col min="6" max="13" width="22.6640625" style="46" customWidth="1"/>
    <col min="14" max="32" width="10.6640625" style="46" customWidth="1"/>
    <col min="33" max="16384" width="9.33203125" style="46"/>
  </cols>
  <sheetData>
    <row r="1" spans="1:13" ht="19.5" x14ac:dyDescent="0.2">
      <c r="A1" s="42">
        <f>IF(SUM($A3:$A133)&gt;0,1,0)</f>
        <v>0</v>
      </c>
      <c r="B1" s="3" t="s">
        <v>331</v>
      </c>
    </row>
    <row r="2" spans="1:13" x14ac:dyDescent="0.2">
      <c r="B2" s="9" t="str">
        <f>Title_Msg</f>
        <v>No Errors Found</v>
      </c>
    </row>
    <row r="3" spans="1:13" s="47" customFormat="1" ht="15.75" x14ac:dyDescent="0.2">
      <c r="B3" s="47" t="str">
        <f>WkB_1_2.1.1!$B$3</f>
        <v>Data required to populate TransGrid's 2023-28 regulatory submission</v>
      </c>
    </row>
    <row r="4" spans="1:13" ht="4.5" customHeight="1" x14ac:dyDescent="0.2"/>
    <row r="5" spans="1:13" s="7" customFormat="1" ht="15" x14ac:dyDescent="0.2">
      <c r="C5" s="7" t="str">
        <f>WkB_1_2.1.1!$C$5</f>
        <v>Output - RIN template</v>
      </c>
    </row>
    <row r="6" spans="1:13" ht="11.25" customHeight="1" x14ac:dyDescent="0.2"/>
    <row r="7" spans="1:13" ht="19.5" thickBot="1" x14ac:dyDescent="0.3">
      <c r="D7" s="51" t="str">
        <f>B1</f>
        <v>2.6.1 - Non-Network Expenditure</v>
      </c>
      <c r="E7" s="51"/>
      <c r="F7" s="52"/>
      <c r="G7" s="52"/>
      <c r="H7" s="52"/>
      <c r="I7" s="52"/>
      <c r="J7" s="52"/>
      <c r="K7" s="52"/>
      <c r="L7" s="52"/>
    </row>
    <row r="8" spans="1:13" ht="28.15" customHeight="1" thickBot="1" x14ac:dyDescent="0.25">
      <c r="D8"/>
      <c r="E8"/>
      <c r="F8" s="1082" t="str">
        <f>WkB_1_2.1.1!$E$8</f>
        <v>Forecast 
($0's. real June 2023)</v>
      </c>
      <c r="G8" s="1083"/>
      <c r="H8" s="1083"/>
      <c r="I8" s="1083"/>
      <c r="J8" s="1083"/>
      <c r="K8" s="1083"/>
      <c r="L8" s="1084"/>
    </row>
    <row r="9" spans="1:13" ht="18.600000000000001" customHeight="1" thickBot="1" x14ac:dyDescent="0.25">
      <c r="D9" s="213" t="s">
        <v>231</v>
      </c>
      <c r="E9" s="214" t="s">
        <v>232</v>
      </c>
      <c r="F9" s="53" t="str">
        <f>WkB_1_2.1.1!$E$9</f>
        <v>2021-22</v>
      </c>
      <c r="G9" s="54" t="str">
        <f>WkB_1_2.1.1!$F$9</f>
        <v>2022-23</v>
      </c>
      <c r="H9" s="55" t="str">
        <f>WkB_1_2.1.1!$G$9</f>
        <v>2023-24</v>
      </c>
      <c r="I9" s="56" t="str">
        <f>WkB_1_2.1.1!$H$9</f>
        <v>2024-25</v>
      </c>
      <c r="J9" s="56" t="str">
        <f>WkB_1_2.1.1!$I$9</f>
        <v>2025-26</v>
      </c>
      <c r="K9" s="56" t="str">
        <f>WkB_1_2.1.1!$J$9</f>
        <v>2026-27</v>
      </c>
      <c r="L9" s="57" t="str">
        <f>WkB_1_2.1.1!$K$9</f>
        <v>2027-28</v>
      </c>
    </row>
    <row r="10" spans="1:13" ht="13.5" thickBot="1" x14ac:dyDescent="0.25">
      <c r="D10" s="223" t="s">
        <v>187</v>
      </c>
      <c r="E10" s="227"/>
      <c r="F10" s="67"/>
      <c r="G10" s="67"/>
      <c r="H10" s="67"/>
      <c r="I10" s="67"/>
      <c r="J10" s="67"/>
      <c r="K10" s="67"/>
      <c r="L10" s="68"/>
    </row>
    <row r="11" spans="1:13" ht="15.75" thickBot="1" x14ac:dyDescent="0.3">
      <c r="D11" s="230" t="s">
        <v>244</v>
      </c>
      <c r="E11" s="228" t="s">
        <v>248</v>
      </c>
      <c r="F11" s="192">
        <f>WkB_1_3.2!E27</f>
        <v>54347717.086625755</v>
      </c>
      <c r="G11" s="64">
        <f>WkB_1_3.2!F27</f>
        <v>33662746.324020304</v>
      </c>
      <c r="H11" s="63">
        <f>WkB_1_3.2!G27</f>
        <v>38811490.800753981</v>
      </c>
      <c r="I11" s="65">
        <f>WkB_1_3.2!H27</f>
        <v>40351296.087593019</v>
      </c>
      <c r="J11" s="65">
        <f>WkB_1_3.2!I27</f>
        <v>40529926.724048026</v>
      </c>
      <c r="K11" s="65">
        <f>WkB_1_3.2!J27</f>
        <v>40708140.179422811</v>
      </c>
      <c r="L11" s="124">
        <f>WkB_1_3.2!K27</f>
        <v>40870154.475460626</v>
      </c>
      <c r="M11" s="925" t="s">
        <v>678</v>
      </c>
    </row>
    <row r="12" spans="1:13" ht="15" x14ac:dyDescent="0.25">
      <c r="D12" s="218" t="s">
        <v>245</v>
      </c>
      <c r="E12" s="222" t="s">
        <v>249</v>
      </c>
      <c r="F12" s="192">
        <f t="shared" ref="F12:L19" si="0">F$129*$K97</f>
        <v>183694.69820250678</v>
      </c>
      <c r="G12" s="64">
        <f t="shared" si="0"/>
        <v>184501.34811319091</v>
      </c>
      <c r="H12" s="63">
        <f t="shared" si="0"/>
        <v>189845.57266852548</v>
      </c>
      <c r="I12" s="65">
        <f t="shared" si="0"/>
        <v>198928.06340703322</v>
      </c>
      <c r="J12" s="65">
        <f t="shared" si="0"/>
        <v>201677.30851515438</v>
      </c>
      <c r="K12" s="65">
        <f t="shared" si="0"/>
        <v>201964.58525804474</v>
      </c>
      <c r="L12" s="124">
        <f t="shared" si="0"/>
        <v>204618.93044044269</v>
      </c>
    </row>
    <row r="13" spans="1:13" ht="15" x14ac:dyDescent="0.25">
      <c r="D13" s="215"/>
      <c r="E13" s="220" t="s">
        <v>250</v>
      </c>
      <c r="F13" s="192">
        <f t="shared" si="0"/>
        <v>3313972.136494542</v>
      </c>
      <c r="G13" s="64">
        <f t="shared" si="0"/>
        <v>3328524.626871624</v>
      </c>
      <c r="H13" s="63">
        <f t="shared" si="0"/>
        <v>3424937.9226327478</v>
      </c>
      <c r="I13" s="65">
        <f t="shared" si="0"/>
        <v>3588791.9779316266</v>
      </c>
      <c r="J13" s="65">
        <f t="shared" si="0"/>
        <v>3638390.1523692114</v>
      </c>
      <c r="K13" s="65">
        <f t="shared" si="0"/>
        <v>3643572.8121341225</v>
      </c>
      <c r="L13" s="124">
        <f t="shared" si="0"/>
        <v>3691458.9300307208</v>
      </c>
    </row>
    <row r="14" spans="1:13" ht="15" x14ac:dyDescent="0.25">
      <c r="D14" s="215"/>
      <c r="E14" s="220" t="s">
        <v>251</v>
      </c>
      <c r="F14" s="192">
        <f t="shared" si="0"/>
        <v>59652.032049465386</v>
      </c>
      <c r="G14" s="64">
        <f t="shared" si="0"/>
        <v>59913.979219392852</v>
      </c>
      <c r="H14" s="63">
        <f t="shared" si="0"/>
        <v>61649.434066886148</v>
      </c>
      <c r="I14" s="65">
        <f t="shared" si="0"/>
        <v>64598.833444897391</v>
      </c>
      <c r="J14" s="65">
        <f t="shared" si="0"/>
        <v>65491.608570724296</v>
      </c>
      <c r="K14" s="65">
        <f t="shared" si="0"/>
        <v>65584.897280968245</v>
      </c>
      <c r="L14" s="124">
        <f t="shared" si="0"/>
        <v>66446.855113394049</v>
      </c>
    </row>
    <row r="15" spans="1:13" ht="15" x14ac:dyDescent="0.25">
      <c r="D15" s="215"/>
      <c r="E15" s="220" t="s">
        <v>252</v>
      </c>
      <c r="F15" s="192">
        <f t="shared" si="0"/>
        <v>157533.21422964381</v>
      </c>
      <c r="G15" s="64">
        <f t="shared" si="0"/>
        <v>158224.98244305208</v>
      </c>
      <c r="H15" s="63">
        <f t="shared" si="0"/>
        <v>162808.09169990572</v>
      </c>
      <c r="I15" s="65">
        <f t="shared" si="0"/>
        <v>170597.06967939413</v>
      </c>
      <c r="J15" s="65">
        <f t="shared" si="0"/>
        <v>172954.77201280606</v>
      </c>
      <c r="K15" s="65">
        <f t="shared" si="0"/>
        <v>173201.13529451087</v>
      </c>
      <c r="L15" s="124">
        <f t="shared" si="0"/>
        <v>175477.45318691488</v>
      </c>
    </row>
    <row r="16" spans="1:13" ht="15.75" thickBot="1" x14ac:dyDescent="0.3">
      <c r="D16" s="216"/>
      <c r="E16" s="221" t="s">
        <v>253</v>
      </c>
      <c r="F16" s="192">
        <f t="shared" si="0"/>
        <v>786488.07730653451</v>
      </c>
      <c r="G16" s="64">
        <f t="shared" si="0"/>
        <v>789941.74550448125</v>
      </c>
      <c r="H16" s="63">
        <f t="shared" si="0"/>
        <v>812823.02044789772</v>
      </c>
      <c r="I16" s="65">
        <f t="shared" si="0"/>
        <v>851709.6663227207</v>
      </c>
      <c r="J16" s="65">
        <f t="shared" si="0"/>
        <v>863480.54768341687</v>
      </c>
      <c r="K16" s="65">
        <f t="shared" si="0"/>
        <v>864710.52184914728</v>
      </c>
      <c r="L16" s="124">
        <f t="shared" si="0"/>
        <v>876075.08957722958</v>
      </c>
    </row>
    <row r="17" spans="4:12" ht="15.75" thickBot="1" x14ac:dyDescent="0.3">
      <c r="D17" s="217" t="s">
        <v>246</v>
      </c>
      <c r="E17" s="229" t="s">
        <v>254</v>
      </c>
      <c r="F17" s="192">
        <f t="shared" si="0"/>
        <v>0</v>
      </c>
      <c r="G17" s="64">
        <f t="shared" si="0"/>
        <v>0</v>
      </c>
      <c r="H17" s="63">
        <f t="shared" si="0"/>
        <v>0</v>
      </c>
      <c r="I17" s="65">
        <f t="shared" si="0"/>
        <v>0</v>
      </c>
      <c r="J17" s="65">
        <f t="shared" si="0"/>
        <v>0</v>
      </c>
      <c r="K17" s="65">
        <f t="shared" si="0"/>
        <v>0</v>
      </c>
      <c r="L17" s="124">
        <f t="shared" si="0"/>
        <v>0</v>
      </c>
    </row>
    <row r="18" spans="4:12" ht="15.75" thickBot="1" x14ac:dyDescent="0.3">
      <c r="D18" s="230" t="s">
        <v>256</v>
      </c>
      <c r="E18" s="228" t="s">
        <v>255</v>
      </c>
      <c r="F18" s="192">
        <f t="shared" si="0"/>
        <v>0</v>
      </c>
      <c r="G18" s="64">
        <f t="shared" si="0"/>
        <v>0</v>
      </c>
      <c r="H18" s="63">
        <f t="shared" si="0"/>
        <v>0</v>
      </c>
      <c r="I18" s="65">
        <f t="shared" si="0"/>
        <v>0</v>
      </c>
      <c r="J18" s="65">
        <f t="shared" si="0"/>
        <v>0</v>
      </c>
      <c r="K18" s="65">
        <f t="shared" si="0"/>
        <v>0</v>
      </c>
      <c r="L18" s="124">
        <f t="shared" si="0"/>
        <v>0</v>
      </c>
    </row>
    <row r="19" spans="4:12" ht="15" x14ac:dyDescent="0.25">
      <c r="D19" s="235" t="s">
        <v>247</v>
      </c>
      <c r="E19" s="231" t="s">
        <v>506</v>
      </c>
      <c r="F19" s="192">
        <f t="shared" si="0"/>
        <v>250851.35423176415</v>
      </c>
      <c r="G19" s="64">
        <f t="shared" si="0"/>
        <v>251952.90601559935</v>
      </c>
      <c r="H19" s="63">
        <f t="shared" si="0"/>
        <v>259250.91722736787</v>
      </c>
      <c r="I19" s="65">
        <f t="shared" si="0"/>
        <v>271653.8614813193</v>
      </c>
      <c r="J19" s="65">
        <f t="shared" si="0"/>
        <v>275408.19878792443</v>
      </c>
      <c r="K19" s="65">
        <f t="shared" si="0"/>
        <v>275800.50058377645</v>
      </c>
      <c r="L19" s="124">
        <f t="shared" si="0"/>
        <v>279425.24364995386</v>
      </c>
    </row>
    <row r="20" spans="4:12" ht="15" x14ac:dyDescent="0.25">
      <c r="D20" s="215"/>
      <c r="E20" s="232" t="s">
        <v>257</v>
      </c>
      <c r="F20" s="192">
        <v>0</v>
      </c>
      <c r="G20" s="64">
        <v>0</v>
      </c>
      <c r="H20" s="63">
        <v>0</v>
      </c>
      <c r="I20" s="65">
        <v>0</v>
      </c>
      <c r="J20" s="65">
        <v>0</v>
      </c>
      <c r="K20" s="65">
        <v>0</v>
      </c>
      <c r="L20" s="124">
        <v>0</v>
      </c>
    </row>
    <row r="21" spans="4:12" ht="15" x14ac:dyDescent="0.25">
      <c r="D21" s="215"/>
      <c r="E21" s="233" t="s">
        <v>257</v>
      </c>
      <c r="F21" s="192">
        <v>0</v>
      </c>
      <c r="G21" s="64">
        <v>0</v>
      </c>
      <c r="H21" s="63">
        <v>0</v>
      </c>
      <c r="I21" s="65">
        <v>0</v>
      </c>
      <c r="J21" s="65">
        <v>0</v>
      </c>
      <c r="K21" s="65">
        <v>0</v>
      </c>
      <c r="L21" s="124">
        <v>0</v>
      </c>
    </row>
    <row r="22" spans="4:12" ht="15" x14ac:dyDescent="0.25">
      <c r="D22" s="215"/>
      <c r="E22" s="233" t="s">
        <v>257</v>
      </c>
      <c r="F22" s="192">
        <v>0</v>
      </c>
      <c r="G22" s="64">
        <v>0</v>
      </c>
      <c r="H22" s="63">
        <v>0</v>
      </c>
      <c r="I22" s="65">
        <v>0</v>
      </c>
      <c r="J22" s="65">
        <v>0</v>
      </c>
      <c r="K22" s="65">
        <v>0</v>
      </c>
      <c r="L22" s="124">
        <v>0</v>
      </c>
    </row>
    <row r="23" spans="4:12" ht="15" x14ac:dyDescent="0.25">
      <c r="D23" s="215"/>
      <c r="E23" s="233" t="s">
        <v>257</v>
      </c>
      <c r="F23" s="192">
        <v>0</v>
      </c>
      <c r="G23" s="64">
        <v>0</v>
      </c>
      <c r="H23" s="63">
        <v>0</v>
      </c>
      <c r="I23" s="65">
        <v>0</v>
      </c>
      <c r="J23" s="65">
        <v>0</v>
      </c>
      <c r="K23" s="65">
        <v>0</v>
      </c>
      <c r="L23" s="124">
        <v>0</v>
      </c>
    </row>
    <row r="24" spans="4:12" ht="15" x14ac:dyDescent="0.25">
      <c r="D24" s="215"/>
      <c r="E24" s="233" t="s">
        <v>257</v>
      </c>
      <c r="F24" s="192">
        <v>0</v>
      </c>
      <c r="G24" s="64">
        <v>0</v>
      </c>
      <c r="H24" s="63">
        <v>0</v>
      </c>
      <c r="I24" s="65">
        <v>0</v>
      </c>
      <c r="J24" s="65">
        <v>0</v>
      </c>
      <c r="K24" s="65">
        <v>0</v>
      </c>
      <c r="L24" s="124">
        <v>0</v>
      </c>
    </row>
    <row r="25" spans="4:12" ht="15" x14ac:dyDescent="0.25">
      <c r="D25" s="215"/>
      <c r="E25" s="233" t="s">
        <v>257</v>
      </c>
      <c r="F25" s="192">
        <v>0</v>
      </c>
      <c r="G25" s="64">
        <v>0</v>
      </c>
      <c r="H25" s="63">
        <v>0</v>
      </c>
      <c r="I25" s="65">
        <v>0</v>
      </c>
      <c r="J25" s="65">
        <v>0</v>
      </c>
      <c r="K25" s="65">
        <v>0</v>
      </c>
      <c r="L25" s="124">
        <v>0</v>
      </c>
    </row>
    <row r="26" spans="4:12" ht="15.75" thickBot="1" x14ac:dyDescent="0.3">
      <c r="D26" s="216"/>
      <c r="E26" s="234" t="s">
        <v>257</v>
      </c>
      <c r="F26" s="192">
        <v>0</v>
      </c>
      <c r="G26" s="64">
        <v>0</v>
      </c>
      <c r="H26" s="63">
        <v>0</v>
      </c>
      <c r="I26" s="65">
        <v>0</v>
      </c>
      <c r="J26" s="65">
        <v>0</v>
      </c>
      <c r="K26" s="65">
        <v>0</v>
      </c>
      <c r="L26" s="124">
        <v>0</v>
      </c>
    </row>
    <row r="27" spans="4:12" ht="13.5" thickBot="1" x14ac:dyDescent="0.25">
      <c r="D27" s="223" t="s">
        <v>189</v>
      </c>
      <c r="E27" s="227"/>
      <c r="F27" s="67"/>
      <c r="G27" s="67"/>
      <c r="H27" s="67"/>
      <c r="I27" s="67"/>
      <c r="J27" s="67"/>
      <c r="K27" s="67"/>
      <c r="L27" s="68"/>
    </row>
    <row r="28" spans="4:12" ht="15.75" thickBot="1" x14ac:dyDescent="0.3">
      <c r="D28" s="230" t="str">
        <f>D11</f>
        <v>IT &amp; COMMUNICTIONS</v>
      </c>
      <c r="E28" s="228" t="str">
        <f>E11</f>
        <v>Total IT and communications</v>
      </c>
      <c r="F28" s="191">
        <f>G71*Input_CPI!R$16</f>
        <v>4068246.423656059</v>
      </c>
      <c r="G28" s="60">
        <f>H71*Input_CPI!S$16</f>
        <v>227881.02727376629</v>
      </c>
      <c r="H28" s="59">
        <v>25029717.342544708</v>
      </c>
      <c r="I28" s="61">
        <v>19169612.850461919</v>
      </c>
      <c r="J28" s="61">
        <v>18282041.971772909</v>
      </c>
      <c r="K28" s="61">
        <v>13739233.908252256</v>
      </c>
      <c r="L28" s="123">
        <v>10682770.138556875</v>
      </c>
    </row>
    <row r="29" spans="4:12" ht="15" x14ac:dyDescent="0.25">
      <c r="D29" s="218" t="str">
        <f>D12</f>
        <v>MOTOR VEHICLES</v>
      </c>
      <c r="E29" s="222" t="str">
        <f t="shared" ref="E29:E43" si="1">E12</f>
        <v>Car</v>
      </c>
      <c r="F29" s="192">
        <f>G72*Input_CPI!R$16</f>
        <v>456044.17031138553</v>
      </c>
      <c r="G29" s="64">
        <f>H72*Input_CPI!S$16</f>
        <v>176957.79864137099</v>
      </c>
      <c r="H29" s="63">
        <v>9250698.0937499981</v>
      </c>
      <c r="I29" s="65">
        <v>9850601.3999999985</v>
      </c>
      <c r="J29" s="65">
        <v>9525960.2062499989</v>
      </c>
      <c r="K29" s="65">
        <v>10179445.06875</v>
      </c>
      <c r="L29" s="124">
        <v>9531213.299999997</v>
      </c>
    </row>
    <row r="30" spans="4:12" ht="15" x14ac:dyDescent="0.25">
      <c r="D30" s="215"/>
      <c r="E30" s="220" t="str">
        <f t="shared" si="1"/>
        <v>Light commercial vehicle</v>
      </c>
      <c r="F30" s="192">
        <f>G73*Input_CPI!R$16</f>
        <v>5062090.2904563798</v>
      </c>
      <c r="G30" s="64">
        <f>H73*Input_CPI!S$16</f>
        <v>2090124.3988097932</v>
      </c>
      <c r="H30" s="63">
        <v>0</v>
      </c>
      <c r="I30" s="65">
        <v>0</v>
      </c>
      <c r="J30" s="65">
        <v>199617.56249999997</v>
      </c>
      <c r="K30" s="65">
        <v>0</v>
      </c>
      <c r="L30" s="124">
        <v>78796.406249999985</v>
      </c>
    </row>
    <row r="31" spans="4:12" ht="15" x14ac:dyDescent="0.25">
      <c r="D31" s="215"/>
      <c r="E31" s="220" t="str">
        <f t="shared" si="1"/>
        <v>Elevated work platform (LCV)</v>
      </c>
      <c r="F31" s="192">
        <f>G74*Input_CPI!R$16</f>
        <v>98464.082226321872</v>
      </c>
      <c r="G31" s="64">
        <f>H74*Input_CPI!S$16</f>
        <v>374139.34569889866</v>
      </c>
      <c r="H31" s="63">
        <v>0</v>
      </c>
      <c r="I31" s="65">
        <v>0</v>
      </c>
      <c r="J31" s="65">
        <v>0</v>
      </c>
      <c r="K31" s="65">
        <v>0</v>
      </c>
      <c r="L31" s="124">
        <v>0</v>
      </c>
    </row>
    <row r="32" spans="4:12" ht="15" x14ac:dyDescent="0.25">
      <c r="D32" s="215"/>
      <c r="E32" s="220" t="str">
        <f t="shared" si="1"/>
        <v>Elevated work platform (HCV)</v>
      </c>
      <c r="F32" s="192">
        <f>G75*Input_CPI!R$16</f>
        <v>217657.44492134309</v>
      </c>
      <c r="G32" s="64">
        <f>H75*Input_CPI!S$16</f>
        <v>0</v>
      </c>
      <c r="H32" s="63">
        <v>0</v>
      </c>
      <c r="I32" s="65">
        <v>0</v>
      </c>
      <c r="J32" s="65">
        <v>0</v>
      </c>
      <c r="K32" s="65">
        <v>0</v>
      </c>
      <c r="L32" s="124">
        <v>0</v>
      </c>
    </row>
    <row r="33" spans="4:12" ht="15.75" thickBot="1" x14ac:dyDescent="0.3">
      <c r="D33" s="216"/>
      <c r="E33" s="221" t="str">
        <f t="shared" si="1"/>
        <v>Heavy commercial vehicle</v>
      </c>
      <c r="F33" s="192">
        <f>G76*Input_CPI!R$16</f>
        <v>725524.81640447699</v>
      </c>
      <c r="G33" s="64">
        <f>H76*Input_CPI!S$16</f>
        <v>682551.50904528808</v>
      </c>
      <c r="H33" s="63">
        <v>0</v>
      </c>
      <c r="I33" s="65">
        <v>0</v>
      </c>
      <c r="J33" s="65">
        <v>0</v>
      </c>
      <c r="K33" s="65">
        <v>0</v>
      </c>
      <c r="L33" s="124">
        <v>0</v>
      </c>
    </row>
    <row r="34" spans="4:12" ht="15.75" thickBot="1" x14ac:dyDescent="0.3">
      <c r="D34" s="217" t="str">
        <f>D17</f>
        <v>BUILDINGS AND PROPERTY</v>
      </c>
      <c r="E34" s="229" t="str">
        <f t="shared" si="1"/>
        <v>Total buildings and property expenditure</v>
      </c>
      <c r="F34" s="192">
        <f>G77*Input_CPI!R$16</f>
        <v>8806878.1733555086</v>
      </c>
      <c r="G34" s="64">
        <f>H77*Input_CPI!S$16</f>
        <v>3876779.318511493</v>
      </c>
      <c r="H34" s="63">
        <v>6456573.7165507833</v>
      </c>
      <c r="I34" s="65">
        <v>5776608.0055618305</v>
      </c>
      <c r="J34" s="65">
        <v>3797397.2714678044</v>
      </c>
      <c r="K34" s="65">
        <v>3780098.4447476259</v>
      </c>
      <c r="L34" s="124">
        <v>2991399.2144054696</v>
      </c>
    </row>
    <row r="35" spans="4:12" ht="15.75" thickBot="1" x14ac:dyDescent="0.3">
      <c r="D35" s="230" t="str">
        <f>D18</f>
        <v>OTHER</v>
      </c>
      <c r="E35" s="228" t="str">
        <f t="shared" si="1"/>
        <v>Other expenditure</v>
      </c>
      <c r="F35" s="192">
        <f>G78*Input_CPI!R$16</f>
        <v>0</v>
      </c>
      <c r="G35" s="64">
        <f>H78*Input_CPI!S$16</f>
        <v>0</v>
      </c>
      <c r="H35" s="63">
        <v>0</v>
      </c>
      <c r="I35" s="65">
        <v>0</v>
      </c>
      <c r="J35" s="65">
        <v>0</v>
      </c>
      <c r="K35" s="65">
        <v>0</v>
      </c>
      <c r="L35" s="124">
        <v>0</v>
      </c>
    </row>
    <row r="36" spans="4:12" ht="15" x14ac:dyDescent="0.25">
      <c r="D36" s="235" t="str">
        <f>D19</f>
        <v>OTHER BY: 
TNSP defined</v>
      </c>
      <c r="E36" s="918" t="str">
        <f>E79</f>
        <v>Miscellaneous plant</v>
      </c>
      <c r="F36" s="192">
        <f>G79*Input_CPI!R$16</f>
        <v>1026696.386478116</v>
      </c>
      <c r="G36" s="64">
        <f>H79*Input_CPI!S$16</f>
        <v>1011187.4208078342</v>
      </c>
      <c r="H36" s="63">
        <v>0</v>
      </c>
      <c r="I36" s="65">
        <v>0</v>
      </c>
      <c r="J36" s="65">
        <v>0</v>
      </c>
      <c r="K36" s="65">
        <v>0</v>
      </c>
      <c r="L36" s="124">
        <v>0</v>
      </c>
    </row>
    <row r="37" spans="4:12" ht="15" x14ac:dyDescent="0.25">
      <c r="D37" s="215"/>
      <c r="E37" s="232" t="str">
        <f t="shared" ref="E37" si="2">E80</f>
        <v>Miscellaneous mobile plant (e.g. Mowers, Excavators, Forklifts)</v>
      </c>
      <c r="F37" s="192">
        <f>G80*Input_CPI!R$16</f>
        <v>1175350.2025752526</v>
      </c>
      <c r="G37" s="64">
        <f>H80*Input_CPI!S$16</f>
        <v>637048.07510893559</v>
      </c>
      <c r="H37" s="63">
        <v>0</v>
      </c>
      <c r="I37" s="65">
        <v>0</v>
      </c>
      <c r="J37" s="65">
        <v>0</v>
      </c>
      <c r="K37" s="65">
        <v>0</v>
      </c>
      <c r="L37" s="124">
        <v>0</v>
      </c>
    </row>
    <row r="38" spans="4:12" ht="15" x14ac:dyDescent="0.25">
      <c r="D38" s="215"/>
      <c r="E38" s="233" t="str">
        <f t="shared" si="1"/>
        <v>[insert]</v>
      </c>
      <c r="F38" s="192">
        <f>G81*Input_CPI!R$23</f>
        <v>0</v>
      </c>
      <c r="G38" s="64">
        <f>H81*Input_CPI!S$23</f>
        <v>0</v>
      </c>
      <c r="H38" s="63">
        <v>0</v>
      </c>
      <c r="I38" s="65">
        <v>0</v>
      </c>
      <c r="J38" s="65">
        <v>0</v>
      </c>
      <c r="K38" s="65">
        <v>0</v>
      </c>
      <c r="L38" s="124">
        <v>0</v>
      </c>
    </row>
    <row r="39" spans="4:12" ht="15" x14ac:dyDescent="0.25">
      <c r="D39" s="215"/>
      <c r="E39" s="233" t="str">
        <f t="shared" si="1"/>
        <v>[insert]</v>
      </c>
      <c r="F39" s="192">
        <f>G82*Input_CPI!R$23</f>
        <v>0</v>
      </c>
      <c r="G39" s="64">
        <f>H82*Input_CPI!S$23</f>
        <v>0</v>
      </c>
      <c r="H39" s="63">
        <v>0</v>
      </c>
      <c r="I39" s="65">
        <v>0</v>
      </c>
      <c r="J39" s="65">
        <v>0</v>
      </c>
      <c r="K39" s="65">
        <v>0</v>
      </c>
      <c r="L39" s="124">
        <v>0</v>
      </c>
    </row>
    <row r="40" spans="4:12" ht="15" x14ac:dyDescent="0.25">
      <c r="D40" s="215"/>
      <c r="E40" s="233" t="str">
        <f t="shared" si="1"/>
        <v>[insert]</v>
      </c>
      <c r="F40" s="192">
        <f>G83*Input_CPI!R$23</f>
        <v>0</v>
      </c>
      <c r="G40" s="64">
        <f>H83*Input_CPI!S$23</f>
        <v>0</v>
      </c>
      <c r="H40" s="63">
        <v>0</v>
      </c>
      <c r="I40" s="65">
        <v>0</v>
      </c>
      <c r="J40" s="65">
        <v>0</v>
      </c>
      <c r="K40" s="65">
        <v>0</v>
      </c>
      <c r="L40" s="124">
        <v>0</v>
      </c>
    </row>
    <row r="41" spans="4:12" ht="15" x14ac:dyDescent="0.25">
      <c r="D41" s="215"/>
      <c r="E41" s="233" t="str">
        <f t="shared" si="1"/>
        <v>[insert]</v>
      </c>
      <c r="F41" s="192">
        <f>G84*Input_CPI!R$23</f>
        <v>0</v>
      </c>
      <c r="G41" s="64">
        <f>H84*Input_CPI!S$23</f>
        <v>0</v>
      </c>
      <c r="H41" s="63">
        <v>0</v>
      </c>
      <c r="I41" s="65">
        <v>0</v>
      </c>
      <c r="J41" s="65">
        <v>0</v>
      </c>
      <c r="K41" s="65">
        <v>0</v>
      </c>
      <c r="L41" s="124">
        <v>0</v>
      </c>
    </row>
    <row r="42" spans="4:12" ht="15" x14ac:dyDescent="0.25">
      <c r="D42" s="215"/>
      <c r="E42" s="233" t="str">
        <f t="shared" si="1"/>
        <v>[insert]</v>
      </c>
      <c r="F42" s="192">
        <f>G85*Input_CPI!R$23</f>
        <v>0</v>
      </c>
      <c r="G42" s="64">
        <f>H85*Input_CPI!S$23</f>
        <v>0</v>
      </c>
      <c r="H42" s="63">
        <v>0</v>
      </c>
      <c r="I42" s="65">
        <v>0</v>
      </c>
      <c r="J42" s="65">
        <v>0</v>
      </c>
      <c r="K42" s="65">
        <v>0</v>
      </c>
      <c r="L42" s="124">
        <v>0</v>
      </c>
    </row>
    <row r="43" spans="4:12" ht="15.75" thickBot="1" x14ac:dyDescent="0.3">
      <c r="D43" s="216"/>
      <c r="E43" s="234" t="str">
        <f t="shared" si="1"/>
        <v>[insert]</v>
      </c>
      <c r="F43" s="193">
        <f>G86*Input_CPI!R$23</f>
        <v>0</v>
      </c>
      <c r="G43" s="194">
        <f>H86*Input_CPI!S$23</f>
        <v>0</v>
      </c>
      <c r="H43" s="195">
        <v>0</v>
      </c>
      <c r="I43" s="125">
        <v>0</v>
      </c>
      <c r="J43" s="125">
        <v>0</v>
      </c>
      <c r="K43" s="125">
        <v>0</v>
      </c>
      <c r="L43" s="126">
        <v>0</v>
      </c>
    </row>
    <row r="44" spans="4:12" ht="11.25" customHeight="1" x14ac:dyDescent="0.2"/>
    <row r="45" spans="4:12" ht="11.25" customHeight="1" x14ac:dyDescent="0.2">
      <c r="D45" s="6" t="s">
        <v>258</v>
      </c>
      <c r="F45" s="144">
        <f>SUM(F11:F26)</f>
        <v>59099908.599140204</v>
      </c>
      <c r="G45" s="144">
        <f t="shared" ref="G45:L45" si="3">SUM(G11:G26)</f>
        <v>38435805.912187643</v>
      </c>
      <c r="H45" s="144">
        <f t="shared" si="3"/>
        <v>43722805.7594973</v>
      </c>
      <c r="I45" s="144">
        <f t="shared" si="3"/>
        <v>45497575.559860013</v>
      </c>
      <c r="J45" s="144">
        <f t="shared" si="3"/>
        <v>45747329.311987266</v>
      </c>
      <c r="K45" s="144">
        <f t="shared" si="3"/>
        <v>45932974.631823383</v>
      </c>
      <c r="L45" s="144">
        <f t="shared" si="3"/>
        <v>46163656.977459274</v>
      </c>
    </row>
    <row r="46" spans="4:12" ht="11.25" customHeight="1" x14ac:dyDescent="0.2">
      <c r="D46" s="6" t="s">
        <v>259</v>
      </c>
      <c r="F46" s="144">
        <f>SUM(F28:F43)</f>
        <v>21636951.990384839</v>
      </c>
      <c r="G46" s="144">
        <f t="shared" ref="G46:L46" si="4">SUM(G28:G43)</f>
        <v>9076668.8938973807</v>
      </c>
      <c r="H46" s="144">
        <f t="shared" si="4"/>
        <v>40736989.152845487</v>
      </c>
      <c r="I46" s="144">
        <f t="shared" si="4"/>
        <v>34796822.25602375</v>
      </c>
      <c r="J46" s="144">
        <f t="shared" si="4"/>
        <v>31805017.011990711</v>
      </c>
      <c r="K46" s="144">
        <f t="shared" si="4"/>
        <v>27698777.421749882</v>
      </c>
      <c r="L46" s="144">
        <f t="shared" si="4"/>
        <v>23284179.059212342</v>
      </c>
    </row>
    <row r="47" spans="4:12" ht="11.25" customHeight="1" x14ac:dyDescent="0.2"/>
    <row r="48" spans="4:12" ht="11.25" customHeight="1" x14ac:dyDescent="0.2">
      <c r="D48" s="6" t="s">
        <v>260</v>
      </c>
      <c r="E48" s="6"/>
      <c r="F48" s="773" t="str">
        <f t="shared" ref="F48:L48" si="5">NA</f>
        <v>N/A</v>
      </c>
      <c r="G48" s="773" t="str">
        <f t="shared" si="5"/>
        <v>N/A</v>
      </c>
      <c r="H48" s="773" t="str">
        <f t="shared" si="5"/>
        <v>N/A</v>
      </c>
      <c r="I48" s="773" t="str">
        <f t="shared" si="5"/>
        <v>N/A</v>
      </c>
      <c r="J48" s="773" t="str">
        <f t="shared" si="5"/>
        <v>N/A</v>
      </c>
      <c r="K48" s="773" t="str">
        <f t="shared" si="5"/>
        <v>N/A</v>
      </c>
      <c r="L48" s="773" t="str">
        <f t="shared" si="5"/>
        <v>N/A</v>
      </c>
    </row>
    <row r="49" spans="1:12" ht="11.25" customHeight="1" x14ac:dyDescent="0.2">
      <c r="D49" s="6" t="s">
        <v>538</v>
      </c>
      <c r="E49" s="6"/>
      <c r="F49" s="201">
        <v>21636953.04747865</v>
      </c>
      <c r="G49" s="774">
        <v>9076668.5299285576</v>
      </c>
      <c r="H49" s="775">
        <v>40736989.152845487</v>
      </c>
      <c r="I49" s="141">
        <v>34796822.25602375</v>
      </c>
      <c r="J49" s="141">
        <v>31805017.011990715</v>
      </c>
      <c r="K49" s="141">
        <v>27698777.421749882</v>
      </c>
      <c r="L49" s="141">
        <v>23284179.059212349</v>
      </c>
    </row>
    <row r="50" spans="1:12" ht="11.25" customHeight="1" x14ac:dyDescent="0.2">
      <c r="D50" s="6" t="s">
        <v>565</v>
      </c>
      <c r="F50" s="144">
        <f>WkB_1_2.1.1!E13</f>
        <v>21636953.04747865</v>
      </c>
      <c r="G50" s="144">
        <f>WkB_1_2.1.1!F13</f>
        <v>9076668.5299285576</v>
      </c>
      <c r="H50" s="144">
        <f>WkB_1_2.1.1!G13</f>
        <v>40736989.152845487</v>
      </c>
      <c r="I50" s="144">
        <f>WkB_1_2.1.1!H13</f>
        <v>34796822.25602375</v>
      </c>
      <c r="J50" s="144">
        <f>WkB_1_2.1.1!I13</f>
        <v>31805017.011990715</v>
      </c>
      <c r="K50" s="144">
        <f>WkB_1_2.1.1!J13</f>
        <v>27698777.421749882</v>
      </c>
      <c r="L50" s="144">
        <f>WkB_1_2.1.1!K13</f>
        <v>23284179.059212349</v>
      </c>
    </row>
    <row r="51" spans="1:12" ht="11.25" customHeight="1" x14ac:dyDescent="0.2">
      <c r="D51" s="6"/>
      <c r="E51" s="6"/>
      <c r="F51" s="236"/>
      <c r="G51" s="236"/>
      <c r="H51" s="236"/>
      <c r="I51" s="236"/>
      <c r="J51" s="236"/>
      <c r="K51" s="236"/>
      <c r="L51" s="236"/>
    </row>
    <row r="52" spans="1:12" ht="11.25" customHeight="1" x14ac:dyDescent="0.2">
      <c r="A52" s="385">
        <f>IF(SUM($F52:$L52)&gt;0,1,0)</f>
        <v>0</v>
      </c>
      <c r="D52" s="6" t="s">
        <v>261</v>
      </c>
      <c r="E52" s="6"/>
      <c r="F52" s="773" t="str">
        <f t="shared" ref="F52:L52" si="6">NA</f>
        <v>N/A</v>
      </c>
      <c r="G52" s="773" t="str">
        <f t="shared" si="6"/>
        <v>N/A</v>
      </c>
      <c r="H52" s="773" t="str">
        <f t="shared" si="6"/>
        <v>N/A</v>
      </c>
      <c r="I52" s="773" t="str">
        <f t="shared" si="6"/>
        <v>N/A</v>
      </c>
      <c r="J52" s="773" t="str">
        <f t="shared" si="6"/>
        <v>N/A</v>
      </c>
      <c r="K52" s="773" t="str">
        <f t="shared" si="6"/>
        <v>N/A</v>
      </c>
      <c r="L52" s="773" t="str">
        <f t="shared" si="6"/>
        <v>N/A</v>
      </c>
    </row>
    <row r="53" spans="1:12" ht="11.25" customHeight="1" x14ac:dyDescent="0.2">
      <c r="A53" s="42">
        <f>IF(SUM($F53:$L53)&gt;0,1,0)</f>
        <v>0</v>
      </c>
      <c r="D53" s="6" t="s">
        <v>539</v>
      </c>
      <c r="E53" s="6"/>
      <c r="F53" s="70">
        <f>IF(OR(ROUND(F46-F49,-1)&lt;&gt;0,ROUND(F46-F50,-1)&lt;&gt;0),1,0)</f>
        <v>0</v>
      </c>
      <c r="G53" s="70">
        <f>IF(OR(ROUND(G46-G49,-1)&lt;&gt;0,ROUND(G46-G50,-1)&lt;&gt;0),1,0)</f>
        <v>0</v>
      </c>
      <c r="H53" s="70">
        <f t="shared" ref="H53:L53" si="7">IF(OR(ROUND(H46-H49,1)&lt;&gt;0,ROUND(H46-H50,1)&lt;&gt;0),1,0)</f>
        <v>0</v>
      </c>
      <c r="I53" s="70">
        <f t="shared" si="7"/>
        <v>0</v>
      </c>
      <c r="J53" s="70">
        <f t="shared" si="7"/>
        <v>0</v>
      </c>
      <c r="K53" s="70">
        <f t="shared" si="7"/>
        <v>0</v>
      </c>
      <c r="L53" s="70">
        <f t="shared" si="7"/>
        <v>0</v>
      </c>
    </row>
    <row r="54" spans="1:12" ht="11.25" customHeight="1" x14ac:dyDescent="0.2"/>
    <row r="55" spans="1:12" ht="11.25" customHeight="1" x14ac:dyDescent="0.2">
      <c r="D55" s="6" t="s">
        <v>710</v>
      </c>
      <c r="F55" s="201">
        <v>4068247.4807933974</v>
      </c>
      <c r="G55" s="774">
        <v>227880.66325034018</v>
      </c>
      <c r="H55" s="393"/>
      <c r="I55" s="393"/>
      <c r="J55" s="393"/>
      <c r="K55" s="393"/>
      <c r="L55" s="393"/>
    </row>
    <row r="56" spans="1:12" ht="11.25" customHeight="1" x14ac:dyDescent="0.2">
      <c r="D56" s="6" t="s">
        <v>711</v>
      </c>
      <c r="F56" s="201">
        <v>7735131.0068526641</v>
      </c>
      <c r="G56" s="774">
        <v>3960821.127359902</v>
      </c>
      <c r="H56" s="393"/>
      <c r="I56" s="393"/>
      <c r="J56" s="393"/>
      <c r="K56" s="393"/>
      <c r="L56" s="393"/>
    </row>
    <row r="57" spans="1:12" ht="11.25" customHeight="1" x14ac:dyDescent="0.2">
      <c r="D57" s="6" t="s">
        <v>712</v>
      </c>
      <c r="F57" s="201">
        <v>8806878.1733555086</v>
      </c>
      <c r="G57" s="774">
        <v>3876779.318511493</v>
      </c>
      <c r="H57" s="393"/>
      <c r="I57" s="393"/>
      <c r="J57" s="393"/>
      <c r="K57" s="393"/>
      <c r="L57" s="393"/>
    </row>
    <row r="58" spans="1:12" ht="11.25" customHeight="1" x14ac:dyDescent="0.2">
      <c r="D58" s="6" t="s">
        <v>713</v>
      </c>
      <c r="F58" s="201">
        <v>1026696.3864770794</v>
      </c>
      <c r="G58" s="774">
        <v>1011187.4208068231</v>
      </c>
      <c r="H58" s="393"/>
      <c r="I58" s="393"/>
      <c r="J58" s="393"/>
      <c r="K58" s="393"/>
      <c r="L58" s="393"/>
    </row>
    <row r="59" spans="1:12" ht="11.25" customHeight="1" x14ac:dyDescent="0.2"/>
    <row r="60" spans="1:12" ht="11.25" customHeight="1" x14ac:dyDescent="0.2">
      <c r="A60" s="42">
        <f>IF(SUM($H60:$I60)&gt;0,1,0)</f>
        <v>0</v>
      </c>
      <c r="D60" s="6" t="str">
        <f>"Check - "&amp;D55</f>
        <v>Check - 1-IT</v>
      </c>
      <c r="F60" s="144">
        <f>F28</f>
        <v>4068246.423656059</v>
      </c>
      <c r="G60" s="144">
        <f t="shared" ref="G60" si="8">G28</f>
        <v>227881.02727376629</v>
      </c>
      <c r="H60" s="70">
        <f>IF(ROUND(F60-F55,-1)&lt;&gt;0,1,0)</f>
        <v>0</v>
      </c>
      <c r="I60" s="70">
        <f>IF(ROUND(G60-G55,0)&lt;&gt;0,1,0)</f>
        <v>0</v>
      </c>
      <c r="J60" s="144">
        <f>F55-F60</f>
        <v>1.0571373384445906</v>
      </c>
      <c r="K60" s="144">
        <f t="shared" ref="K60:K63" si="9">G55-G60</f>
        <v>-0.36402342611108907</v>
      </c>
    </row>
    <row r="61" spans="1:12" ht="11.25" customHeight="1" x14ac:dyDescent="0.2">
      <c r="A61" s="42">
        <f t="shared" ref="A61:A63" si="10">IF(SUM($H61:$I61)&gt;0,1,0)</f>
        <v>0</v>
      </c>
      <c r="D61" s="6" t="str">
        <f t="shared" ref="D61:D63" si="11">"Check - "&amp;D56</f>
        <v>Check - 2-Fleet</v>
      </c>
      <c r="F61" s="144">
        <f>SUM(F29:F33,F37)</f>
        <v>7735131.0068951594</v>
      </c>
      <c r="G61" s="144">
        <f>SUM(G29:G33,G37)</f>
        <v>3960821.1273042862</v>
      </c>
      <c r="H61" s="70">
        <f t="shared" ref="H61:H63" si="12">IF(ROUND(F61-F56,-1)&lt;&gt;0,1,0)</f>
        <v>0</v>
      </c>
      <c r="I61" s="70">
        <f t="shared" ref="I61:I63" si="13">IF(ROUND(G61-G56,0)&lt;&gt;0,1,0)</f>
        <v>0</v>
      </c>
      <c r="J61" s="144">
        <f t="shared" ref="J61:J63" si="14">F56-F61</f>
        <v>-4.2495317757129669E-5</v>
      </c>
      <c r="K61" s="144">
        <f t="shared" si="9"/>
        <v>5.5615790188312531E-5</v>
      </c>
    </row>
    <row r="62" spans="1:12" ht="11.25" customHeight="1" x14ac:dyDescent="0.2">
      <c r="A62" s="42">
        <f t="shared" si="10"/>
        <v>0</v>
      </c>
      <c r="D62" s="6" t="str">
        <f t="shared" si="11"/>
        <v>Check - 3-Property</v>
      </c>
      <c r="F62" s="144">
        <f>F34</f>
        <v>8806878.1733555086</v>
      </c>
      <c r="G62" s="144">
        <f t="shared" ref="G62" si="15">G34</f>
        <v>3876779.318511493</v>
      </c>
      <c r="H62" s="70">
        <f t="shared" si="12"/>
        <v>0</v>
      </c>
      <c r="I62" s="70">
        <f t="shared" si="13"/>
        <v>0</v>
      </c>
      <c r="J62" s="144">
        <f t="shared" si="14"/>
        <v>0</v>
      </c>
      <c r="K62" s="144">
        <f t="shared" si="9"/>
        <v>0</v>
      </c>
    </row>
    <row r="63" spans="1:12" ht="11.25" customHeight="1" x14ac:dyDescent="0.2">
      <c r="A63" s="42">
        <f t="shared" si="10"/>
        <v>0</v>
      </c>
      <c r="D63" s="6" t="str">
        <f t="shared" si="11"/>
        <v>Check - 4-Others (e.g. Plant, Equipment)</v>
      </c>
      <c r="F63" s="144">
        <f>SUM(F35:F36,F38:F43)</f>
        <v>1026696.386478116</v>
      </c>
      <c r="G63" s="144">
        <f>SUM(G35:G36,G38:G43)</f>
        <v>1011187.4208078342</v>
      </c>
      <c r="H63" s="70">
        <f t="shared" si="12"/>
        <v>0</v>
      </c>
      <c r="I63" s="70">
        <f t="shared" si="13"/>
        <v>0</v>
      </c>
      <c r="J63" s="144">
        <f t="shared" si="14"/>
        <v>-1.0366784408688545E-6</v>
      </c>
      <c r="K63" s="144">
        <f t="shared" si="9"/>
        <v>-1.0111834853887558E-6</v>
      </c>
    </row>
    <row r="64" spans="1:12" ht="11.25" customHeight="1" x14ac:dyDescent="0.2"/>
    <row r="65" spans="3:13" s="7" customFormat="1" ht="15" x14ac:dyDescent="0.2">
      <c r="C65" s="7" t="s">
        <v>517</v>
      </c>
    </row>
    <row r="66" spans="3:13" ht="11.25" customHeight="1" x14ac:dyDescent="0.2"/>
    <row r="67" spans="3:13" ht="18.75" x14ac:dyDescent="0.25">
      <c r="D67" s="631" t="s">
        <v>465</v>
      </c>
      <c r="E67" s="632"/>
      <c r="F67" s="633"/>
      <c r="G67" s="632"/>
      <c r="H67" s="632"/>
      <c r="I67" s="632"/>
      <c r="J67" s="632"/>
      <c r="K67" s="632"/>
      <c r="L67" s="632"/>
      <c r="M67" s="632"/>
    </row>
    <row r="68" spans="3:13" ht="39" customHeight="1" thickBot="1" x14ac:dyDescent="0.25">
      <c r="D68"/>
      <c r="E68"/>
      <c r="F68" s="461"/>
      <c r="G68" s="1219" t="s">
        <v>509</v>
      </c>
      <c r="H68" s="1220"/>
      <c r="I68" s="1220"/>
      <c r="J68" s="1220"/>
      <c r="K68" s="1220"/>
      <c r="L68" s="1220"/>
      <c r="M68" s="1221"/>
    </row>
    <row r="69" spans="3:13" ht="13.5" thickBot="1" x14ac:dyDescent="0.25">
      <c r="D69" s="634" t="s">
        <v>466</v>
      </c>
      <c r="E69" s="634" t="s">
        <v>232</v>
      </c>
      <c r="F69" s="635"/>
      <c r="G69" s="53" t="s">
        <v>167</v>
      </c>
      <c r="H69" s="54" t="s">
        <v>168</v>
      </c>
      <c r="I69" s="55" t="s">
        <v>169</v>
      </c>
      <c r="J69" s="56" t="s">
        <v>170</v>
      </c>
      <c r="K69" s="56" t="s">
        <v>171</v>
      </c>
      <c r="L69" s="56" t="s">
        <v>172</v>
      </c>
      <c r="M69" s="57" t="s">
        <v>181</v>
      </c>
    </row>
    <row r="70" spans="3:13" ht="19.5" thickBot="1" x14ac:dyDescent="0.35">
      <c r="D70" s="636" t="s">
        <v>189</v>
      </c>
      <c r="E70" s="637"/>
      <c r="F70" s="637"/>
      <c r="G70" s="637"/>
      <c r="H70" s="637"/>
      <c r="I70" s="637"/>
      <c r="J70" s="637"/>
      <c r="K70" s="637"/>
      <c r="L70" s="637"/>
      <c r="M70" s="638"/>
    </row>
    <row r="71" spans="3:13" ht="14.25" x14ac:dyDescent="0.2">
      <c r="D71" s="639" t="s">
        <v>467</v>
      </c>
      <c r="E71" s="640" t="s">
        <v>248</v>
      </c>
      <c r="F71" s="641"/>
      <c r="G71" s="642">
        <v>3925120.7293943483</v>
      </c>
      <c r="H71" s="643">
        <v>225359.83199999947</v>
      </c>
      <c r="I71" s="644"/>
      <c r="J71" s="645"/>
      <c r="K71" s="645"/>
      <c r="L71" s="645"/>
      <c r="M71" s="646"/>
    </row>
    <row r="72" spans="3:13" ht="14.25" x14ac:dyDescent="0.2">
      <c r="D72" s="647" t="s">
        <v>245</v>
      </c>
      <c r="E72" s="648" t="s">
        <v>249</v>
      </c>
      <c r="F72" s="649"/>
      <c r="G72" s="650">
        <v>440000</v>
      </c>
      <c r="H72" s="651">
        <v>175000</v>
      </c>
      <c r="I72" s="652"/>
      <c r="J72" s="653"/>
      <c r="K72" s="653"/>
      <c r="L72" s="653"/>
      <c r="M72" s="654"/>
    </row>
    <row r="73" spans="3:13" ht="14.25" x14ac:dyDescent="0.2">
      <c r="D73" s="647"/>
      <c r="E73" s="655" t="s">
        <v>250</v>
      </c>
      <c r="F73" s="656"/>
      <c r="G73" s="657">
        <v>4884000</v>
      </c>
      <c r="H73" s="658">
        <v>2067000</v>
      </c>
      <c r="I73" s="659"/>
      <c r="J73" s="660"/>
      <c r="K73" s="660"/>
      <c r="L73" s="660"/>
      <c r="M73" s="661"/>
    </row>
    <row r="74" spans="3:13" ht="14.25" x14ac:dyDescent="0.2">
      <c r="D74" s="647"/>
      <c r="E74" s="655" t="s">
        <v>468</v>
      </c>
      <c r="F74" s="656"/>
      <c r="G74" s="657">
        <v>95000</v>
      </c>
      <c r="H74" s="658">
        <v>370000</v>
      </c>
      <c r="I74" s="659"/>
      <c r="J74" s="660"/>
      <c r="K74" s="660"/>
      <c r="L74" s="660"/>
      <c r="M74" s="661"/>
    </row>
    <row r="75" spans="3:13" ht="14.25" x14ac:dyDescent="0.2">
      <c r="D75" s="647"/>
      <c r="E75" s="655" t="s">
        <v>252</v>
      </c>
      <c r="F75" s="656"/>
      <c r="G75" s="657">
        <v>210000</v>
      </c>
      <c r="H75" s="658">
        <v>0</v>
      </c>
      <c r="I75" s="659"/>
      <c r="J75" s="660"/>
      <c r="K75" s="660"/>
      <c r="L75" s="660"/>
      <c r="M75" s="661"/>
    </row>
    <row r="76" spans="3:13" ht="14.25" x14ac:dyDescent="0.2">
      <c r="D76" s="662"/>
      <c r="E76" s="663" t="s">
        <v>253</v>
      </c>
      <c r="F76" s="664"/>
      <c r="G76" s="665">
        <v>700000</v>
      </c>
      <c r="H76" s="666">
        <v>675000</v>
      </c>
      <c r="I76" s="667"/>
      <c r="J76" s="668"/>
      <c r="K76" s="668"/>
      <c r="L76" s="668"/>
      <c r="M76" s="669"/>
    </row>
    <row r="77" spans="3:13" ht="14.25" x14ac:dyDescent="0.2">
      <c r="D77" s="662" t="s">
        <v>246</v>
      </c>
      <c r="E77" s="670" t="s">
        <v>254</v>
      </c>
      <c r="F77" s="671"/>
      <c r="G77" s="672">
        <v>8497041.8405536637</v>
      </c>
      <c r="H77" s="673">
        <v>3833888.000124</v>
      </c>
      <c r="I77" s="674"/>
      <c r="J77" s="675"/>
      <c r="K77" s="675"/>
      <c r="L77" s="675"/>
      <c r="M77" s="676"/>
    </row>
    <row r="78" spans="3:13" ht="14.25" x14ac:dyDescent="0.2">
      <c r="D78" s="662" t="s">
        <v>256</v>
      </c>
      <c r="E78" s="670" t="s">
        <v>255</v>
      </c>
      <c r="F78" s="671"/>
      <c r="G78" s="672">
        <v>0</v>
      </c>
      <c r="H78" s="673">
        <v>0</v>
      </c>
      <c r="I78" s="674"/>
      <c r="J78" s="675"/>
      <c r="K78" s="675"/>
      <c r="L78" s="675"/>
      <c r="M78" s="676"/>
    </row>
    <row r="79" spans="3:13" ht="14.25" x14ac:dyDescent="0.2">
      <c r="D79" s="1222" t="s">
        <v>469</v>
      </c>
      <c r="E79" s="677" t="s">
        <v>864</v>
      </c>
      <c r="F79" s="678"/>
      <c r="G79" s="650">
        <v>990576</v>
      </c>
      <c r="H79" s="651">
        <v>1000000</v>
      </c>
      <c r="I79" s="652"/>
      <c r="J79" s="653"/>
      <c r="K79" s="653"/>
      <c r="L79" s="653"/>
      <c r="M79" s="654"/>
    </row>
    <row r="80" spans="3:13" ht="14.25" x14ac:dyDescent="0.2">
      <c r="D80" s="1222"/>
      <c r="E80" s="679" t="s">
        <v>865</v>
      </c>
      <c r="F80" s="680"/>
      <c r="G80" s="657">
        <v>1134000</v>
      </c>
      <c r="H80" s="658">
        <v>630000</v>
      </c>
      <c r="I80" s="659"/>
      <c r="J80" s="660"/>
      <c r="K80" s="660"/>
      <c r="L80" s="660"/>
      <c r="M80" s="661"/>
    </row>
    <row r="81" spans="3:13" ht="14.25" x14ac:dyDescent="0.2">
      <c r="D81" s="1222"/>
      <c r="E81" s="681">
        <v>0</v>
      </c>
      <c r="F81" s="680"/>
      <c r="G81" s="657">
        <v>0</v>
      </c>
      <c r="H81" s="658">
        <v>0</v>
      </c>
      <c r="I81" s="659"/>
      <c r="J81" s="660"/>
      <c r="K81" s="660"/>
      <c r="L81" s="660"/>
      <c r="M81" s="661"/>
    </row>
    <row r="82" spans="3:13" ht="14.25" x14ac:dyDescent="0.2">
      <c r="D82" s="1222"/>
      <c r="E82" s="681">
        <v>0</v>
      </c>
      <c r="F82" s="680"/>
      <c r="G82" s="657">
        <v>0</v>
      </c>
      <c r="H82" s="658">
        <v>0</v>
      </c>
      <c r="I82" s="659"/>
      <c r="J82" s="660"/>
      <c r="K82" s="660"/>
      <c r="L82" s="660"/>
      <c r="M82" s="661"/>
    </row>
    <row r="83" spans="3:13" ht="14.25" x14ac:dyDescent="0.2">
      <c r="D83" s="1222"/>
      <c r="E83" s="681">
        <v>0</v>
      </c>
      <c r="F83" s="680"/>
      <c r="G83" s="657">
        <v>0</v>
      </c>
      <c r="H83" s="658">
        <v>0</v>
      </c>
      <c r="I83" s="659"/>
      <c r="J83" s="660"/>
      <c r="K83" s="660"/>
      <c r="L83" s="660"/>
      <c r="M83" s="661"/>
    </row>
    <row r="84" spans="3:13" ht="14.25" x14ac:dyDescent="0.2">
      <c r="D84" s="1222"/>
      <c r="E84" s="681">
        <v>0</v>
      </c>
      <c r="F84" s="680"/>
      <c r="G84" s="657">
        <v>0</v>
      </c>
      <c r="H84" s="658">
        <v>0</v>
      </c>
      <c r="I84" s="659"/>
      <c r="J84" s="660"/>
      <c r="K84" s="660"/>
      <c r="L84" s="660"/>
      <c r="M84" s="661"/>
    </row>
    <row r="85" spans="3:13" ht="14.25" x14ac:dyDescent="0.2">
      <c r="D85" s="1222"/>
      <c r="E85" s="681">
        <v>0</v>
      </c>
      <c r="F85" s="680"/>
      <c r="G85" s="657">
        <v>0</v>
      </c>
      <c r="H85" s="658">
        <v>0</v>
      </c>
      <c r="I85" s="659"/>
      <c r="J85" s="660"/>
      <c r="K85" s="660"/>
      <c r="L85" s="660"/>
      <c r="M85" s="661"/>
    </row>
    <row r="86" spans="3:13" ht="14.25" x14ac:dyDescent="0.2">
      <c r="D86" s="1222"/>
      <c r="E86" s="681">
        <v>0</v>
      </c>
      <c r="F86" s="680"/>
      <c r="G86" s="657">
        <v>0</v>
      </c>
      <c r="H86" s="658">
        <v>0</v>
      </c>
      <c r="I86" s="659"/>
      <c r="J86" s="660"/>
      <c r="K86" s="660"/>
      <c r="L86" s="660"/>
      <c r="M86" s="661"/>
    </row>
    <row r="87" spans="3:13" ht="14.25" x14ac:dyDescent="0.2">
      <c r="D87" s="1222"/>
      <c r="E87" s="681">
        <v>0</v>
      </c>
      <c r="F87" s="680"/>
      <c r="G87" s="657">
        <v>0</v>
      </c>
      <c r="H87" s="658">
        <v>0</v>
      </c>
      <c r="I87" s="659"/>
      <c r="J87" s="660"/>
      <c r="K87" s="660"/>
      <c r="L87" s="660"/>
      <c r="M87" s="661"/>
    </row>
    <row r="88" spans="3:13" ht="14.25" x14ac:dyDescent="0.2">
      <c r="D88" s="1222"/>
      <c r="E88" s="681">
        <v>0</v>
      </c>
      <c r="F88" s="680"/>
      <c r="G88" s="657">
        <v>0</v>
      </c>
      <c r="H88" s="658">
        <v>0</v>
      </c>
      <c r="I88" s="659"/>
      <c r="J88" s="660"/>
      <c r="K88" s="660"/>
      <c r="L88" s="660"/>
      <c r="M88" s="661"/>
    </row>
    <row r="89" spans="3:13" ht="15" thickBot="1" x14ac:dyDescent="0.25">
      <c r="D89" s="1223"/>
      <c r="E89" s="682">
        <v>0</v>
      </c>
      <c r="F89" s="683"/>
      <c r="G89" s="684">
        <v>0</v>
      </c>
      <c r="H89" s="685">
        <v>0</v>
      </c>
      <c r="I89" s="686"/>
      <c r="J89" s="687"/>
      <c r="K89" s="687"/>
      <c r="L89" s="687"/>
      <c r="M89" s="688"/>
    </row>
    <row r="90" spans="3:13" ht="11.25" customHeight="1" x14ac:dyDescent="0.2"/>
    <row r="91" spans="3:13" ht="11.25" customHeight="1" x14ac:dyDescent="0.2"/>
    <row r="92" spans="3:13" s="7" customFormat="1" ht="15" x14ac:dyDescent="0.2">
      <c r="C92" s="7" t="s">
        <v>346</v>
      </c>
    </row>
    <row r="93" spans="3:13" ht="11.25" customHeight="1" thickBot="1" x14ac:dyDescent="0.25"/>
    <row r="94" spans="3:13" ht="25.5" customHeight="1" thickBot="1" x14ac:dyDescent="0.25">
      <c r="D94"/>
      <c r="F94" s="1087" t="s">
        <v>345</v>
      </c>
      <c r="G94" s="1085"/>
      <c r="H94" s="1085"/>
      <c r="I94" s="1086"/>
      <c r="K94" s="1224" t="s">
        <v>690</v>
      </c>
    </row>
    <row r="95" spans="3:13" ht="13.5" thickBot="1" x14ac:dyDescent="0.25">
      <c r="D95"/>
      <c r="F95" s="776" t="s">
        <v>348</v>
      </c>
      <c r="G95" s="777" t="s">
        <v>347</v>
      </c>
      <c r="H95" s="777" t="s">
        <v>349</v>
      </c>
      <c r="I95" s="778" t="s">
        <v>179</v>
      </c>
      <c r="K95" s="1225"/>
    </row>
    <row r="96" spans="3:13" ht="12.75" x14ac:dyDescent="0.2">
      <c r="D96" s="97" t="str">
        <f>D11</f>
        <v>IT &amp; COMMUNICTIONS</v>
      </c>
      <c r="E96" s="97" t="str">
        <f t="shared" ref="E96" si="16">E11</f>
        <v>Total IT and communications</v>
      </c>
      <c r="F96" s="198">
        <v>16385148.310000004</v>
      </c>
      <c r="G96" s="199">
        <v>18518494.039999999</v>
      </c>
      <c r="H96" s="199">
        <v>23005489.660000004</v>
      </c>
      <c r="I96" s="196">
        <f t="shared" ref="I96:I104" si="17">SUM(F96:H96)</f>
        <v>57909132.010000005</v>
      </c>
      <c r="K96" s="939"/>
    </row>
    <row r="97" spans="1:11" ht="12.75" x14ac:dyDescent="0.2">
      <c r="D97" s="106" t="str">
        <f t="shared" ref="D97:E97" si="18">D12</f>
        <v>MOTOR VEHICLES</v>
      </c>
      <c r="E97" s="106" t="str">
        <f t="shared" si="18"/>
        <v>Car</v>
      </c>
      <c r="F97" s="200">
        <v>246661.35754200953</v>
      </c>
      <c r="G97" s="201">
        <v>139618</v>
      </c>
      <c r="H97" s="201">
        <v>129858</v>
      </c>
      <c r="I97" s="197">
        <f t="shared" si="17"/>
        <v>516137.35754200956</v>
      </c>
      <c r="K97" s="188">
        <f>I97/I$116</f>
        <v>1.2651960966823875E-3</v>
      </c>
    </row>
    <row r="98" spans="1:11" ht="12.75" x14ac:dyDescent="0.2">
      <c r="D98" s="106">
        <f t="shared" ref="D98:E98" si="19">D13</f>
        <v>0</v>
      </c>
      <c r="E98" s="106" t="str">
        <f t="shared" si="19"/>
        <v>Light commercial vehicle</v>
      </c>
      <c r="F98" s="200">
        <v>3395891.7052704901</v>
      </c>
      <c r="G98" s="201">
        <v>3159217</v>
      </c>
      <c r="H98" s="201">
        <v>2756345.78</v>
      </c>
      <c r="I98" s="197">
        <f t="shared" si="17"/>
        <v>9311454.485270489</v>
      </c>
      <c r="K98" s="188">
        <f t="shared" ref="K98:K104" si="20">I98/I$116</f>
        <v>2.2824962574504337E-2</v>
      </c>
    </row>
    <row r="99" spans="1:11" ht="12.75" x14ac:dyDescent="0.2">
      <c r="D99" s="106">
        <f t="shared" ref="D99:E99" si="21">D14</f>
        <v>0</v>
      </c>
      <c r="E99" s="106" t="str">
        <f t="shared" si="21"/>
        <v>Elevated work platform (LCV)</v>
      </c>
      <c r="F99" s="200">
        <v>37606.06</v>
      </c>
      <c r="G99" s="201">
        <v>64346</v>
      </c>
      <c r="H99" s="201">
        <v>65655.62</v>
      </c>
      <c r="I99" s="197">
        <f t="shared" si="17"/>
        <v>167607.67999999999</v>
      </c>
      <c r="K99" s="188">
        <f t="shared" si="20"/>
        <v>4.108530014565568E-4</v>
      </c>
    </row>
    <row r="100" spans="1:11" ht="12.75" x14ac:dyDescent="0.2">
      <c r="D100" s="106">
        <f t="shared" ref="D100:E100" si="22">D15</f>
        <v>0</v>
      </c>
      <c r="E100" s="106" t="str">
        <f t="shared" si="22"/>
        <v>Elevated work platform (HCV)</v>
      </c>
      <c r="F100" s="200">
        <v>71871.77999999997</v>
      </c>
      <c r="G100" s="201">
        <v>234155</v>
      </c>
      <c r="H100" s="201">
        <v>136603.18</v>
      </c>
      <c r="I100" s="197">
        <f t="shared" si="17"/>
        <v>442629.95999999996</v>
      </c>
      <c r="K100" s="188">
        <f t="shared" si="20"/>
        <v>1.0850090377755703E-3</v>
      </c>
    </row>
    <row r="101" spans="1:11" ht="12.75" x14ac:dyDescent="0.2">
      <c r="D101" s="106">
        <f t="shared" ref="D101:E101" si="23">D16</f>
        <v>0</v>
      </c>
      <c r="E101" s="106" t="str">
        <f t="shared" si="23"/>
        <v>Heavy commercial vehicle</v>
      </c>
      <c r="F101" s="200">
        <v>676765.82424094318</v>
      </c>
      <c r="G101" s="201">
        <v>811003</v>
      </c>
      <c r="H101" s="201">
        <v>722071.1</v>
      </c>
      <c r="I101" s="197">
        <f t="shared" si="17"/>
        <v>2209839.924240943</v>
      </c>
      <c r="K101" s="188">
        <f t="shared" si="20"/>
        <v>5.416931763585783E-3</v>
      </c>
    </row>
    <row r="102" spans="1:11" ht="12.75" x14ac:dyDescent="0.2">
      <c r="D102" s="106" t="str">
        <f t="shared" ref="D102:E102" si="24">D17</f>
        <v>BUILDINGS AND PROPERTY</v>
      </c>
      <c r="E102" s="106" t="str">
        <f t="shared" si="24"/>
        <v>Total buildings and property expenditure</v>
      </c>
      <c r="F102" s="200">
        <v>0</v>
      </c>
      <c r="G102" s="201">
        <v>0</v>
      </c>
      <c r="H102" s="201">
        <v>0</v>
      </c>
      <c r="I102" s="197">
        <f t="shared" si="17"/>
        <v>0</v>
      </c>
      <c r="K102" s="188">
        <f t="shared" si="20"/>
        <v>0</v>
      </c>
    </row>
    <row r="103" spans="1:11" ht="12.75" x14ac:dyDescent="0.2">
      <c r="D103" s="106" t="str">
        <f t="shared" ref="D103:E103" si="25">D18</f>
        <v>OTHER</v>
      </c>
      <c r="E103" s="106" t="str">
        <f t="shared" si="25"/>
        <v>Other expenditure</v>
      </c>
      <c r="F103" s="200">
        <v>0</v>
      </c>
      <c r="G103" s="201">
        <v>0</v>
      </c>
      <c r="H103" s="201">
        <v>0</v>
      </c>
      <c r="I103" s="197">
        <f t="shared" si="17"/>
        <v>0</v>
      </c>
      <c r="K103" s="188">
        <f t="shared" si="20"/>
        <v>0</v>
      </c>
    </row>
    <row r="104" spans="1:11" ht="13.5" thickBot="1" x14ac:dyDescent="0.25">
      <c r="D104" s="108" t="str">
        <f t="shared" ref="D104" si="26">D19</f>
        <v>OTHER BY: 
TNSP defined</v>
      </c>
      <c r="E104" s="108" t="str">
        <f t="shared" ref="E104" si="27">E19</f>
        <v>Miscellaneous mobile plant items (e.g Mowers, Excavators and Forklifts)</v>
      </c>
      <c r="F104" s="202">
        <v>119641.65294677333</v>
      </c>
      <c r="G104" s="203">
        <v>34260</v>
      </c>
      <c r="H104" s="203">
        <v>550929.55000000005</v>
      </c>
      <c r="I104" s="204">
        <f t="shared" si="17"/>
        <v>704831.20294677338</v>
      </c>
      <c r="K104" s="189">
        <f t="shared" si="20"/>
        <v>1.7277371493413512E-3</v>
      </c>
    </row>
    <row r="105" spans="1:11" ht="13.5" thickBot="1" x14ac:dyDescent="0.25">
      <c r="D105" s="190" t="s">
        <v>505</v>
      </c>
      <c r="E105" s="190"/>
      <c r="F105" s="190">
        <f>SUM(F96:F104)</f>
        <v>20933586.690000221</v>
      </c>
      <c r="G105" s="67">
        <f>SUM(G96:G104)</f>
        <v>22961093.039999999</v>
      </c>
      <c r="H105" s="67">
        <f>SUM(H96:H104)</f>
        <v>27366952.890000008</v>
      </c>
      <c r="I105" s="68">
        <f>SUM(I96:I104)</f>
        <v>71261632.620000213</v>
      </c>
    </row>
    <row r="106" spans="1:11" ht="11.25" customHeight="1" x14ac:dyDescent="0.2"/>
    <row r="107" spans="1:11" ht="11.25" customHeight="1" x14ac:dyDescent="0.2">
      <c r="D107" s="6" t="s">
        <v>679</v>
      </c>
      <c r="F107" s="201">
        <v>20933586.690000221</v>
      </c>
      <c r="G107" s="201">
        <v>22961093.039999999</v>
      </c>
      <c r="H107" s="201">
        <v>27366952.890000008</v>
      </c>
    </row>
    <row r="108" spans="1:11" ht="11.25" customHeight="1" x14ac:dyDescent="0.2">
      <c r="A108" s="385">
        <f>IF(SUM($F108:$H108)&gt;0,1,0)</f>
        <v>0</v>
      </c>
      <c r="D108" s="6" t="s">
        <v>183</v>
      </c>
      <c r="E108" s="6"/>
      <c r="F108" s="70">
        <f>IF(ROUND(F105-F107,3)&lt;&gt;0,1,0)</f>
        <v>0</v>
      </c>
      <c r="G108" s="70">
        <f>IF(ROUND(G105-G107,3)&lt;&gt;0,1,0)</f>
        <v>0</v>
      </c>
      <c r="H108" s="70">
        <f>IF(ROUND(H105-H107,3)&lt;&gt;0,1,0)</f>
        <v>0</v>
      </c>
    </row>
    <row r="109" spans="1:11" ht="12" thickBot="1" x14ac:dyDescent="0.25"/>
    <row r="110" spans="1:11" ht="25.5" customHeight="1" thickBot="1" x14ac:dyDescent="0.25">
      <c r="F110" s="1087" t="s">
        <v>345</v>
      </c>
      <c r="G110" s="1085"/>
      <c r="H110" s="1085"/>
      <c r="I110" s="1086"/>
      <c r="J110" s="925" t="s">
        <v>689</v>
      </c>
    </row>
    <row r="111" spans="1:11" ht="13.5" thickBot="1" x14ac:dyDescent="0.25">
      <c r="F111" s="776" t="s">
        <v>348</v>
      </c>
      <c r="G111" s="777" t="s">
        <v>347</v>
      </c>
      <c r="H111" s="777" t="s">
        <v>349</v>
      </c>
      <c r="I111" s="778" t="s">
        <v>179</v>
      </c>
    </row>
    <row r="112" spans="1:11" ht="12.75" x14ac:dyDescent="0.2">
      <c r="D112" s="97" t="s">
        <v>682</v>
      </c>
      <c r="E112" s="97"/>
      <c r="F112" s="200">
        <v>154447845.15999949</v>
      </c>
      <c r="G112" s="200">
        <v>161451859</v>
      </c>
      <c r="H112" s="200">
        <v>168541965</v>
      </c>
      <c r="I112" s="197">
        <f>SUM(F112:H112)</f>
        <v>484441669.15999949</v>
      </c>
    </row>
    <row r="113" spans="1:12" ht="12.75" x14ac:dyDescent="0.2">
      <c r="D113" s="938" t="s">
        <v>683</v>
      </c>
      <c r="E113" s="106"/>
      <c r="F113" s="200">
        <v>-16385148.310000032</v>
      </c>
      <c r="G113" s="200">
        <v>-18518494</v>
      </c>
      <c r="H113" s="200">
        <v>-23005490</v>
      </c>
      <c r="I113" s="197">
        <f t="shared" ref="I113:I115" si="28">SUM(F113:H113)</f>
        <v>-57909132.310000032</v>
      </c>
    </row>
    <row r="114" spans="1:12" ht="12.75" x14ac:dyDescent="0.2">
      <c r="D114" s="938" t="s">
        <v>684</v>
      </c>
      <c r="E114" s="106"/>
      <c r="F114" s="200">
        <v>0</v>
      </c>
      <c r="G114" s="200">
        <v>-9273298</v>
      </c>
      <c r="H114" s="200">
        <v>-5852976</v>
      </c>
      <c r="I114" s="197">
        <f t="shared" si="28"/>
        <v>-15126274</v>
      </c>
    </row>
    <row r="115" spans="1:12" ht="13.5" thickBot="1" x14ac:dyDescent="0.25">
      <c r="D115" s="938" t="s">
        <v>685</v>
      </c>
      <c r="E115" s="106"/>
      <c r="F115" s="200">
        <v>-1032073.7899999998</v>
      </c>
      <c r="G115" s="200">
        <v>-1233986</v>
      </c>
      <c r="H115" s="200">
        <v>-1189721</v>
      </c>
      <c r="I115" s="197">
        <f t="shared" si="28"/>
        <v>-3455780.79</v>
      </c>
    </row>
    <row r="116" spans="1:12" ht="13.5" thickBot="1" x14ac:dyDescent="0.25">
      <c r="D116" s="190" t="s">
        <v>686</v>
      </c>
      <c r="E116" s="190"/>
      <c r="F116" s="190">
        <f>SUM(F112:F115)</f>
        <v>137030623.05999947</v>
      </c>
      <c r="G116" s="67">
        <f t="shared" ref="G116:I116" si="29">SUM(G112:G115)</f>
        <v>132426081</v>
      </c>
      <c r="H116" s="67">
        <f t="shared" si="29"/>
        <v>138493778</v>
      </c>
      <c r="I116" s="68">
        <f t="shared" si="29"/>
        <v>407950482.05999941</v>
      </c>
    </row>
    <row r="118" spans="1:12" ht="11.25" customHeight="1" x14ac:dyDescent="0.2">
      <c r="D118" s="6" t="s">
        <v>354</v>
      </c>
      <c r="F118" s="144">
        <f>SUM(WkB_1_2.16!E10:E16)*Input_CPI!O$22</f>
        <v>154447845.15999946</v>
      </c>
      <c r="G118" s="144">
        <f>SUM(WkB_1_2.16!F10:F16)*Input_CPI!P$22</f>
        <v>161451859.00000006</v>
      </c>
      <c r="H118" s="144">
        <f>SUM(WkB_1_2.16!G10:G16)*Input_CPI!Q$22</f>
        <v>168541965</v>
      </c>
    </row>
    <row r="119" spans="1:12" ht="11.25" customHeight="1" x14ac:dyDescent="0.2">
      <c r="A119" s="385">
        <f>IF(SUM($F119:$H119)&gt;0,1,0)</f>
        <v>0</v>
      </c>
      <c r="D119" s="6" t="s">
        <v>183</v>
      </c>
      <c r="E119" s="6"/>
      <c r="F119" s="70">
        <f>IF(ROUND(F112-F118,-1)&lt;&gt;0,1,0)</f>
        <v>0</v>
      </c>
      <c r="G119" s="70">
        <f>IF(ROUND(G112-G118,-1)&lt;&gt;0,1,0)</f>
        <v>0</v>
      </c>
      <c r="H119" s="70">
        <f>IF(ROUND(H112-H118,-1)&lt;&gt;0,1,0)</f>
        <v>0</v>
      </c>
    </row>
    <row r="121" spans="1:12" s="7" customFormat="1" ht="15" x14ac:dyDescent="0.2">
      <c r="C121" s="7" t="s">
        <v>350</v>
      </c>
    </row>
    <row r="122" spans="1:12" ht="11.25" customHeight="1" x14ac:dyDescent="0.2"/>
    <row r="123" spans="1:12" ht="11.25" customHeight="1" x14ac:dyDescent="0.2">
      <c r="D123" s="129" t="s">
        <v>98</v>
      </c>
      <c r="E123" s="130" t="s">
        <v>342</v>
      </c>
      <c r="F123" s="779">
        <f>Lookup!S$18</f>
        <v>2022</v>
      </c>
      <c r="G123" s="780">
        <f>Lookup!T$18</f>
        <v>2023</v>
      </c>
      <c r="H123" s="781">
        <f>Lookup!U$18</f>
        <v>2024</v>
      </c>
      <c r="I123" s="779">
        <f>Lookup!V$18</f>
        <v>2025</v>
      </c>
      <c r="J123" s="779">
        <f>Lookup!W$18</f>
        <v>2026</v>
      </c>
      <c r="K123" s="779">
        <f>Lookup!X$18</f>
        <v>2027</v>
      </c>
      <c r="L123" s="780">
        <f>Lookup!Y$18</f>
        <v>2028</v>
      </c>
    </row>
    <row r="124" spans="1:12" ht="11.25" customHeight="1" x14ac:dyDescent="0.2">
      <c r="F124" s="49"/>
      <c r="G124" s="49"/>
    </row>
    <row r="125" spans="1:12" ht="11.25" customHeight="1" x14ac:dyDescent="0.2">
      <c r="D125" s="6" t="s">
        <v>353</v>
      </c>
      <c r="E125" s="134" t="s">
        <v>681</v>
      </c>
      <c r="F125" s="782">
        <f>WkB_1_3.2!E46</f>
        <v>223480729.76390216</v>
      </c>
      <c r="G125" s="783">
        <f>WkB_1_3.2!F46</f>
        <v>193243157.44050598</v>
      </c>
      <c r="H125" s="784">
        <f>WkB_1_3.2!G46</f>
        <v>188863781.64036441</v>
      </c>
      <c r="I125" s="785">
        <f>WkB_1_3.2!H46</f>
        <v>197582308.67818257</v>
      </c>
      <c r="J125" s="785">
        <f>WkB_1_3.2!I46</f>
        <v>199933918.75658357</v>
      </c>
      <c r="K125" s="785">
        <f>WkB_1_3.2!J46</f>
        <v>200339193.25304416</v>
      </c>
      <c r="L125" s="785">
        <f>WkB_1_3.2!K46</f>
        <v>202599178.91443646</v>
      </c>
    </row>
    <row r="126" spans="1:12" ht="11.25" customHeight="1" x14ac:dyDescent="0.2">
      <c r="D126" s="793" t="s">
        <v>680</v>
      </c>
      <c r="E126" s="134" t="s">
        <v>681</v>
      </c>
      <c r="F126" s="782">
        <f>WkB_1_3.2!E27</f>
        <v>54347717.086625755</v>
      </c>
      <c r="G126" s="783">
        <f>WkB_1_3.2!F27</f>
        <v>33662746.324020304</v>
      </c>
      <c r="H126" s="784">
        <f>WkB_1_3.2!G27</f>
        <v>38811490.800753981</v>
      </c>
      <c r="I126" s="785">
        <f>WkB_1_3.2!H27</f>
        <v>40351296.087593019</v>
      </c>
      <c r="J126" s="785">
        <f>WkB_1_3.2!I27</f>
        <v>40529926.724048026</v>
      </c>
      <c r="K126" s="785">
        <f>WkB_1_3.2!J27</f>
        <v>40708140.179422811</v>
      </c>
      <c r="L126" s="785">
        <f>WkB_1_3.2!K27</f>
        <v>40870154.475460626</v>
      </c>
    </row>
    <row r="127" spans="1:12" ht="11.25" customHeight="1" x14ac:dyDescent="0.2">
      <c r="D127" s="793" t="s">
        <v>687</v>
      </c>
      <c r="E127" s="134" t="s">
        <v>681</v>
      </c>
      <c r="F127" s="782">
        <f>WkB_1_3.2!E30</f>
        <v>22387623.528073706</v>
      </c>
      <c r="G127" s="783">
        <f>WkB_1_3.2!F30</f>
        <v>13752148.922986545</v>
      </c>
      <c r="H127" s="784">
        <f>WkB_1_3.2!G30</f>
        <v>0</v>
      </c>
      <c r="I127" s="785">
        <f>WkB_1_3.2!H30</f>
        <v>0</v>
      </c>
      <c r="J127" s="785">
        <f>WkB_1_3.2!I30</f>
        <v>0</v>
      </c>
      <c r="K127" s="785">
        <f>WkB_1_3.2!J30</f>
        <v>0</v>
      </c>
      <c r="L127" s="785">
        <f>WkB_1_3.2!K30</f>
        <v>0</v>
      </c>
    </row>
    <row r="128" spans="1:12" ht="11.25" customHeight="1" x14ac:dyDescent="0.2">
      <c r="D128" s="793" t="s">
        <v>688</v>
      </c>
      <c r="E128" s="134" t="s">
        <v>681</v>
      </c>
      <c r="F128" s="782">
        <f>WkB_1_3.2!E29</f>
        <v>1554696.0351524507</v>
      </c>
      <c r="G128" s="783">
        <f>WkB_1_3.2!F29</f>
        <v>0</v>
      </c>
      <c r="H128" s="784">
        <f>WkB_1_3.2!G29</f>
        <v>0</v>
      </c>
      <c r="I128" s="785">
        <f>WkB_1_3.2!H29</f>
        <v>0</v>
      </c>
      <c r="J128" s="785">
        <f>WkB_1_3.2!I29</f>
        <v>0</v>
      </c>
      <c r="K128" s="785">
        <f>WkB_1_3.2!J29</f>
        <v>0</v>
      </c>
      <c r="L128" s="785">
        <f>WkB_1_3.2!K29</f>
        <v>0</v>
      </c>
    </row>
    <row r="129" spans="1:12" ht="11.25" customHeight="1" x14ac:dyDescent="0.2">
      <c r="D129" s="6" t="s">
        <v>686</v>
      </c>
      <c r="E129" s="134" t="s">
        <v>352</v>
      </c>
      <c r="F129" s="782">
        <f>F125-SUM(F126:F128)</f>
        <v>145190693.11405027</v>
      </c>
      <c r="G129" s="783">
        <f t="shared" ref="G129:L129" si="30">G125-SUM(G126:G128)</f>
        <v>145828262.19349915</v>
      </c>
      <c r="H129" s="784">
        <f t="shared" si="30"/>
        <v>150052290.83961043</v>
      </c>
      <c r="I129" s="785">
        <f t="shared" si="30"/>
        <v>157231012.59058955</v>
      </c>
      <c r="J129" s="785">
        <f t="shared" si="30"/>
        <v>159403992.03253555</v>
      </c>
      <c r="K129" s="785">
        <f t="shared" si="30"/>
        <v>159631053.07362133</v>
      </c>
      <c r="L129" s="785">
        <f t="shared" si="30"/>
        <v>161729024.43897584</v>
      </c>
    </row>
    <row r="130" spans="1:12" ht="11.25" customHeight="1" x14ac:dyDescent="0.2">
      <c r="F130" s="49"/>
      <c r="G130" s="49"/>
    </row>
    <row r="131" spans="1:12" ht="11.25" customHeight="1" x14ac:dyDescent="0.2">
      <c r="A131" s="42">
        <f>IF(SUM($F131:$L131)&gt;0,1,0)</f>
        <v>0</v>
      </c>
      <c r="D131" s="6" t="s">
        <v>183</v>
      </c>
      <c r="E131" s="6"/>
      <c r="F131" s="70">
        <f>IF(ROUND(F125-WkB_1_3.2!E46,3)&lt;&gt;0,1,0)</f>
        <v>0</v>
      </c>
      <c r="G131" s="70">
        <f>IF(ROUND(G125-WkB_1_3.2!F46,3)&lt;&gt;0,1,0)</f>
        <v>0</v>
      </c>
      <c r="H131" s="70">
        <f>IF(ROUND(H125-WkB_1_3.2!G46,3)&lt;&gt;0,1,0)</f>
        <v>0</v>
      </c>
      <c r="I131" s="70">
        <f>IF(ROUND(I125-WkB_1_3.2!H46,3)&lt;&gt;0,1,0)</f>
        <v>0</v>
      </c>
      <c r="J131" s="70">
        <f>IF(ROUND(J125-WkB_1_3.2!I46,3)&lt;&gt;0,1,0)</f>
        <v>0</v>
      </c>
      <c r="K131" s="70">
        <f>IF(ROUND(K125-WkB_1_3.2!J46,3)&lt;&gt;0,1,0)</f>
        <v>0</v>
      </c>
      <c r="L131" s="70">
        <f>IF(ROUND(L125-WkB_1_3.2!K46,3)&lt;&gt;0,1,0)</f>
        <v>0</v>
      </c>
    </row>
    <row r="132" spans="1:12" ht="11.25" customHeight="1" x14ac:dyDescent="0.2">
      <c r="F132" s="49"/>
      <c r="G132" s="49"/>
    </row>
    <row r="133" spans="1:12" s="47" customFormat="1" ht="15.75" x14ac:dyDescent="0.2">
      <c r="B133" s="47" t="s">
        <v>32</v>
      </c>
    </row>
  </sheetData>
  <mergeCells count="6">
    <mergeCell ref="F110:I110"/>
    <mergeCell ref="F8:L8"/>
    <mergeCell ref="G68:M68"/>
    <mergeCell ref="D79:D89"/>
    <mergeCell ref="F94:I94"/>
    <mergeCell ref="K94:K95"/>
  </mergeCells>
  <conditionalFormatting sqref="B2">
    <cfRule type="cellIs" dxfId="118" priority="5" operator="notEqual">
      <formula>"No Errors Found"</formula>
    </cfRule>
  </conditionalFormatting>
  <conditionalFormatting sqref="L10:L16 L18:L26">
    <cfRule type="expression" dxfId="117" priority="4">
      <formula>(dms_FRCPlength_Num)&lt;5</formula>
    </cfRule>
  </conditionalFormatting>
  <conditionalFormatting sqref="L27:L43">
    <cfRule type="expression" dxfId="116" priority="3">
      <formula>(dms_FRCPlength_Num)&lt;5</formula>
    </cfRule>
  </conditionalFormatting>
  <conditionalFormatting sqref="L17">
    <cfRule type="expression" dxfId="115" priority="1">
      <formula>(dms_FRCPlength_Num)&lt;5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65"/>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53.5" style="46" customWidth="1"/>
    <col min="5" max="13" width="15.6640625" style="46" customWidth="1"/>
    <col min="14" max="31" width="10.6640625" style="46" customWidth="1"/>
    <col min="32" max="16384" width="9.33203125" style="46"/>
  </cols>
  <sheetData>
    <row r="1" spans="1:13" ht="19.5" x14ac:dyDescent="0.2">
      <c r="A1" s="42">
        <f>IF(SUM($A2:$A65)&gt;0,1,0)</f>
        <v>0</v>
      </c>
      <c r="B1" s="3" t="s">
        <v>489</v>
      </c>
    </row>
    <row r="2" spans="1:13" x14ac:dyDescent="0.2">
      <c r="B2" s="9" t="str">
        <f>Title_Msg</f>
        <v>No Errors Found</v>
      </c>
    </row>
    <row r="3" spans="1:13" s="47" customFormat="1" ht="15.75" x14ac:dyDescent="0.2">
      <c r="B3" s="47" t="str">
        <f>WkB_1_2.1.1!$B$3</f>
        <v>Data required to populate TransGrid's 2023-28 regulatory submission</v>
      </c>
    </row>
    <row r="4" spans="1:13" ht="4.5" customHeight="1" x14ac:dyDescent="0.2"/>
    <row r="5" spans="1:13" s="7" customFormat="1" ht="15" x14ac:dyDescent="0.2">
      <c r="C5" s="7" t="str">
        <f>WkB_1_2.1.1!$C$5</f>
        <v>Output - RIN template</v>
      </c>
    </row>
    <row r="6" spans="1:13" ht="11.25" customHeight="1" thickBot="1" x14ac:dyDescent="0.25"/>
    <row r="7" spans="1:13" ht="18.75" x14ac:dyDescent="0.2">
      <c r="D7" s="689" t="s">
        <v>470</v>
      </c>
      <c r="E7" s="690"/>
      <c r="F7" s="691"/>
      <c r="G7" s="690"/>
      <c r="H7" s="690"/>
      <c r="I7" s="690"/>
      <c r="J7" s="690"/>
      <c r="K7" s="690"/>
      <c r="L7" s="690"/>
      <c r="M7" s="690"/>
    </row>
    <row r="8" spans="1:13" ht="39" customHeight="1" thickBot="1" x14ac:dyDescent="0.25">
      <c r="D8"/>
      <c r="E8"/>
      <c r="F8" s="461"/>
      <c r="G8" s="1219" t="s">
        <v>471</v>
      </c>
      <c r="H8" s="1220"/>
      <c r="I8" s="1220"/>
      <c r="J8" s="1220"/>
      <c r="K8" s="1220"/>
      <c r="L8" s="1220"/>
      <c r="M8" s="1221"/>
    </row>
    <row r="9" spans="1:13" ht="13.5" thickBot="1" x14ac:dyDescent="0.25">
      <c r="D9" s="634"/>
      <c r="E9" s="634"/>
      <c r="F9" s="635"/>
      <c r="G9" s="53" t="s">
        <v>167</v>
      </c>
      <c r="H9" s="692" t="s">
        <v>168</v>
      </c>
      <c r="I9" s="56" t="s">
        <v>169</v>
      </c>
      <c r="J9" s="56" t="s">
        <v>170</v>
      </c>
      <c r="K9" s="56" t="s">
        <v>171</v>
      </c>
      <c r="L9" s="56" t="s">
        <v>172</v>
      </c>
      <c r="M9" s="57" t="s">
        <v>181</v>
      </c>
    </row>
    <row r="10" spans="1:13" ht="13.5" thickBot="1" x14ac:dyDescent="0.25">
      <c r="D10" s="693" t="s">
        <v>472</v>
      </c>
      <c r="E10" s="694"/>
      <c r="F10" s="694"/>
      <c r="G10" s="694"/>
      <c r="H10" s="694"/>
      <c r="I10" s="694"/>
      <c r="J10" s="694"/>
      <c r="K10" s="694"/>
      <c r="L10" s="694"/>
      <c r="M10" s="695"/>
    </row>
    <row r="11" spans="1:13" ht="15" x14ac:dyDescent="0.25">
      <c r="D11" s="1226" t="str">
        <f t="shared" ref="D11:F11" si="0">D41</f>
        <v>Total IT and communications</v>
      </c>
      <c r="E11" s="1227">
        <f t="shared" si="0"/>
        <v>0</v>
      </c>
      <c r="F11" s="1228">
        <f t="shared" si="0"/>
        <v>0</v>
      </c>
      <c r="G11" s="696">
        <f>G41*Input_CPI!R$16</f>
        <v>4068247.4807933974</v>
      </c>
      <c r="H11" s="697">
        <f>H41*Input_CPI!S$16</f>
        <v>227880.66325034018</v>
      </c>
      <c r="I11" s="697">
        <f>WkB_1_2.6.1!H$28*I41/I$59</f>
        <v>21680209.056280881</v>
      </c>
      <c r="J11" s="697">
        <f>WkB_1_2.6.1!I$28*J41/J$59</f>
        <v>15523430.219098888</v>
      </c>
      <c r="K11" s="697">
        <f>WkB_1_2.6.1!J$28*K41/K$59</f>
        <v>15546220.512433864</v>
      </c>
      <c r="L11" s="697">
        <f>WkB_1_2.6.1!K$28*L41/L$59</f>
        <v>13739233.908252256</v>
      </c>
      <c r="M11" s="698">
        <f>WkB_1_2.6.1!L$28*M41/M$59</f>
        <v>10682770.138556875</v>
      </c>
    </row>
    <row r="12" spans="1:13" ht="15" x14ac:dyDescent="0.25">
      <c r="D12" s="1226">
        <f t="shared" ref="D12:F12" si="1">D42</f>
        <v>0</v>
      </c>
      <c r="E12" s="1227">
        <f t="shared" si="1"/>
        <v>0</v>
      </c>
      <c r="F12" s="1228">
        <f t="shared" si="1"/>
        <v>0</v>
      </c>
      <c r="G12" s="699">
        <f>G42*Input_CPI!R$16</f>
        <v>0</v>
      </c>
      <c r="H12" s="700">
        <f>H42*Input_CPI!S$16</f>
        <v>0</v>
      </c>
      <c r="I12" s="700">
        <f>WkB_1_2.6.1!H$28*I42/I$59</f>
        <v>0</v>
      </c>
      <c r="J12" s="700">
        <f>WkB_1_2.6.1!I$28*J42/J$59</f>
        <v>0</v>
      </c>
      <c r="K12" s="700">
        <f>WkB_1_2.6.1!J$28*K42/K$59</f>
        <v>0</v>
      </c>
      <c r="L12" s="700">
        <f>WkB_1_2.6.1!K$28*L42/L$59</f>
        <v>0</v>
      </c>
      <c r="M12" s="701">
        <f>WkB_1_2.6.1!L$28*M42/M$59</f>
        <v>0</v>
      </c>
    </row>
    <row r="13" spans="1:13" ht="15" x14ac:dyDescent="0.25">
      <c r="D13" s="1226">
        <f t="shared" ref="D13:F13" si="2">D43</f>
        <v>0</v>
      </c>
      <c r="E13" s="1227">
        <f t="shared" si="2"/>
        <v>0</v>
      </c>
      <c r="F13" s="1228">
        <f t="shared" si="2"/>
        <v>0</v>
      </c>
      <c r="G13" s="699">
        <f>G43*Input_CPI!R$16</f>
        <v>0</v>
      </c>
      <c r="H13" s="700">
        <f>H43*Input_CPI!S$16</f>
        <v>0</v>
      </c>
      <c r="I13" s="700">
        <f>WkB_1_2.6.1!H$28*I43/I$59</f>
        <v>0</v>
      </c>
      <c r="J13" s="700">
        <f>WkB_1_2.6.1!I$28*J43/J$59</f>
        <v>0</v>
      </c>
      <c r="K13" s="700">
        <f>WkB_1_2.6.1!J$28*K43/K$59</f>
        <v>0</v>
      </c>
      <c r="L13" s="700">
        <f>WkB_1_2.6.1!K$28*L43/L$59</f>
        <v>0</v>
      </c>
      <c r="M13" s="701">
        <f>WkB_1_2.6.1!L$28*M43/M$59</f>
        <v>0</v>
      </c>
    </row>
    <row r="14" spans="1:13" ht="15" x14ac:dyDescent="0.25">
      <c r="D14" s="1226">
        <f t="shared" ref="D14:F14" si="3">D44</f>
        <v>0</v>
      </c>
      <c r="E14" s="1227">
        <f t="shared" si="3"/>
        <v>0</v>
      </c>
      <c r="F14" s="1228">
        <f t="shared" si="3"/>
        <v>0</v>
      </c>
      <c r="G14" s="699">
        <f>G44*Input_CPI!R$16</f>
        <v>0</v>
      </c>
      <c r="H14" s="700">
        <f>H44*Input_CPI!S$16</f>
        <v>0</v>
      </c>
      <c r="I14" s="700">
        <f>WkB_1_2.6.1!H$28*I44/I$59</f>
        <v>0</v>
      </c>
      <c r="J14" s="700">
        <f>WkB_1_2.6.1!I$28*J44/J$59</f>
        <v>0</v>
      </c>
      <c r="K14" s="700">
        <f>WkB_1_2.6.1!J$28*K44/K$59</f>
        <v>0</v>
      </c>
      <c r="L14" s="700">
        <f>WkB_1_2.6.1!K$28*L44/L$59</f>
        <v>0</v>
      </c>
      <c r="M14" s="701">
        <f>WkB_1_2.6.1!L$28*M44/M$59</f>
        <v>0</v>
      </c>
    </row>
    <row r="15" spans="1:13" ht="15" x14ac:dyDescent="0.25">
      <c r="D15" s="1226">
        <f t="shared" ref="D15:F15" si="4">D45</f>
        <v>0</v>
      </c>
      <c r="E15" s="1227">
        <f t="shared" si="4"/>
        <v>0</v>
      </c>
      <c r="F15" s="1228">
        <f t="shared" si="4"/>
        <v>0</v>
      </c>
      <c r="G15" s="699">
        <f>G45*Input_CPI!R$16</f>
        <v>0</v>
      </c>
      <c r="H15" s="700">
        <f>H45*Input_CPI!S$16</f>
        <v>0</v>
      </c>
      <c r="I15" s="700">
        <f>WkB_1_2.6.1!H$28*I45/I$59</f>
        <v>0</v>
      </c>
      <c r="J15" s="700">
        <f>WkB_1_2.6.1!I$28*J45/J$59</f>
        <v>0</v>
      </c>
      <c r="K15" s="700">
        <f>WkB_1_2.6.1!J$28*K45/K$59</f>
        <v>0</v>
      </c>
      <c r="L15" s="700">
        <f>WkB_1_2.6.1!K$28*L45/L$59</f>
        <v>0</v>
      </c>
      <c r="M15" s="701">
        <f>WkB_1_2.6.1!L$28*M45/M$59</f>
        <v>0</v>
      </c>
    </row>
    <row r="16" spans="1:13" ht="15" x14ac:dyDescent="0.25">
      <c r="D16" s="1226">
        <f t="shared" ref="D16:F16" si="5">D46</f>
        <v>0</v>
      </c>
      <c r="E16" s="1227">
        <f t="shared" si="5"/>
        <v>0</v>
      </c>
      <c r="F16" s="1228">
        <f t="shared" si="5"/>
        <v>0</v>
      </c>
      <c r="G16" s="699">
        <f>G46*Input_CPI!R$16</f>
        <v>0</v>
      </c>
      <c r="H16" s="700">
        <f>H46*Input_CPI!S$16</f>
        <v>0</v>
      </c>
      <c r="I16" s="700">
        <f>WkB_1_2.6.1!H$28*I46/I$59</f>
        <v>0</v>
      </c>
      <c r="J16" s="700">
        <f>WkB_1_2.6.1!I$28*J46/J$59</f>
        <v>0</v>
      </c>
      <c r="K16" s="700">
        <f>WkB_1_2.6.1!J$28*K46/K$59</f>
        <v>0</v>
      </c>
      <c r="L16" s="700">
        <f>WkB_1_2.6.1!K$28*L46/L$59</f>
        <v>0</v>
      </c>
      <c r="M16" s="701">
        <f>WkB_1_2.6.1!L$28*M46/M$59</f>
        <v>0</v>
      </c>
    </row>
    <row r="17" spans="4:13" ht="15" x14ac:dyDescent="0.25">
      <c r="D17" s="1226">
        <f t="shared" ref="D17:F17" si="6">D47</f>
        <v>0</v>
      </c>
      <c r="E17" s="1227">
        <f t="shared" si="6"/>
        <v>0</v>
      </c>
      <c r="F17" s="1228">
        <f t="shared" si="6"/>
        <v>0</v>
      </c>
      <c r="G17" s="699">
        <f>G47*Input_CPI!R$16</f>
        <v>0</v>
      </c>
      <c r="H17" s="700">
        <f>H47*Input_CPI!S$16</f>
        <v>0</v>
      </c>
      <c r="I17" s="700">
        <f>WkB_1_2.6.1!H$28*I47/I$59</f>
        <v>0</v>
      </c>
      <c r="J17" s="700">
        <f>WkB_1_2.6.1!I$28*J47/J$59</f>
        <v>0</v>
      </c>
      <c r="K17" s="700">
        <f>WkB_1_2.6.1!J$28*K47/K$59</f>
        <v>0</v>
      </c>
      <c r="L17" s="700">
        <f>WkB_1_2.6.1!K$28*L47/L$59</f>
        <v>0</v>
      </c>
      <c r="M17" s="701">
        <f>WkB_1_2.6.1!L$28*M47/M$59</f>
        <v>0</v>
      </c>
    </row>
    <row r="18" spans="4:13" ht="15" x14ac:dyDescent="0.25">
      <c r="D18" s="1226">
        <f t="shared" ref="D18:F18" si="7">D48</f>
        <v>0</v>
      </c>
      <c r="E18" s="1227">
        <f t="shared" si="7"/>
        <v>0</v>
      </c>
      <c r="F18" s="1228">
        <f t="shared" si="7"/>
        <v>0</v>
      </c>
      <c r="G18" s="699">
        <f>G48*Input_CPI!R$16</f>
        <v>0</v>
      </c>
      <c r="H18" s="700">
        <f>H48*Input_CPI!S$16</f>
        <v>0</v>
      </c>
      <c r="I18" s="700">
        <f>WkB_1_2.6.1!H$28*I48/I$59</f>
        <v>0</v>
      </c>
      <c r="J18" s="700">
        <f>WkB_1_2.6.1!I$28*J48/J$59</f>
        <v>0</v>
      </c>
      <c r="K18" s="700">
        <f>WkB_1_2.6.1!J$28*K48/K$59</f>
        <v>0</v>
      </c>
      <c r="L18" s="700">
        <f>WkB_1_2.6.1!K$28*L48/L$59</f>
        <v>0</v>
      </c>
      <c r="M18" s="701">
        <f>WkB_1_2.6.1!L$28*M48/M$59</f>
        <v>0</v>
      </c>
    </row>
    <row r="19" spans="4:13" ht="15" x14ac:dyDescent="0.25">
      <c r="D19" s="1226">
        <f t="shared" ref="D19:F20" si="8">D49</f>
        <v>0</v>
      </c>
      <c r="E19" s="1227">
        <f t="shared" si="8"/>
        <v>0</v>
      </c>
      <c r="F19" s="1228">
        <f t="shared" si="8"/>
        <v>0</v>
      </c>
      <c r="G19" s="699">
        <f>G49*Input_CPI!R$16</f>
        <v>0</v>
      </c>
      <c r="H19" s="700">
        <f>H49*Input_CPI!S$16</f>
        <v>0</v>
      </c>
      <c r="I19" s="700">
        <f>WkB_1_2.6.1!H$28*I49/I$59</f>
        <v>0</v>
      </c>
      <c r="J19" s="700">
        <f>WkB_1_2.6.1!I$28*J49/J$59</f>
        <v>0</v>
      </c>
      <c r="K19" s="700">
        <f>WkB_1_2.6.1!J$28*K49/K$59</f>
        <v>0</v>
      </c>
      <c r="L19" s="700">
        <f>WkB_1_2.6.1!K$28*L49/L$59</f>
        <v>0</v>
      </c>
      <c r="M19" s="701">
        <f>WkB_1_2.6.1!L$28*M49/M$59</f>
        <v>0</v>
      </c>
    </row>
    <row r="20" spans="4:13" ht="15" x14ac:dyDescent="0.25">
      <c r="D20" s="1226">
        <f t="shared" si="8"/>
        <v>0</v>
      </c>
      <c r="E20" s="1227">
        <f t="shared" si="8"/>
        <v>0</v>
      </c>
      <c r="F20" s="1228">
        <f t="shared" si="8"/>
        <v>0</v>
      </c>
      <c r="G20" s="786">
        <f>G50*Input_CPI!R$16</f>
        <v>0</v>
      </c>
      <c r="H20" s="787">
        <f>H50*Input_CPI!S$16</f>
        <v>0</v>
      </c>
      <c r="I20" s="787">
        <f>WkB_1_2.6.1!H$28*I50/I$59</f>
        <v>0</v>
      </c>
      <c r="J20" s="787">
        <f>WkB_1_2.6.1!I$28*J50/J$59</f>
        <v>0</v>
      </c>
      <c r="K20" s="787">
        <f>WkB_1_2.6.1!J$28*K50/K$59</f>
        <v>0</v>
      </c>
      <c r="L20" s="787">
        <f>WkB_1_2.6.1!K$28*L50/L$59</f>
        <v>0</v>
      </c>
      <c r="M20" s="788">
        <f>WkB_1_2.6.1!L$28*M50/M$59</f>
        <v>0</v>
      </c>
    </row>
    <row r="21" spans="4:13" ht="15.75" thickBot="1" x14ac:dyDescent="0.3">
      <c r="D21" s="1226">
        <f t="shared" ref="D21:F21" si="9">D51</f>
        <v>0</v>
      </c>
      <c r="E21" s="1227">
        <f t="shared" si="9"/>
        <v>0</v>
      </c>
      <c r="F21" s="1228">
        <f t="shared" si="9"/>
        <v>0</v>
      </c>
      <c r="G21" s="702">
        <f>G51*Input_CPI!R$16</f>
        <v>0</v>
      </c>
      <c r="H21" s="703">
        <f>H51*Input_CPI!S$16</f>
        <v>0</v>
      </c>
      <c r="I21" s="703">
        <f>WkB_1_2.6.1!H$28*I51/I$59</f>
        <v>0</v>
      </c>
      <c r="J21" s="703">
        <f>WkB_1_2.6.1!I$28*J51/J$59</f>
        <v>0</v>
      </c>
      <c r="K21" s="703">
        <f>WkB_1_2.6.1!J$28*K51/K$59</f>
        <v>0</v>
      </c>
      <c r="L21" s="703">
        <f>WkB_1_2.6.1!K$28*L51/L$59</f>
        <v>0</v>
      </c>
      <c r="M21" s="704">
        <f>WkB_1_2.6.1!L$28*M51/M$59</f>
        <v>0</v>
      </c>
    </row>
    <row r="22" spans="4:13" ht="13.5" thickBot="1" x14ac:dyDescent="0.25">
      <c r="D22" s="693" t="s">
        <v>473</v>
      </c>
      <c r="E22" s="694"/>
      <c r="F22" s="694"/>
      <c r="G22" s="705"/>
      <c r="H22" s="705"/>
      <c r="I22" s="705"/>
      <c r="J22" s="705"/>
      <c r="K22" s="705"/>
      <c r="L22" s="705"/>
      <c r="M22" s="706"/>
    </row>
    <row r="23" spans="4:13" ht="15" x14ac:dyDescent="0.25">
      <c r="D23" s="1229" t="s">
        <v>474</v>
      </c>
      <c r="E23" s="1229"/>
      <c r="F23" s="1229"/>
      <c r="G23" s="696">
        <f>G53*Input_CPI!R$16</f>
        <v>0</v>
      </c>
      <c r="H23" s="697">
        <f>H53*Input_CPI!S$16</f>
        <v>0</v>
      </c>
      <c r="I23" s="697">
        <f>WkB_1_2.6.1!H$28*I53/I$59</f>
        <v>590342.06345356465</v>
      </c>
      <c r="J23" s="697">
        <f>WkB_1_2.6.1!I$28*J53/J$59</f>
        <v>25912.635213921629</v>
      </c>
      <c r="K23" s="697">
        <f>WkB_1_2.6.1!J$28*K53/K$59</f>
        <v>0</v>
      </c>
      <c r="L23" s="697">
        <f>WkB_1_2.6.1!K$28*L53/L$59</f>
        <v>0</v>
      </c>
      <c r="M23" s="698">
        <f>WkB_1_2.6.1!L$28*M53/M$59</f>
        <v>0</v>
      </c>
    </row>
    <row r="24" spans="4:13" ht="15" x14ac:dyDescent="0.25">
      <c r="D24" s="1229" t="s">
        <v>475</v>
      </c>
      <c r="E24" s="1229"/>
      <c r="F24" s="1229"/>
      <c r="G24" s="699">
        <f>G54*Input_CPI!R$16</f>
        <v>0</v>
      </c>
      <c r="H24" s="700">
        <f>H54*Input_CPI!S$16</f>
        <v>0</v>
      </c>
      <c r="I24" s="700">
        <f>WkB_1_2.6.1!H$28*I54/I$59</f>
        <v>1679987.510038805</v>
      </c>
      <c r="J24" s="700">
        <f>WkB_1_2.6.1!I$28*J54/J$59</f>
        <v>3262878.8602210991</v>
      </c>
      <c r="K24" s="700">
        <f>WkB_1_2.6.1!J$28*K54/K$59</f>
        <v>2735821.4593390445</v>
      </c>
      <c r="L24" s="700">
        <f>WkB_1_2.6.1!K$28*L54/L$59</f>
        <v>0</v>
      </c>
      <c r="M24" s="701">
        <f>WkB_1_2.6.1!L$28*M54/M$59</f>
        <v>0</v>
      </c>
    </row>
    <row r="25" spans="4:13" ht="15.75" thickBot="1" x14ac:dyDescent="0.3">
      <c r="D25" s="1230" t="s">
        <v>476</v>
      </c>
      <c r="E25" s="1230"/>
      <c r="F25" s="1231"/>
      <c r="G25" s="702">
        <f>G55*Input_CPI!R$16</f>
        <v>0</v>
      </c>
      <c r="H25" s="703">
        <f>H55*Input_CPI!S$16</f>
        <v>0</v>
      </c>
      <c r="I25" s="703">
        <f>WkB_1_2.6.1!H$28*I55/I$59</f>
        <v>1079178.7127714569</v>
      </c>
      <c r="J25" s="703">
        <f>WkB_1_2.6.1!I$28*J55/J$59</f>
        <v>357391.13592800969</v>
      </c>
      <c r="K25" s="703">
        <f>WkB_1_2.6.1!J$28*K55/K$59</f>
        <v>0</v>
      </c>
      <c r="L25" s="703">
        <f>WkB_1_2.6.1!K$28*L55/L$59</f>
        <v>0</v>
      </c>
      <c r="M25" s="704">
        <f>WkB_1_2.6.1!L$28*M55/M$59</f>
        <v>0</v>
      </c>
    </row>
    <row r="26" spans="4:13" ht="11.25" customHeight="1" x14ac:dyDescent="0.2"/>
    <row r="27" spans="4:13" ht="11.25" customHeight="1" x14ac:dyDescent="0.2">
      <c r="D27" s="793" t="s">
        <v>527</v>
      </c>
      <c r="G27" s="144">
        <f>SUM(G11:G21)</f>
        <v>4068247.4807933974</v>
      </c>
      <c r="H27" s="144">
        <f t="shared" ref="H27:M27" si="10">SUM(H11:H21)</f>
        <v>227880.66325034018</v>
      </c>
      <c r="I27" s="144">
        <f t="shared" si="10"/>
        <v>21680209.056280881</v>
      </c>
      <c r="J27" s="144">
        <f t="shared" si="10"/>
        <v>15523430.219098888</v>
      </c>
      <c r="K27" s="144">
        <f t="shared" si="10"/>
        <v>15546220.512433864</v>
      </c>
      <c r="L27" s="144">
        <f t="shared" si="10"/>
        <v>13739233.908252256</v>
      </c>
      <c r="M27" s="144">
        <f t="shared" si="10"/>
        <v>10682770.138556875</v>
      </c>
    </row>
    <row r="28" spans="4:13" ht="11.25" customHeight="1" x14ac:dyDescent="0.2">
      <c r="D28" s="793" t="s">
        <v>528</v>
      </c>
      <c r="G28" s="144">
        <f>SUM(G23:G25)</f>
        <v>0</v>
      </c>
      <c r="H28" s="144">
        <f t="shared" ref="H28:M28" si="11">SUM(H23:H25)</f>
        <v>0</v>
      </c>
      <c r="I28" s="144">
        <f t="shared" si="11"/>
        <v>3349508.2862638263</v>
      </c>
      <c r="J28" s="144">
        <f t="shared" si="11"/>
        <v>3646182.6313630305</v>
      </c>
      <c r="K28" s="144">
        <f t="shared" si="11"/>
        <v>2735821.4593390445</v>
      </c>
      <c r="L28" s="144">
        <f t="shared" si="11"/>
        <v>0</v>
      </c>
      <c r="M28" s="144">
        <f t="shared" si="11"/>
        <v>0</v>
      </c>
    </row>
    <row r="29" spans="4:13" ht="11.25" customHeight="1" x14ac:dyDescent="0.2">
      <c r="D29" s="6" t="s">
        <v>529</v>
      </c>
      <c r="G29" s="144">
        <f>SUM(G27:G28)</f>
        <v>4068247.4807933974</v>
      </c>
      <c r="H29" s="144">
        <f t="shared" ref="H29:M29" si="12">SUM(H27:H28)</f>
        <v>227880.66325034018</v>
      </c>
      <c r="I29" s="144">
        <f t="shared" si="12"/>
        <v>25029717.342544708</v>
      </c>
      <c r="J29" s="144">
        <f t="shared" si="12"/>
        <v>19169612.850461919</v>
      </c>
      <c r="K29" s="144">
        <f t="shared" si="12"/>
        <v>18282041.971772909</v>
      </c>
      <c r="L29" s="144">
        <f t="shared" si="12"/>
        <v>13739233.908252256</v>
      </c>
      <c r="M29" s="144">
        <f t="shared" si="12"/>
        <v>10682770.138556875</v>
      </c>
    </row>
    <row r="30" spans="4:13" ht="11.25" customHeight="1" x14ac:dyDescent="0.2"/>
    <row r="31" spans="4:13" ht="11.25" customHeight="1" x14ac:dyDescent="0.2">
      <c r="D31" s="6" t="s">
        <v>540</v>
      </c>
      <c r="G31" s="144">
        <f>WkB_1_2.6.1!F28</f>
        <v>4068246.423656059</v>
      </c>
      <c r="H31" s="144">
        <f>WkB_1_2.6.1!G28</f>
        <v>227881.02727376629</v>
      </c>
      <c r="I31" s="144">
        <f>WkB_1_2.6.1!H28</f>
        <v>25029717.342544708</v>
      </c>
      <c r="J31" s="144">
        <f>WkB_1_2.6.1!I28</f>
        <v>19169612.850461919</v>
      </c>
      <c r="K31" s="144">
        <f>WkB_1_2.6.1!J28</f>
        <v>18282041.971772909</v>
      </c>
      <c r="L31" s="144">
        <f>WkB_1_2.6.1!K28</f>
        <v>13739233.908252256</v>
      </c>
      <c r="M31" s="144">
        <f>WkB_1_2.6.1!L28</f>
        <v>10682770.138556875</v>
      </c>
    </row>
    <row r="32" spans="4:13" ht="11.25" customHeight="1" x14ac:dyDescent="0.2">
      <c r="D32" s="6" t="s">
        <v>63</v>
      </c>
      <c r="G32" s="144">
        <f>WkB_1_2.6.1!F55</f>
        <v>4068247.4807933974</v>
      </c>
      <c r="H32" s="144">
        <f>WkB_1_2.6.1!G55</f>
        <v>227880.66325034018</v>
      </c>
      <c r="I32" s="144">
        <f>WkB_1_2.6.1!H28</f>
        <v>25029717.342544708</v>
      </c>
      <c r="J32" s="144">
        <f>WkB_1_2.6.1!I28</f>
        <v>19169612.850461919</v>
      </c>
      <c r="K32" s="144">
        <f>WkB_1_2.6.1!J28</f>
        <v>18282041.971772909</v>
      </c>
      <c r="L32" s="144">
        <f>WkB_1_2.6.1!K28</f>
        <v>13739233.908252256</v>
      </c>
      <c r="M32" s="144">
        <f>WkB_1_2.6.1!L28</f>
        <v>10682770.138556875</v>
      </c>
    </row>
    <row r="33" spans="1:13" ht="11.25" customHeight="1" x14ac:dyDescent="0.2">
      <c r="A33" s="42">
        <f>IF(SUM($G33:$M33)&gt;0,1,0)</f>
        <v>0</v>
      </c>
      <c r="D33" s="6" t="s">
        <v>541</v>
      </c>
      <c r="G33" s="70">
        <f>IF(OR(ROUND(G29-G31,-1)&lt;&gt;0,ROUND(G29-G32,-1)&lt;&gt;0),1,0)</f>
        <v>0</v>
      </c>
      <c r="H33" s="70">
        <f>IF(OR(ROUND(H29-H31,-1)&lt;&gt;0,ROUND(H29-H32,-1)&lt;&gt;0),1,0)</f>
        <v>0</v>
      </c>
      <c r="I33" s="70">
        <f>IF(ROUND(I29-I31,3)&lt;&gt;0,1,0)</f>
        <v>0</v>
      </c>
      <c r="J33" s="70">
        <f t="shared" ref="J33:M33" si="13">IF(ROUND(J29-J31,3)&lt;&gt;0,1,0)</f>
        <v>0</v>
      </c>
      <c r="K33" s="70">
        <f t="shared" si="13"/>
        <v>0</v>
      </c>
      <c r="L33" s="70">
        <f t="shared" si="13"/>
        <v>0</v>
      </c>
      <c r="M33" s="70">
        <f t="shared" si="13"/>
        <v>0</v>
      </c>
    </row>
    <row r="34" spans="1:13" ht="11.25" customHeight="1" x14ac:dyDescent="0.2"/>
    <row r="35" spans="1:13" s="7" customFormat="1" ht="15" x14ac:dyDescent="0.2">
      <c r="C35" s="7" t="s">
        <v>517</v>
      </c>
    </row>
    <row r="36" spans="1:13" ht="11.25" customHeight="1" thickBot="1" x14ac:dyDescent="0.25"/>
    <row r="37" spans="1:13" ht="19.5" thickBot="1" x14ac:dyDescent="0.25">
      <c r="D37" s="689" t="s">
        <v>470</v>
      </c>
      <c r="E37" s="690"/>
      <c r="F37" s="691"/>
      <c r="G37" s="690"/>
      <c r="H37" s="690"/>
      <c r="I37" s="690"/>
      <c r="J37" s="690"/>
      <c r="K37" s="690"/>
      <c r="L37" s="690"/>
      <c r="M37" s="690"/>
    </row>
    <row r="38" spans="1:13" ht="43.15" customHeight="1" thickBot="1" x14ac:dyDescent="0.25">
      <c r="D38"/>
      <c r="E38"/>
      <c r="F38" s="461"/>
      <c r="G38" s="1087" t="s">
        <v>509</v>
      </c>
      <c r="H38" s="1086"/>
      <c r="I38" s="1219" t="s">
        <v>563</v>
      </c>
      <c r="J38" s="1220"/>
      <c r="K38" s="1220"/>
      <c r="L38" s="1220"/>
      <c r="M38" s="1221"/>
    </row>
    <row r="39" spans="1:13" ht="13.5" thickBot="1" x14ac:dyDescent="0.25">
      <c r="D39" s="634"/>
      <c r="E39" s="634"/>
      <c r="F39" s="635"/>
      <c r="G39" s="53" t="s">
        <v>167</v>
      </c>
      <c r="H39" s="692" t="s">
        <v>168</v>
      </c>
      <c r="I39" s="56" t="s">
        <v>169</v>
      </c>
      <c r="J39" s="56" t="s">
        <v>170</v>
      </c>
      <c r="K39" s="56" t="s">
        <v>171</v>
      </c>
      <c r="L39" s="56" t="s">
        <v>172</v>
      </c>
      <c r="M39" s="57" t="s">
        <v>181</v>
      </c>
    </row>
    <row r="40" spans="1:13" ht="13.5" thickBot="1" x14ac:dyDescent="0.25">
      <c r="D40" s="693" t="s">
        <v>472</v>
      </c>
      <c r="E40" s="694"/>
      <c r="F40" s="694"/>
      <c r="G40" s="694"/>
      <c r="H40" s="694"/>
      <c r="I40" s="694"/>
      <c r="J40" s="694"/>
      <c r="K40" s="694"/>
      <c r="L40" s="694"/>
      <c r="M40" s="695"/>
    </row>
    <row r="41" spans="1:13" ht="15" x14ac:dyDescent="0.25">
      <c r="D41" s="1226" t="s">
        <v>248</v>
      </c>
      <c r="E41" s="1227"/>
      <c r="F41" s="1228"/>
      <c r="G41" s="696">
        <v>3925121.7493403517</v>
      </c>
      <c r="H41" s="697">
        <v>225359.4720040001</v>
      </c>
      <c r="I41" s="697">
        <v>23598234.16882633</v>
      </c>
      <c r="J41" s="697">
        <v>17289102.108862374</v>
      </c>
      <c r="K41" s="697">
        <v>17308824.934023704</v>
      </c>
      <c r="L41" s="697">
        <v>14909526.808136487</v>
      </c>
      <c r="M41" s="697">
        <v>12502992.54592659</v>
      </c>
    </row>
    <row r="42" spans="1:13" ht="15" x14ac:dyDescent="0.25">
      <c r="D42" s="1226">
        <v>0</v>
      </c>
      <c r="E42" s="1227"/>
      <c r="F42" s="1228"/>
      <c r="G42" s="699">
        <v>0</v>
      </c>
      <c r="H42" s="700">
        <v>0</v>
      </c>
      <c r="I42" s="700">
        <v>0</v>
      </c>
      <c r="J42" s="700">
        <v>0</v>
      </c>
      <c r="K42" s="700">
        <v>0</v>
      </c>
      <c r="L42" s="700">
        <v>0</v>
      </c>
      <c r="M42" s="700">
        <v>0</v>
      </c>
    </row>
    <row r="43" spans="1:13" ht="15" x14ac:dyDescent="0.25">
      <c r="D43" s="1226">
        <v>0</v>
      </c>
      <c r="E43" s="1227"/>
      <c r="F43" s="1228"/>
      <c r="G43" s="699">
        <v>0</v>
      </c>
      <c r="H43" s="700">
        <v>0</v>
      </c>
      <c r="I43" s="700">
        <v>0</v>
      </c>
      <c r="J43" s="700">
        <v>0</v>
      </c>
      <c r="K43" s="700">
        <v>0</v>
      </c>
      <c r="L43" s="700">
        <v>0</v>
      </c>
      <c r="M43" s="700">
        <v>0</v>
      </c>
    </row>
    <row r="44" spans="1:13" ht="15" x14ac:dyDescent="0.25">
      <c r="D44" s="1226">
        <v>0</v>
      </c>
      <c r="E44" s="1227"/>
      <c r="F44" s="1228"/>
      <c r="G44" s="699">
        <v>0</v>
      </c>
      <c r="H44" s="700">
        <v>0</v>
      </c>
      <c r="I44" s="700">
        <v>0</v>
      </c>
      <c r="J44" s="700">
        <v>0</v>
      </c>
      <c r="K44" s="700">
        <v>0</v>
      </c>
      <c r="L44" s="700">
        <v>0</v>
      </c>
      <c r="M44" s="700">
        <v>0</v>
      </c>
    </row>
    <row r="45" spans="1:13" ht="15" x14ac:dyDescent="0.25">
      <c r="D45" s="1226">
        <v>0</v>
      </c>
      <c r="E45" s="1227"/>
      <c r="F45" s="1228"/>
      <c r="G45" s="699">
        <v>0</v>
      </c>
      <c r="H45" s="700">
        <v>0</v>
      </c>
      <c r="I45" s="700">
        <v>0</v>
      </c>
      <c r="J45" s="700">
        <v>0</v>
      </c>
      <c r="K45" s="700">
        <v>0</v>
      </c>
      <c r="L45" s="700">
        <v>0</v>
      </c>
      <c r="M45" s="700">
        <v>0</v>
      </c>
    </row>
    <row r="46" spans="1:13" ht="15" x14ac:dyDescent="0.25">
      <c r="D46" s="1226">
        <v>0</v>
      </c>
      <c r="E46" s="1227"/>
      <c r="F46" s="1228"/>
      <c r="G46" s="699">
        <v>0</v>
      </c>
      <c r="H46" s="700">
        <v>0</v>
      </c>
      <c r="I46" s="700">
        <v>0</v>
      </c>
      <c r="J46" s="700">
        <v>0</v>
      </c>
      <c r="K46" s="700">
        <v>0</v>
      </c>
      <c r="L46" s="700">
        <v>0</v>
      </c>
      <c r="M46" s="700">
        <v>0</v>
      </c>
    </row>
    <row r="47" spans="1:13" ht="15" x14ac:dyDescent="0.25">
      <c r="D47" s="1226">
        <v>0</v>
      </c>
      <c r="E47" s="1227"/>
      <c r="F47" s="1228"/>
      <c r="G47" s="699">
        <v>0</v>
      </c>
      <c r="H47" s="700">
        <v>0</v>
      </c>
      <c r="I47" s="700">
        <v>0</v>
      </c>
      <c r="J47" s="700">
        <v>0</v>
      </c>
      <c r="K47" s="700">
        <v>0</v>
      </c>
      <c r="L47" s="700">
        <v>0</v>
      </c>
      <c r="M47" s="700">
        <v>0</v>
      </c>
    </row>
    <row r="48" spans="1:13" ht="15" x14ac:dyDescent="0.25">
      <c r="D48" s="1226">
        <v>0</v>
      </c>
      <c r="E48" s="1227"/>
      <c r="F48" s="1228"/>
      <c r="G48" s="699">
        <v>0</v>
      </c>
      <c r="H48" s="700">
        <v>0</v>
      </c>
      <c r="I48" s="700">
        <v>0</v>
      </c>
      <c r="J48" s="700">
        <v>0</v>
      </c>
      <c r="K48" s="700">
        <v>0</v>
      </c>
      <c r="L48" s="700">
        <v>0</v>
      </c>
      <c r="M48" s="700">
        <v>0</v>
      </c>
    </row>
    <row r="49" spans="1:13" ht="15" x14ac:dyDescent="0.25">
      <c r="D49" s="1226">
        <v>0</v>
      </c>
      <c r="E49" s="1227"/>
      <c r="F49" s="1228"/>
      <c r="G49" s="699">
        <v>0</v>
      </c>
      <c r="H49" s="700">
        <v>0</v>
      </c>
      <c r="I49" s="700">
        <v>0</v>
      </c>
      <c r="J49" s="700">
        <v>0</v>
      </c>
      <c r="K49" s="700">
        <v>0</v>
      </c>
      <c r="L49" s="700">
        <v>0</v>
      </c>
      <c r="M49" s="700">
        <v>0</v>
      </c>
    </row>
    <row r="50" spans="1:13" ht="15" x14ac:dyDescent="0.25">
      <c r="D50" s="1226">
        <v>0</v>
      </c>
      <c r="E50" s="1227"/>
      <c r="F50" s="1228"/>
      <c r="G50" s="699">
        <v>0</v>
      </c>
      <c r="H50" s="700">
        <v>0</v>
      </c>
      <c r="I50" s="700">
        <v>0</v>
      </c>
      <c r="J50" s="700">
        <v>0</v>
      </c>
      <c r="K50" s="700">
        <v>0</v>
      </c>
      <c r="L50" s="700">
        <v>0</v>
      </c>
      <c r="M50" s="700">
        <v>0</v>
      </c>
    </row>
    <row r="51" spans="1:13" ht="15.75" thickBot="1" x14ac:dyDescent="0.3">
      <c r="D51" s="1226">
        <v>0</v>
      </c>
      <c r="E51" s="1227"/>
      <c r="F51" s="1228"/>
      <c r="G51" s="702">
        <v>0</v>
      </c>
      <c r="H51" s="703">
        <v>0</v>
      </c>
      <c r="I51" s="703">
        <v>0</v>
      </c>
      <c r="J51" s="703">
        <v>0</v>
      </c>
      <c r="K51" s="703">
        <v>0</v>
      </c>
      <c r="L51" s="703">
        <v>0</v>
      </c>
      <c r="M51" s="703">
        <v>0</v>
      </c>
    </row>
    <row r="52" spans="1:13" ht="13.5" thickBot="1" x14ac:dyDescent="0.25">
      <c r="D52" s="693" t="s">
        <v>473</v>
      </c>
      <c r="E52" s="694"/>
      <c r="F52" s="694"/>
      <c r="G52" s="705"/>
      <c r="H52" s="705"/>
      <c r="I52" s="705"/>
      <c r="J52" s="705"/>
      <c r="K52" s="705"/>
      <c r="L52" s="705"/>
      <c r="M52" s="705"/>
    </row>
    <row r="53" spans="1:13" ht="15" x14ac:dyDescent="0.25">
      <c r="D53" s="1229" t="s">
        <v>474</v>
      </c>
      <c r="E53" s="1229"/>
      <c r="F53" s="1229"/>
      <c r="G53" s="696">
        <v>0</v>
      </c>
      <c r="H53" s="697">
        <v>0</v>
      </c>
      <c r="I53" s="697">
        <v>642569</v>
      </c>
      <c r="J53" s="697">
        <v>28860</v>
      </c>
      <c r="K53" s="697">
        <v>0</v>
      </c>
      <c r="L53" s="697">
        <v>0</v>
      </c>
      <c r="M53" s="697">
        <v>0</v>
      </c>
    </row>
    <row r="54" spans="1:13" ht="15" x14ac:dyDescent="0.25">
      <c r="D54" s="1229" t="s">
        <v>475</v>
      </c>
      <c r="E54" s="1229"/>
      <c r="F54" s="1229"/>
      <c r="G54" s="699">
        <v>0</v>
      </c>
      <c r="H54" s="700">
        <v>0</v>
      </c>
      <c r="I54" s="700">
        <v>1828614.22413793</v>
      </c>
      <c r="J54" s="700">
        <v>3634006.4655172401</v>
      </c>
      <c r="K54" s="700">
        <v>3046004.3103448302</v>
      </c>
      <c r="L54" s="700">
        <v>0</v>
      </c>
      <c r="M54" s="700">
        <v>0</v>
      </c>
    </row>
    <row r="55" spans="1:13" ht="15.75" thickBot="1" x14ac:dyDescent="0.3">
      <c r="D55" s="1230" t="s">
        <v>476</v>
      </c>
      <c r="E55" s="1230"/>
      <c r="F55" s="1231"/>
      <c r="G55" s="702">
        <v>0</v>
      </c>
      <c r="H55" s="703">
        <v>0</v>
      </c>
      <c r="I55" s="703">
        <v>1174652.5094791721</v>
      </c>
      <c r="J55" s="703">
        <v>398041.65410938102</v>
      </c>
      <c r="K55" s="703">
        <v>0</v>
      </c>
      <c r="L55" s="703">
        <v>0</v>
      </c>
      <c r="M55" s="703">
        <v>0</v>
      </c>
    </row>
    <row r="56" spans="1:13" ht="11.25" customHeight="1" x14ac:dyDescent="0.2"/>
    <row r="57" spans="1:13" ht="11.25" customHeight="1" x14ac:dyDescent="0.2">
      <c r="D57" s="793" t="s">
        <v>527</v>
      </c>
      <c r="G57" s="144">
        <f>SUM(G41:G51)</f>
        <v>3925121.7493403517</v>
      </c>
      <c r="H57" s="144">
        <f>SUM(H41:H51)</f>
        <v>225359.4720040001</v>
      </c>
      <c r="I57" s="144">
        <f t="shared" ref="I57:M57" si="14">SUM(I41:I51)</f>
        <v>23598234.16882633</v>
      </c>
      <c r="J57" s="144">
        <f t="shared" si="14"/>
        <v>17289102.108862374</v>
      </c>
      <c r="K57" s="144">
        <f t="shared" si="14"/>
        <v>17308824.934023704</v>
      </c>
      <c r="L57" s="144">
        <f t="shared" si="14"/>
        <v>14909526.808136487</v>
      </c>
      <c r="M57" s="144">
        <f t="shared" si="14"/>
        <v>12502992.54592659</v>
      </c>
    </row>
    <row r="58" spans="1:13" ht="11.25" customHeight="1" x14ac:dyDescent="0.2">
      <c r="D58" s="793" t="s">
        <v>528</v>
      </c>
      <c r="G58" s="144">
        <f>SUM(G53:G55)</f>
        <v>0</v>
      </c>
      <c r="H58" s="144">
        <f>SUM(H53:H55)</f>
        <v>0</v>
      </c>
      <c r="I58" s="144">
        <f t="shared" ref="I58:M58" si="15">SUM(I53:I55)</f>
        <v>3645835.7336171023</v>
      </c>
      <c r="J58" s="144">
        <f t="shared" si="15"/>
        <v>4060908.1196266213</v>
      </c>
      <c r="K58" s="144">
        <f t="shared" si="15"/>
        <v>3046004.3103448302</v>
      </c>
      <c r="L58" s="144">
        <f t="shared" si="15"/>
        <v>0</v>
      </c>
      <c r="M58" s="144">
        <f t="shared" si="15"/>
        <v>0</v>
      </c>
    </row>
    <row r="59" spans="1:13" ht="11.25" customHeight="1" x14ac:dyDescent="0.2">
      <c r="D59" s="6" t="s">
        <v>529</v>
      </c>
      <c r="G59" s="144">
        <f>SUM(G57:G58)</f>
        <v>3925121.7493403517</v>
      </c>
      <c r="H59" s="144">
        <f>SUM(H57:H58)</f>
        <v>225359.4720040001</v>
      </c>
      <c r="I59" s="144">
        <f t="shared" ref="I59:M59" si="16">SUM(I57:I58)</f>
        <v>27244069.902443431</v>
      </c>
      <c r="J59" s="144">
        <f t="shared" si="16"/>
        <v>21350010.228488997</v>
      </c>
      <c r="K59" s="144">
        <f t="shared" si="16"/>
        <v>20354829.244368535</v>
      </c>
      <c r="L59" s="144">
        <f t="shared" si="16"/>
        <v>14909526.808136487</v>
      </c>
      <c r="M59" s="144">
        <f t="shared" si="16"/>
        <v>12502992.54592659</v>
      </c>
    </row>
    <row r="60" spans="1:13" ht="11.25" customHeight="1" x14ac:dyDescent="0.2">
      <c r="D60" s="6"/>
      <c r="G60" s="236"/>
      <c r="H60" s="236"/>
      <c r="I60" s="236"/>
      <c r="J60" s="236"/>
      <c r="K60" s="236"/>
      <c r="L60" s="236"/>
      <c r="M60" s="236"/>
    </row>
    <row r="61" spans="1:13" ht="11.25" customHeight="1" x14ac:dyDescent="0.2">
      <c r="D61" s="6" t="s">
        <v>564</v>
      </c>
      <c r="G61" s="201">
        <v>3925121.7493403517</v>
      </c>
      <c r="H61" s="201">
        <v>225359.4720040001</v>
      </c>
      <c r="I61" s="201">
        <v>27244069.902443431</v>
      </c>
      <c r="J61" s="201">
        <v>21350010.228488997</v>
      </c>
      <c r="K61" s="201">
        <v>20354829.244368535</v>
      </c>
      <c r="L61" s="201">
        <v>14909526.808136487</v>
      </c>
      <c r="M61" s="201">
        <v>12502992.54592659</v>
      </c>
    </row>
    <row r="62" spans="1:13" ht="11.25" customHeight="1" x14ac:dyDescent="0.2">
      <c r="D62" s="6" t="s">
        <v>182</v>
      </c>
      <c r="F62" s="773" t="s">
        <v>566</v>
      </c>
      <c r="G62" s="201">
        <v>3925121.7493403517</v>
      </c>
      <c r="H62" s="142">
        <v>225359.4720040001</v>
      </c>
      <c r="I62" s="393"/>
      <c r="J62" s="393"/>
      <c r="K62" s="393"/>
      <c r="L62" s="393"/>
      <c r="M62" s="393"/>
    </row>
    <row r="63" spans="1:13" ht="11.25" customHeight="1" x14ac:dyDescent="0.2">
      <c r="A63" s="42">
        <f>IF(SUM($G63:$M63)&gt;0,1,0)</f>
        <v>0</v>
      </c>
      <c r="D63" s="6" t="s">
        <v>183</v>
      </c>
      <c r="G63" s="739">
        <f>IF(OR(ROUND(G59-G61,1)&lt;&gt;0,ROUND(G59-G62,1)&lt;&gt;0),1,0)</f>
        <v>0</v>
      </c>
      <c r="H63" s="739">
        <f t="shared" ref="H63" si="17">IF(OR(ROUND(H59-H61,1)&lt;&gt;0,ROUND(H59-H62,1)&lt;&gt;0),1,0)</f>
        <v>0</v>
      </c>
      <c r="I63" s="739">
        <f>IF(ROUND(I59-I61,2)&lt;&gt;0,1,0)</f>
        <v>0</v>
      </c>
      <c r="J63" s="739">
        <f t="shared" ref="J63:M63" si="18">IF(ROUND(J59-J61,2)&lt;&gt;0,1,0)</f>
        <v>0</v>
      </c>
      <c r="K63" s="739">
        <f t="shared" si="18"/>
        <v>0</v>
      </c>
      <c r="L63" s="739">
        <f t="shared" si="18"/>
        <v>0</v>
      </c>
      <c r="M63" s="739">
        <f t="shared" si="18"/>
        <v>0</v>
      </c>
    </row>
    <row r="64" spans="1:13" ht="11.25" customHeight="1" x14ac:dyDescent="0.2"/>
    <row r="65" spans="2:2" s="47" customFormat="1" ht="15.75" x14ac:dyDescent="0.2">
      <c r="B65" s="47" t="s">
        <v>32</v>
      </c>
    </row>
  </sheetData>
  <mergeCells count="31">
    <mergeCell ref="D15:F15"/>
    <mergeCell ref="G8:M8"/>
    <mergeCell ref="D11:F11"/>
    <mergeCell ref="D12:F12"/>
    <mergeCell ref="D13:F13"/>
    <mergeCell ref="D14:F14"/>
    <mergeCell ref="I38:M38"/>
    <mergeCell ref="D16:F16"/>
    <mergeCell ref="D17:F17"/>
    <mergeCell ref="D18:F18"/>
    <mergeCell ref="D19:F19"/>
    <mergeCell ref="D21:F21"/>
    <mergeCell ref="D20:F20"/>
    <mergeCell ref="D23:F23"/>
    <mergeCell ref="D24:F24"/>
    <mergeCell ref="D25:F25"/>
    <mergeCell ref="D41:F41"/>
    <mergeCell ref="D42:F42"/>
    <mergeCell ref="D44:F44"/>
    <mergeCell ref="D45:F45"/>
    <mergeCell ref="G38:H38"/>
    <mergeCell ref="D51:F51"/>
    <mergeCell ref="D53:F53"/>
    <mergeCell ref="D54:F54"/>
    <mergeCell ref="D55:F55"/>
    <mergeCell ref="D43:F43"/>
    <mergeCell ref="D50:F50"/>
    <mergeCell ref="D48:F48"/>
    <mergeCell ref="D49:F49"/>
    <mergeCell ref="D46:F46"/>
    <mergeCell ref="D47:F47"/>
  </mergeCells>
  <conditionalFormatting sqref="B2">
    <cfRule type="cellIs" dxfId="114" priority="15" operator="notEqual">
      <formula>"No Errors Found"</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83"/>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53.5" style="46" customWidth="1"/>
    <col min="5" max="12" width="24.5" style="46" customWidth="1"/>
    <col min="13" max="31" width="10.6640625" style="46" customWidth="1"/>
    <col min="32" max="16384" width="9.33203125" style="46"/>
  </cols>
  <sheetData>
    <row r="1" spans="1:11" ht="19.5" x14ac:dyDescent="0.2">
      <c r="A1" s="42">
        <f>IF(SUM($A2:$A83)&gt;0,1,0)</f>
        <v>0</v>
      </c>
      <c r="B1" s="3" t="s">
        <v>332</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
        <v>158</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6.5" thickBot="1" x14ac:dyDescent="0.25">
      <c r="D10" s="76" t="s">
        <v>187</v>
      </c>
      <c r="E10" s="190"/>
      <c r="F10" s="67"/>
      <c r="G10" s="67"/>
      <c r="H10" s="67"/>
      <c r="I10" s="67"/>
      <c r="J10" s="67"/>
      <c r="K10" s="68"/>
    </row>
    <row r="11" spans="1:11" ht="15.75" thickBot="1" x14ac:dyDescent="0.3">
      <c r="D11" s="394" t="s">
        <v>188</v>
      </c>
      <c r="E11" s="192">
        <f>E41*Input_CPI!R$16</f>
        <v>25329924.772933781</v>
      </c>
      <c r="F11" s="64">
        <f>F41*Input_CPI!S$16</f>
        <v>24371237.906049963</v>
      </c>
      <c r="G11" s="63">
        <f>G$79</f>
        <v>23623354.62443589</v>
      </c>
      <c r="H11" s="65">
        <f t="shared" ref="H11:K11" si="0">H$79</f>
        <v>24074103.544449184</v>
      </c>
      <c r="I11" s="65">
        <f t="shared" si="0"/>
        <v>25185437.442566246</v>
      </c>
      <c r="J11" s="65">
        <f t="shared" si="0"/>
        <v>25485192.663137853</v>
      </c>
      <c r="K11" s="124">
        <f t="shared" si="0"/>
        <v>25536852.224897001</v>
      </c>
    </row>
    <row r="12" spans="1:11" ht="16.5" thickBot="1" x14ac:dyDescent="0.25">
      <c r="D12" s="76" t="s">
        <v>189</v>
      </c>
      <c r="E12" s="190"/>
      <c r="F12" s="67"/>
      <c r="G12" s="67"/>
      <c r="H12" s="67"/>
      <c r="I12" s="67"/>
      <c r="J12" s="67"/>
      <c r="K12" s="68"/>
    </row>
    <row r="13" spans="1:11" ht="15.75" thickBot="1" x14ac:dyDescent="0.3">
      <c r="D13" s="394" t="s">
        <v>188</v>
      </c>
      <c r="E13" s="192">
        <f>E43*Input_CPI!R$16</f>
        <v>34906397.071906477</v>
      </c>
      <c r="F13" s="192">
        <f>F43*Input_CPI!S$16</f>
        <v>27168399.425884809</v>
      </c>
      <c r="G13" s="63">
        <v>29767721.653699595</v>
      </c>
      <c r="H13" s="65">
        <v>29253933.000652097</v>
      </c>
      <c r="I13" s="65">
        <v>27569617.979858588</v>
      </c>
      <c r="J13" s="65">
        <v>27222779.875321843</v>
      </c>
      <c r="K13" s="124">
        <v>28163930.535871327</v>
      </c>
    </row>
    <row r="14" spans="1:11" ht="16.5" thickBot="1" x14ac:dyDescent="0.25">
      <c r="D14" s="76" t="s">
        <v>190</v>
      </c>
      <c r="E14" s="190"/>
      <c r="F14" s="67"/>
      <c r="G14" s="67"/>
      <c r="H14" s="67"/>
      <c r="I14" s="67"/>
      <c r="J14" s="67"/>
      <c r="K14" s="68"/>
    </row>
    <row r="15" spans="1:11" ht="15" x14ac:dyDescent="0.25">
      <c r="D15" s="395" t="s">
        <v>191</v>
      </c>
      <c r="E15" s="192">
        <f>E45*Input_CPI!R$16</f>
        <v>141802.94219419165</v>
      </c>
      <c r="F15" s="64">
        <f>F45*Input_CPI!S$16</f>
        <v>35534.092789863607</v>
      </c>
      <c r="G15" s="63">
        <f>G45*Input_CPI!T$16</f>
        <v>497888.9170917747</v>
      </c>
      <c r="H15" s="65">
        <f>H45*Input_CPI!U$16</f>
        <v>844146.65212886489</v>
      </c>
      <c r="I15" s="65">
        <f>I45*Input_CPI!V$16</f>
        <v>524215.07657227438</v>
      </c>
      <c r="J15" s="65">
        <f>J45*Input_CPI!W$16</f>
        <v>228773.33306900971</v>
      </c>
      <c r="K15" s="124">
        <f>K45*Input_CPI!X$16</f>
        <v>230192.95942306455</v>
      </c>
    </row>
    <row r="16" spans="1:11" ht="15.75" thickBot="1" x14ac:dyDescent="0.3">
      <c r="D16" s="396" t="s">
        <v>192</v>
      </c>
      <c r="E16" s="193">
        <f>E46*Input_CPI!R$16</f>
        <v>11347915.25524633</v>
      </c>
      <c r="F16" s="194">
        <f>F46*Input_CPI!S$16</f>
        <v>10458371.809976241</v>
      </c>
      <c r="G16" s="195">
        <f>G46*Input_CPI!T$16</f>
        <v>5597589.3693626719</v>
      </c>
      <c r="H16" s="125">
        <f>H46*Input_CPI!U$16</f>
        <v>6982094.3430319652</v>
      </c>
      <c r="I16" s="125">
        <f>I46*Input_CPI!V$16</f>
        <v>4399911.8760299562</v>
      </c>
      <c r="J16" s="125">
        <f>J46*Input_CPI!W$16</f>
        <v>3168681.3893737462</v>
      </c>
      <c r="K16" s="126">
        <f>K46*Input_CPI!X$16</f>
        <v>3219365.3020761916</v>
      </c>
    </row>
    <row r="17" spans="1:11" ht="11.25" customHeight="1" x14ac:dyDescent="0.2"/>
    <row r="18" spans="1:11" ht="11.25" customHeight="1" x14ac:dyDescent="0.2">
      <c r="D18" s="6" t="s">
        <v>182</v>
      </c>
      <c r="E18" s="144">
        <f>WkB_1_2.1.1!E14</f>
        <v>34906397.071906477</v>
      </c>
      <c r="F18" s="145">
        <f>WkB_1_2.1.1!F14</f>
        <v>27168399.425884809</v>
      </c>
      <c r="G18" s="146">
        <f>WkB_1_2.1.1!G14</f>
        <v>29767721.653699595</v>
      </c>
      <c r="H18" s="144">
        <f>WkB_1_2.1.1!H14</f>
        <v>29253933.000652097</v>
      </c>
      <c r="I18" s="144">
        <f>WkB_1_2.1.1!I14</f>
        <v>27569617.979858588</v>
      </c>
      <c r="J18" s="144">
        <f>WkB_1_2.1.1!J14</f>
        <v>27222779.875321843</v>
      </c>
      <c r="K18" s="144">
        <f>WkB_1_2.1.1!K14</f>
        <v>28163930.535871327</v>
      </c>
    </row>
    <row r="19" spans="1:11" ht="11.25" customHeight="1" x14ac:dyDescent="0.2">
      <c r="A19" s="42">
        <f>IF(SUM($E19:$K19)&gt;0,1,0)</f>
        <v>0</v>
      </c>
      <c r="D19" s="6" t="s">
        <v>183</v>
      </c>
      <c r="E19" s="70">
        <f>IF(ROUND(SUM(E13)-E18,3)&lt;&gt;0,1,0)</f>
        <v>0</v>
      </c>
      <c r="F19" s="70">
        <f t="shared" ref="F19" si="1">IF(ROUND(SUM(F13)-F18,3)&lt;&gt;0,1,0)</f>
        <v>0</v>
      </c>
      <c r="G19" s="70">
        <f t="shared" ref="G19" si="2">IF(ROUND(SUM(G13)-G18,3)&lt;&gt;0,1,0)</f>
        <v>0</v>
      </c>
      <c r="H19" s="70">
        <f t="shared" ref="H19" si="3">IF(ROUND(SUM(H13)-H18,3)&lt;&gt;0,1,0)</f>
        <v>0</v>
      </c>
      <c r="I19" s="70">
        <f t="shared" ref="I19" si="4">IF(ROUND(SUM(I13)-I18,3)&lt;&gt;0,1,0)</f>
        <v>0</v>
      </c>
      <c r="J19" s="70">
        <f t="shared" ref="J19" si="5">IF(ROUND(SUM(J13)-J18,3)&lt;&gt;0,1,0)</f>
        <v>0</v>
      </c>
      <c r="K19" s="70">
        <f t="shared" ref="K19" si="6">IF(ROUND(SUM(K13)-K18,3)&lt;&gt;0,1,0)</f>
        <v>0</v>
      </c>
    </row>
    <row r="20" spans="1:11" ht="11.25" customHeight="1" x14ac:dyDescent="0.2"/>
    <row r="21" spans="1:11" ht="19.5" thickBot="1" x14ac:dyDescent="0.3">
      <c r="D21" s="77" t="s">
        <v>159</v>
      </c>
      <c r="E21" s="52"/>
      <c r="F21" s="52"/>
      <c r="G21" s="52"/>
      <c r="H21" s="52"/>
      <c r="I21" s="52"/>
      <c r="J21" s="52"/>
      <c r="K21" s="52"/>
    </row>
    <row r="22" spans="1:11" ht="28.15" customHeight="1" thickBot="1" x14ac:dyDescent="0.25">
      <c r="D22"/>
      <c r="E22" s="1082" t="str">
        <f>WkB_1_2.1.1!$E$8</f>
        <v>Forecast 
($0's. real June 2023)</v>
      </c>
      <c r="F22" s="1083"/>
      <c r="G22" s="1083"/>
      <c r="H22" s="1083"/>
      <c r="I22" s="1083"/>
      <c r="J22" s="1083"/>
      <c r="K22" s="1084"/>
    </row>
    <row r="23" spans="1:11" ht="13.5" thickBot="1" x14ac:dyDescent="0.25">
      <c r="D23"/>
      <c r="E23" s="53" t="str">
        <f>WkB_1_2.1.1!$E$9</f>
        <v>2021-22</v>
      </c>
      <c r="F23" s="54" t="str">
        <f>WkB_1_2.1.1!$F$9</f>
        <v>2022-23</v>
      </c>
      <c r="G23" s="55" t="str">
        <f>WkB_1_2.1.1!$G$9</f>
        <v>2023-24</v>
      </c>
      <c r="H23" s="56" t="str">
        <f>WkB_1_2.1.1!$H$9</f>
        <v>2024-25</v>
      </c>
      <c r="I23" s="56" t="str">
        <f>WkB_1_2.1.1!$I$9</f>
        <v>2025-26</v>
      </c>
      <c r="J23" s="56" t="str">
        <f>WkB_1_2.1.1!$J$9</f>
        <v>2026-27</v>
      </c>
      <c r="K23" s="57" t="str">
        <f>WkB_1_2.1.1!$K$9</f>
        <v>2027-28</v>
      </c>
    </row>
    <row r="24" spans="1:11" ht="16.5" thickBot="1" x14ac:dyDescent="0.25">
      <c r="D24" s="76" t="s">
        <v>187</v>
      </c>
      <c r="E24" s="67"/>
      <c r="F24" s="67"/>
      <c r="G24" s="67"/>
      <c r="H24" s="67"/>
      <c r="I24" s="67"/>
      <c r="J24" s="67"/>
      <c r="K24" s="68"/>
    </row>
    <row r="25" spans="1:11" ht="15.75" thickBot="1" x14ac:dyDescent="0.3">
      <c r="D25" s="394" t="s">
        <v>188</v>
      </c>
      <c r="E25" s="191">
        <f t="shared" ref="E25:K25" si="7">F80</f>
        <v>119431069.39470969</v>
      </c>
      <c r="F25" s="60">
        <f t="shared" si="7"/>
        <v>99041535.959212333</v>
      </c>
      <c r="G25" s="59">
        <f t="shared" si="7"/>
        <v>100931312.6687358</v>
      </c>
      <c r="H25" s="61">
        <f t="shared" si="7"/>
        <v>105590609.28358653</v>
      </c>
      <c r="I25" s="61">
        <f t="shared" si="7"/>
        <v>106847340.93449673</v>
      </c>
      <c r="J25" s="61">
        <f t="shared" si="7"/>
        <v>107063925.00669761</v>
      </c>
      <c r="K25" s="123">
        <f t="shared" si="7"/>
        <v>108271691.35255636</v>
      </c>
    </row>
    <row r="26" spans="1:11" ht="16.5" thickBot="1" x14ac:dyDescent="0.25">
      <c r="D26" s="76" t="s">
        <v>189</v>
      </c>
      <c r="E26" s="190"/>
      <c r="F26" s="67"/>
      <c r="G26" s="67"/>
      <c r="H26" s="67"/>
      <c r="I26" s="67"/>
      <c r="J26" s="67"/>
      <c r="K26" s="68"/>
    </row>
    <row r="27" spans="1:11" ht="15.75" thickBot="1" x14ac:dyDescent="0.3">
      <c r="D27" s="394" t="s">
        <v>188</v>
      </c>
      <c r="E27" s="192">
        <f>E56*Input_CPI!R$16</f>
        <v>8461294.9031202625</v>
      </c>
      <c r="F27" s="64">
        <f>F56*Input_CPI!S$16</f>
        <v>6585607.7645202605</v>
      </c>
      <c r="G27" s="63">
        <v>5176465.7230169745</v>
      </c>
      <c r="H27" s="65">
        <v>4858070.6916876137</v>
      </c>
      <c r="I27" s="65">
        <v>4474834.3643395817</v>
      </c>
      <c r="J27" s="65">
        <v>4412572.6950878967</v>
      </c>
      <c r="K27" s="124">
        <v>4539133.5061742431</v>
      </c>
    </row>
    <row r="28" spans="1:11" ht="16.5" thickBot="1" x14ac:dyDescent="0.25">
      <c r="D28" s="76" t="s">
        <v>190</v>
      </c>
      <c r="E28" s="190"/>
      <c r="F28" s="67"/>
      <c r="G28" s="67"/>
      <c r="H28" s="67"/>
      <c r="I28" s="67"/>
      <c r="J28" s="67"/>
      <c r="K28" s="68"/>
    </row>
    <row r="29" spans="1:11" ht="15" x14ac:dyDescent="0.25">
      <c r="D29" s="395" t="s">
        <v>191</v>
      </c>
      <c r="E29" s="192">
        <f>E58*Input_CPI!R$16</f>
        <v>309637.48481056222</v>
      </c>
      <c r="F29" s="64">
        <f>F58*Input_CPI!S$16</f>
        <v>74303.974110338662</v>
      </c>
      <c r="G29" s="63">
        <f>G58*Input_CPI!T$16</f>
        <v>1041116.3561762561</v>
      </c>
      <c r="H29" s="65">
        <f>H58*Input_CPI!U$16</f>
        <v>1765162.5822006245</v>
      </c>
      <c r="I29" s="65">
        <f>I58*Input_CPI!V$16</f>
        <v>1096165.9752570535</v>
      </c>
      <c r="J29" s="65">
        <f>J58*Input_CPI!W$16</f>
        <v>478379.11377167958</v>
      </c>
      <c r="K29" s="124">
        <f>K58*Input_CPI!X$16</f>
        <v>481347.63981459383</v>
      </c>
    </row>
    <row r="30" spans="1:11" ht="15.75" thickBot="1" x14ac:dyDescent="0.3">
      <c r="D30" s="396" t="s">
        <v>192</v>
      </c>
      <c r="E30" s="193">
        <f>E59*Input_CPI!R$16</f>
        <v>24779034.081436768</v>
      </c>
      <c r="F30" s="194">
        <f>F59*Input_CPI!S$16</f>
        <v>21869098.862330999</v>
      </c>
      <c r="G30" s="195">
        <f>G59*Input_CPI!T$16</f>
        <v>11704903.73965806</v>
      </c>
      <c r="H30" s="125">
        <f>H59*Input_CPI!U$16</f>
        <v>14599988.815489909</v>
      </c>
      <c r="I30" s="125">
        <f>I59*Input_CPI!V$16</f>
        <v>9200486.4189908691</v>
      </c>
      <c r="J30" s="125">
        <f>J59*Input_CPI!W$16</f>
        <v>6625907.7250763979</v>
      </c>
      <c r="K30" s="126">
        <f>K59*Input_CPI!X$16</f>
        <v>6731890.9046533788</v>
      </c>
    </row>
    <row r="32" spans="1:11" ht="12.75" x14ac:dyDescent="0.2">
      <c r="D32" s="6" t="s">
        <v>182</v>
      </c>
      <c r="E32" s="144">
        <f>WkB_1_2.1.1!E15</f>
        <v>8461294.9031202625</v>
      </c>
      <c r="F32" s="145">
        <f>WkB_1_2.1.1!F15</f>
        <v>6585607.7645202605</v>
      </c>
      <c r="G32" s="146">
        <f>WkB_1_2.1.1!G15</f>
        <v>5176465.7230169745</v>
      </c>
      <c r="H32" s="144">
        <f>WkB_1_2.1.1!H15</f>
        <v>4858070.6916876137</v>
      </c>
      <c r="I32" s="144">
        <f>WkB_1_2.1.1!I15</f>
        <v>4474834.3643395817</v>
      </c>
      <c r="J32" s="144">
        <f>WkB_1_2.1.1!J15</f>
        <v>4412572.6950878967</v>
      </c>
      <c r="K32" s="144">
        <f>WkB_1_2.1.1!K15</f>
        <v>4539133.5061742431</v>
      </c>
    </row>
    <row r="33" spans="1:11" ht="12.75" x14ac:dyDescent="0.2">
      <c r="A33" s="42">
        <f>IF(SUM($E33:$K33)&gt;0,1,0)</f>
        <v>0</v>
      </c>
      <c r="D33" s="6" t="s">
        <v>351</v>
      </c>
      <c r="E33" s="70">
        <f>IF(ROUND(SUM(E27)-E32,3)&lt;&gt;0,1,0)</f>
        <v>0</v>
      </c>
      <c r="F33" s="70">
        <f t="shared" ref="F33:K33" si="8">IF(ROUND(SUM(F27)-F32,3)&lt;&gt;0,1,0)</f>
        <v>0</v>
      </c>
      <c r="G33" s="70">
        <f t="shared" si="8"/>
        <v>0</v>
      </c>
      <c r="H33" s="70">
        <f t="shared" si="8"/>
        <v>0</v>
      </c>
      <c r="I33" s="70">
        <f t="shared" si="8"/>
        <v>0</v>
      </c>
      <c r="J33" s="70">
        <f t="shared" si="8"/>
        <v>0</v>
      </c>
      <c r="K33" s="70">
        <f t="shared" si="8"/>
        <v>0</v>
      </c>
    </row>
    <row r="34" spans="1:11" ht="11.25" customHeight="1" x14ac:dyDescent="0.2"/>
    <row r="35" spans="1:11" s="7" customFormat="1" ht="15" x14ac:dyDescent="0.2">
      <c r="C35" s="7" t="s">
        <v>356</v>
      </c>
    </row>
    <row r="36" spans="1:11" ht="11.25" customHeight="1" thickBot="1" x14ac:dyDescent="0.25"/>
    <row r="37" spans="1:11" ht="19.5" thickBot="1" x14ac:dyDescent="0.25">
      <c r="D37" s="413" t="s">
        <v>158</v>
      </c>
      <c r="E37" s="414"/>
      <c r="F37" s="414"/>
      <c r="G37" s="414"/>
      <c r="H37" s="414"/>
      <c r="I37" s="414"/>
      <c r="J37" s="414"/>
      <c r="K37" s="414"/>
    </row>
    <row r="38" spans="1:11" ht="43.5" customHeight="1" thickBot="1" x14ac:dyDescent="0.25">
      <c r="D38" s="415"/>
      <c r="E38" s="1087" t="s">
        <v>509</v>
      </c>
      <c r="F38" s="1085"/>
      <c r="G38" s="1085"/>
      <c r="H38" s="1085"/>
      <c r="I38" s="1085"/>
      <c r="J38" s="1085"/>
      <c r="K38" s="1232"/>
    </row>
    <row r="39" spans="1:11" ht="15.75" thickBot="1" x14ac:dyDescent="0.3">
      <c r="D39" s="417"/>
      <c r="E39" s="53" t="s">
        <v>167</v>
      </c>
      <c r="F39" s="54" t="s">
        <v>168</v>
      </c>
      <c r="G39" s="55" t="s">
        <v>169</v>
      </c>
      <c r="H39" s="56" t="s">
        <v>170</v>
      </c>
      <c r="I39" s="56" t="s">
        <v>171</v>
      </c>
      <c r="J39" s="56" t="s">
        <v>172</v>
      </c>
      <c r="K39" s="57" t="s">
        <v>181</v>
      </c>
    </row>
    <row r="40" spans="1:11" ht="16.5" thickBot="1" x14ac:dyDescent="0.25">
      <c r="D40" s="76" t="s">
        <v>187</v>
      </c>
      <c r="E40" s="418"/>
      <c r="F40" s="418"/>
      <c r="G40" s="418"/>
      <c r="H40" s="418"/>
      <c r="I40" s="418"/>
      <c r="J40" s="418"/>
      <c r="K40" s="419"/>
    </row>
    <row r="41" spans="1:11" ht="14.25" x14ac:dyDescent="0.2">
      <c r="D41" s="420" t="s">
        <v>188</v>
      </c>
      <c r="E41" s="425">
        <v>24438788.226326801</v>
      </c>
      <c r="F41" s="425">
        <v>24101603.129694656</v>
      </c>
      <c r="G41" s="421"/>
      <c r="H41" s="421"/>
      <c r="I41" s="421"/>
      <c r="J41" s="421"/>
      <c r="K41" s="422"/>
    </row>
    <row r="42" spans="1:11" ht="16.5" thickBot="1" x14ac:dyDescent="0.25">
      <c r="D42" s="423" t="s">
        <v>189</v>
      </c>
      <c r="E42" s="424"/>
      <c r="F42" s="424"/>
      <c r="G42" s="424"/>
      <c r="H42" s="424"/>
      <c r="I42" s="424"/>
      <c r="J42" s="424"/>
      <c r="K42" s="424"/>
    </row>
    <row r="43" spans="1:11" ht="14.25" x14ac:dyDescent="0.2">
      <c r="D43" s="420" t="s">
        <v>188</v>
      </c>
      <c r="E43" s="425">
        <v>33678348.965960689</v>
      </c>
      <c r="F43" s="425">
        <v>26867817.841503672</v>
      </c>
      <c r="G43" s="421"/>
      <c r="H43" s="421"/>
      <c r="I43" s="421"/>
      <c r="J43" s="421"/>
      <c r="K43" s="422"/>
    </row>
    <row r="44" spans="1:11" ht="16.5" thickBot="1" x14ac:dyDescent="0.25">
      <c r="D44" s="423" t="s">
        <v>190</v>
      </c>
      <c r="E44" s="426"/>
      <c r="F44" s="426"/>
      <c r="G44" s="426"/>
      <c r="H44" s="426"/>
      <c r="I44" s="426"/>
      <c r="J44" s="426"/>
      <c r="K44" s="426"/>
    </row>
    <row r="45" spans="1:11" ht="14.25" x14ac:dyDescent="0.2">
      <c r="D45" s="427" t="s">
        <v>191</v>
      </c>
      <c r="E45" s="425">
        <v>136814.1478989686</v>
      </c>
      <c r="F45" s="425">
        <v>35140.956126091383</v>
      </c>
      <c r="G45" s="425">
        <v>503705.02647828241</v>
      </c>
      <c r="H45" s="425">
        <v>874076.36947701941</v>
      </c>
      <c r="I45" s="425">
        <v>555557.01449810551</v>
      </c>
      <c r="J45" s="425">
        <v>248148.7998091538</v>
      </c>
      <c r="K45" s="428">
        <v>255556.22666912863</v>
      </c>
    </row>
    <row r="46" spans="1:11" ht="15" thickBot="1" x14ac:dyDescent="0.25">
      <c r="D46" s="429" t="s">
        <v>192</v>
      </c>
      <c r="E46" s="430">
        <v>10948682.249131974</v>
      </c>
      <c r="F46" s="430">
        <v>10342664.074698519</v>
      </c>
      <c r="G46" s="430">
        <v>5662977.8344506891</v>
      </c>
      <c r="H46" s="430">
        <v>7229648.6153353453</v>
      </c>
      <c r="I46" s="430">
        <v>4662975.2083540987</v>
      </c>
      <c r="J46" s="430">
        <v>3437046.0630282797</v>
      </c>
      <c r="K46" s="431">
        <v>3574083.4599378123</v>
      </c>
    </row>
    <row r="47" spans="1:11" ht="11.25" customHeight="1" x14ac:dyDescent="0.25">
      <c r="D47" s="432"/>
      <c r="E47" s="432"/>
      <c r="F47" s="432"/>
      <c r="G47" s="432"/>
      <c r="H47" s="432"/>
      <c r="I47" s="432"/>
      <c r="J47" s="432"/>
      <c r="K47" s="432"/>
    </row>
    <row r="48" spans="1:11" ht="11.25" customHeight="1" x14ac:dyDescent="0.25">
      <c r="D48" s="416"/>
      <c r="E48" s="433"/>
      <c r="F48" s="432"/>
      <c r="G48" s="432"/>
      <c r="H48" s="432"/>
      <c r="I48" s="432"/>
      <c r="J48" s="432"/>
      <c r="K48" s="432"/>
    </row>
    <row r="49" spans="3:11" ht="11.25" customHeight="1" thickBot="1" x14ac:dyDescent="0.3">
      <c r="D49" s="434"/>
      <c r="E49" s="435"/>
      <c r="F49" s="432"/>
      <c r="G49" s="432"/>
      <c r="H49" s="432"/>
      <c r="I49" s="432"/>
      <c r="J49" s="432"/>
      <c r="K49" s="432"/>
    </row>
    <row r="50" spans="3:11" ht="19.5" thickBot="1" x14ac:dyDescent="0.25">
      <c r="D50" s="77" t="s">
        <v>159</v>
      </c>
      <c r="E50" s="414"/>
      <c r="F50" s="414"/>
      <c r="G50" s="414"/>
      <c r="H50" s="414"/>
      <c r="I50" s="414"/>
      <c r="J50" s="414"/>
      <c r="K50" s="414"/>
    </row>
    <row r="51" spans="3:11" ht="42.6" customHeight="1" thickBot="1" x14ac:dyDescent="0.25">
      <c r="D51" s="434"/>
      <c r="E51" s="1087" t="s">
        <v>509</v>
      </c>
      <c r="F51" s="1085"/>
      <c r="G51" s="1085"/>
      <c r="H51" s="1085"/>
      <c r="I51" s="1085"/>
      <c r="J51" s="1085"/>
      <c r="K51" s="1232"/>
    </row>
    <row r="52" spans="3:11" ht="13.5" thickBot="1" x14ac:dyDescent="0.25">
      <c r="D52" s="436"/>
      <c r="E52" s="53" t="s">
        <v>167</v>
      </c>
      <c r="F52" s="54" t="s">
        <v>168</v>
      </c>
      <c r="G52" s="55" t="s">
        <v>169</v>
      </c>
      <c r="H52" s="56" t="s">
        <v>170</v>
      </c>
      <c r="I52" s="56" t="s">
        <v>171</v>
      </c>
      <c r="J52" s="56" t="s">
        <v>172</v>
      </c>
      <c r="K52" s="57" t="s">
        <v>181</v>
      </c>
    </row>
    <row r="53" spans="3:11" ht="16.5" thickBot="1" x14ac:dyDescent="0.25">
      <c r="D53" s="76" t="s">
        <v>187</v>
      </c>
      <c r="E53" s="418"/>
      <c r="F53" s="418"/>
      <c r="G53" s="418"/>
      <c r="H53" s="418"/>
      <c r="I53" s="418"/>
      <c r="J53" s="418"/>
      <c r="K53" s="419"/>
    </row>
    <row r="54" spans="3:11" ht="14.25" x14ac:dyDescent="0.2">
      <c r="D54" s="437" t="s">
        <v>188</v>
      </c>
      <c r="E54" s="438">
        <v>118739562.60554709</v>
      </c>
      <c r="F54" s="438">
        <v>100067448.00758056</v>
      </c>
      <c r="G54" s="421"/>
      <c r="H54" s="421"/>
      <c r="I54" s="421"/>
      <c r="J54" s="421"/>
      <c r="K54" s="422"/>
    </row>
    <row r="55" spans="3:11" ht="16.5" thickBot="1" x14ac:dyDescent="0.25">
      <c r="D55" s="423" t="s">
        <v>189</v>
      </c>
      <c r="E55" s="424"/>
      <c r="F55" s="424"/>
      <c r="G55" s="424"/>
      <c r="H55" s="424"/>
      <c r="I55" s="424"/>
      <c r="J55" s="424"/>
      <c r="K55" s="424"/>
    </row>
    <row r="56" spans="3:11" ht="14.25" x14ac:dyDescent="0.2">
      <c r="D56" s="437" t="s">
        <v>188</v>
      </c>
      <c r="E56" s="438">
        <v>8163616.5962408492</v>
      </c>
      <c r="F56" s="438">
        <v>6512746.9240658088</v>
      </c>
      <c r="G56" s="421"/>
      <c r="H56" s="421"/>
      <c r="I56" s="421"/>
      <c r="J56" s="421"/>
      <c r="K56" s="422"/>
    </row>
    <row r="57" spans="3:11" ht="16.5" thickBot="1" x14ac:dyDescent="0.25">
      <c r="D57" s="423" t="s">
        <v>190</v>
      </c>
      <c r="E57" s="426"/>
      <c r="F57" s="426"/>
      <c r="G57" s="426"/>
      <c r="H57" s="426"/>
      <c r="I57" s="426"/>
      <c r="J57" s="426"/>
      <c r="K57" s="426"/>
    </row>
    <row r="58" spans="3:11" ht="14.25" x14ac:dyDescent="0.2">
      <c r="D58" s="439" t="s">
        <v>191</v>
      </c>
      <c r="E58" s="425">
        <v>298744.07389885676</v>
      </c>
      <c r="F58" s="425">
        <v>73481.901160298716</v>
      </c>
      <c r="G58" s="425">
        <v>1053278.1987152963</v>
      </c>
      <c r="H58" s="425">
        <v>1827747.4624765441</v>
      </c>
      <c r="I58" s="425">
        <v>1161703.895641871</v>
      </c>
      <c r="J58" s="425">
        <v>518894.40672003577</v>
      </c>
      <c r="K58" s="428">
        <v>534383.79199526075</v>
      </c>
    </row>
    <row r="59" spans="3:11" ht="15" thickBot="1" x14ac:dyDescent="0.25">
      <c r="D59" s="440" t="s">
        <v>192</v>
      </c>
      <c r="E59" s="430">
        <v>23907278.517315105</v>
      </c>
      <c r="F59" s="430">
        <v>21627146.869429853</v>
      </c>
      <c r="G59" s="430">
        <v>11841635.042909475</v>
      </c>
      <c r="H59" s="430">
        <v>15117640.028619548</v>
      </c>
      <c r="I59" s="430">
        <v>9750568.0307541043</v>
      </c>
      <c r="J59" s="430">
        <v>7187074.767704376</v>
      </c>
      <c r="K59" s="431">
        <v>7473628.3952960391</v>
      </c>
    </row>
    <row r="60" spans="3:11" ht="11.25" customHeight="1" x14ac:dyDescent="0.2"/>
    <row r="61" spans="3:11" ht="11.25" customHeight="1" x14ac:dyDescent="0.2"/>
    <row r="62" spans="3:11" s="7" customFormat="1" ht="15" x14ac:dyDescent="0.2">
      <c r="C62" s="7" t="s">
        <v>346</v>
      </c>
    </row>
    <row r="63" spans="3:11" ht="11.25" customHeight="1" thickBot="1" x14ac:dyDescent="0.25"/>
    <row r="64" spans="3:11" ht="25.5" customHeight="1" thickBot="1" x14ac:dyDescent="0.25">
      <c r="D64"/>
      <c r="F64" s="1087" t="s">
        <v>345</v>
      </c>
      <c r="G64" s="1085"/>
      <c r="H64" s="1085"/>
      <c r="I64" s="1086"/>
    </row>
    <row r="65" spans="1:12" ht="13.5" thickBot="1" x14ac:dyDescent="0.25">
      <c r="D65"/>
      <c r="F65" s="776" t="s">
        <v>348</v>
      </c>
      <c r="G65" s="777" t="s">
        <v>347</v>
      </c>
      <c r="H65" s="777" t="s">
        <v>349</v>
      </c>
      <c r="I65" s="778" t="s">
        <v>179</v>
      </c>
      <c r="J65" s="995" t="s">
        <v>225</v>
      </c>
    </row>
    <row r="66" spans="1:12" ht="12.75" x14ac:dyDescent="0.2">
      <c r="D66" s="97" t="s">
        <v>693</v>
      </c>
      <c r="E66" s="97"/>
      <c r="F66" s="198">
        <v>13117264.184348296</v>
      </c>
      <c r="G66" s="199">
        <v>12370806</v>
      </c>
      <c r="H66" s="199">
        <v>13068844</v>
      </c>
      <c r="I66" s="196">
        <f>SUM(F66:H66)</f>
        <v>38556914.1843483</v>
      </c>
      <c r="J66" s="188">
        <f t="shared" ref="J66:J71" si="9">IF($I$71=0,0,I66/$I$71)</f>
        <v>7.9590416594003274E-2</v>
      </c>
    </row>
    <row r="67" spans="1:12" ht="12.75" x14ac:dyDescent="0.2">
      <c r="D67" s="106" t="s">
        <v>694</v>
      </c>
      <c r="E67" s="106"/>
      <c r="F67" s="200">
        <v>37868909.925651588</v>
      </c>
      <c r="G67" s="141">
        <v>46977451</v>
      </c>
      <c r="H67" s="141">
        <v>40395484</v>
      </c>
      <c r="I67" s="197">
        <f t="shared" ref="I67:I70" si="10">SUM(F67:H67)</f>
        <v>125241844.92565158</v>
      </c>
      <c r="J67" s="188">
        <f t="shared" si="9"/>
        <v>0.25852822570226769</v>
      </c>
    </row>
    <row r="68" spans="1:12" ht="12.75" x14ac:dyDescent="0.2">
      <c r="D68" s="106" t="s">
        <v>176</v>
      </c>
      <c r="E68" s="106"/>
      <c r="F68" s="200">
        <v>0</v>
      </c>
      <c r="G68" s="141">
        <v>0</v>
      </c>
      <c r="H68" s="141">
        <v>0</v>
      </c>
      <c r="I68" s="197">
        <f t="shared" si="10"/>
        <v>0</v>
      </c>
      <c r="J68" s="188">
        <f t="shared" si="9"/>
        <v>0</v>
      </c>
    </row>
    <row r="69" spans="1:12" ht="11.25" customHeight="1" x14ac:dyDescent="0.2">
      <c r="D69" s="106" t="s">
        <v>695</v>
      </c>
      <c r="E69" s="106"/>
      <c r="F69" s="200">
        <v>21433323.100000221</v>
      </c>
      <c r="G69" s="141">
        <v>20568044</v>
      </c>
      <c r="H69" s="141">
        <v>19749482</v>
      </c>
      <c r="I69" s="197">
        <f t="shared" si="10"/>
        <v>61750849.100000218</v>
      </c>
      <c r="J69" s="188">
        <f t="shared" si="9"/>
        <v>0.12746807956165596</v>
      </c>
    </row>
    <row r="70" spans="1:12" ht="11.25" customHeight="1" thickBot="1" x14ac:dyDescent="0.25">
      <c r="D70" s="108" t="s">
        <v>696</v>
      </c>
      <c r="E70" s="108"/>
      <c r="F70" s="202">
        <v>82028347.949999988</v>
      </c>
      <c r="G70" s="203">
        <v>81535558</v>
      </c>
      <c r="H70" s="203">
        <v>95328154</v>
      </c>
      <c r="I70" s="204">
        <f t="shared" si="10"/>
        <v>258892059.94999999</v>
      </c>
      <c r="J70" s="188">
        <f t="shared" si="9"/>
        <v>0.53441327814207307</v>
      </c>
    </row>
    <row r="71" spans="1:12" ht="11.25" customHeight="1" thickBot="1" x14ac:dyDescent="0.25">
      <c r="D71" s="190" t="s">
        <v>697</v>
      </c>
      <c r="E71" s="190"/>
      <c r="F71" s="190">
        <f>SUM(F66:F70)</f>
        <v>154447845.16000009</v>
      </c>
      <c r="G71" s="67">
        <f t="shared" ref="G71:I71" si="11">SUM(G66:G70)</f>
        <v>161451859</v>
      </c>
      <c r="H71" s="67">
        <f t="shared" si="11"/>
        <v>168541964</v>
      </c>
      <c r="I71" s="68">
        <f t="shared" si="11"/>
        <v>484441668.16000009</v>
      </c>
      <c r="J71" s="189">
        <f t="shared" si="9"/>
        <v>1</v>
      </c>
    </row>
    <row r="72" spans="1:12" ht="11.25" customHeight="1" x14ac:dyDescent="0.2"/>
    <row r="73" spans="1:12" ht="11.25" customHeight="1" x14ac:dyDescent="0.2">
      <c r="D73" s="6" t="s">
        <v>354</v>
      </c>
      <c r="F73" s="144">
        <f>SUM(WkB_1_2.16!E10:E16)*Input_CPI!O$22</f>
        <v>154447845.15999946</v>
      </c>
      <c r="G73" s="144">
        <f>SUM(WkB_1_2.16!F10:F16)*Input_CPI!P$22</f>
        <v>161451859.00000006</v>
      </c>
      <c r="H73" s="144">
        <f>SUM(WkB_1_2.16!G10:G16)*Input_CPI!Q$22</f>
        <v>168541965</v>
      </c>
    </row>
    <row r="74" spans="1:12" ht="11.25" customHeight="1" x14ac:dyDescent="0.2">
      <c r="A74" s="42">
        <f>IF(SUM($F74:$H74)&gt;0,1,0)</f>
        <v>0</v>
      </c>
      <c r="D74" s="6" t="s">
        <v>183</v>
      </c>
      <c r="E74" s="6"/>
      <c r="F74" s="70">
        <f>IF(ROUND(F71-F73,-1)&lt;&gt;0,1,0)</f>
        <v>0</v>
      </c>
      <c r="G74" s="70">
        <f t="shared" ref="G74:H74" si="12">IF(ROUND(G71-G73,-1)&lt;&gt;0,1,0)</f>
        <v>0</v>
      </c>
      <c r="H74" s="70">
        <f t="shared" si="12"/>
        <v>0</v>
      </c>
    </row>
    <row r="75" spans="1:12" ht="11.25" customHeight="1" x14ac:dyDescent="0.2"/>
    <row r="76" spans="1:12" ht="11.25" customHeight="1" x14ac:dyDescent="0.2">
      <c r="E76" s="130" t="s">
        <v>342</v>
      </c>
      <c r="F76" s="779">
        <f>Lookup!S$18</f>
        <v>2022</v>
      </c>
      <c r="G76" s="780">
        <f>Lookup!T$18</f>
        <v>2023</v>
      </c>
      <c r="H76" s="781">
        <f>Lookup!U$18</f>
        <v>2024</v>
      </c>
      <c r="I76" s="779">
        <f>Lookup!V$18</f>
        <v>2025</v>
      </c>
      <c r="J76" s="779">
        <f>Lookup!W$18</f>
        <v>2026</v>
      </c>
      <c r="K76" s="779">
        <f>Lookup!X$18</f>
        <v>2027</v>
      </c>
      <c r="L76" s="780">
        <f>Lookup!Y$18</f>
        <v>2028</v>
      </c>
    </row>
    <row r="77" spans="1:12" ht="11.25" customHeight="1" x14ac:dyDescent="0.2">
      <c r="D77" s="6" t="s">
        <v>353</v>
      </c>
      <c r="E77" s="134" t="s">
        <v>698</v>
      </c>
      <c r="F77" s="996">
        <f>WkB_1_2.16!H17</f>
        <v>223480729.76390213</v>
      </c>
      <c r="G77" s="997">
        <f>WkB_1_2.16!I17</f>
        <v>185327610.69024611</v>
      </c>
      <c r="H77" s="998">
        <f>WkB_1_2.16!J17</f>
        <v>188863781.64036438</v>
      </c>
      <c r="I77" s="17">
        <f>WkB_1_2.16!K17</f>
        <v>197582308.6781826</v>
      </c>
      <c r="J77" s="17">
        <f>WkB_1_2.16!L17</f>
        <v>199933918.75658357</v>
      </c>
      <c r="K77" s="17">
        <f>WkB_1_2.16!M17</f>
        <v>200339193.25304416</v>
      </c>
      <c r="L77" s="17">
        <f>WkB_1_2.16!N17</f>
        <v>202599178.91443646</v>
      </c>
    </row>
    <row r="78" spans="1:12" ht="11.25" customHeight="1" x14ac:dyDescent="0.2"/>
    <row r="79" spans="1:12" ht="11.25" customHeight="1" x14ac:dyDescent="0.2">
      <c r="D79" s="6" t="str">
        <f t="shared" ref="D79:D80" si="13">D69</f>
        <v>Network overheads</v>
      </c>
      <c r="E79" s="134" t="s">
        <v>352</v>
      </c>
      <c r="F79" s="996">
        <f>F$77*$J69</f>
        <v>28486659.442042012</v>
      </c>
      <c r="G79" s="996">
        <f t="shared" ref="G79:L79" si="14">G$77*$J69</f>
        <v>23623354.62443589</v>
      </c>
      <c r="H79" s="996">
        <f t="shared" si="14"/>
        <v>24074103.544449184</v>
      </c>
      <c r="I79" s="996">
        <f t="shared" si="14"/>
        <v>25185437.442566246</v>
      </c>
      <c r="J79" s="996">
        <f t="shared" si="14"/>
        <v>25485192.663137853</v>
      </c>
      <c r="K79" s="996">
        <f t="shared" si="14"/>
        <v>25536852.224897001</v>
      </c>
      <c r="L79" s="996">
        <f t="shared" si="14"/>
        <v>25824928.256991558</v>
      </c>
    </row>
    <row r="80" spans="1:12" ht="11.25" customHeight="1" x14ac:dyDescent="0.2">
      <c r="D80" s="6" t="str">
        <f t="shared" si="13"/>
        <v>Corporate overheads</v>
      </c>
      <c r="E80" s="134" t="s">
        <v>352</v>
      </c>
      <c r="F80" s="996">
        <f>F$77*$J70</f>
        <v>119431069.39470969</v>
      </c>
      <c r="G80" s="996">
        <f t="shared" ref="G80:L80" si="15">G$77*$J70</f>
        <v>99041535.959212333</v>
      </c>
      <c r="H80" s="996">
        <f t="shared" si="15"/>
        <v>100931312.6687358</v>
      </c>
      <c r="I80" s="996">
        <f t="shared" si="15"/>
        <v>105590609.28358653</v>
      </c>
      <c r="J80" s="996">
        <f t="shared" si="15"/>
        <v>106847340.93449673</v>
      </c>
      <c r="K80" s="996">
        <f t="shared" si="15"/>
        <v>107063925.00669761</v>
      </c>
      <c r="L80" s="996">
        <f t="shared" si="15"/>
        <v>108271691.35255636</v>
      </c>
    </row>
    <row r="81" spans="2:2" ht="11.25" customHeight="1" x14ac:dyDescent="0.2"/>
    <row r="82" spans="2:2" ht="11.25" customHeight="1" x14ac:dyDescent="0.2"/>
    <row r="83" spans="2:2" s="47" customFormat="1" ht="15.75" x14ac:dyDescent="0.2">
      <c r="B83" s="47" t="s">
        <v>32</v>
      </c>
    </row>
  </sheetData>
  <mergeCells count="5">
    <mergeCell ref="F64:I64"/>
    <mergeCell ref="E51:K51"/>
    <mergeCell ref="E8:K8"/>
    <mergeCell ref="E22:K22"/>
    <mergeCell ref="E38:K38"/>
  </mergeCells>
  <conditionalFormatting sqref="B2">
    <cfRule type="cellIs" dxfId="113" priority="16" operator="notEqual">
      <formula>"No Errors Found"</formula>
    </cfRule>
  </conditionalFormatting>
  <conditionalFormatting sqref="K11">
    <cfRule type="expression" dxfId="112" priority="15">
      <formula>(dms_FRCPlength_Num)&lt;5</formula>
    </cfRule>
  </conditionalFormatting>
  <conditionalFormatting sqref="K13">
    <cfRule type="expression" dxfId="111" priority="14">
      <formula>(dms_FRCPlength_Num)&lt;5</formula>
    </cfRule>
  </conditionalFormatting>
  <conditionalFormatting sqref="K15">
    <cfRule type="expression" dxfId="110" priority="13">
      <formula>(dms_FRCPlength_Num)&lt;5</formula>
    </cfRule>
  </conditionalFormatting>
  <conditionalFormatting sqref="K16">
    <cfRule type="expression" dxfId="109" priority="12">
      <formula>(dms_FRCPlength_Num)&lt;5</formula>
    </cfRule>
  </conditionalFormatting>
  <conditionalFormatting sqref="K25">
    <cfRule type="expression" dxfId="108" priority="11">
      <formula>(dms_FRCPlength_Num)&lt;5</formula>
    </cfRule>
  </conditionalFormatting>
  <conditionalFormatting sqref="K27">
    <cfRule type="expression" dxfId="107" priority="10">
      <formula>(dms_FRCPlength_Num)&lt;5</formula>
    </cfRule>
  </conditionalFormatting>
  <conditionalFormatting sqref="K29">
    <cfRule type="expression" dxfId="106" priority="9">
      <formula>(dms_FRCPlength_Num)&lt;5</formula>
    </cfRule>
  </conditionalFormatting>
  <conditionalFormatting sqref="K30">
    <cfRule type="expression" dxfId="105" priority="8">
      <formula>(dms_FRCPlength_Num)&lt;5</formula>
    </cfRule>
  </conditionalFormatting>
  <conditionalFormatting sqref="E45:F46 E43:K43 E41:K41">
    <cfRule type="expression" dxfId="104" priority="7">
      <formula>dms_Worksheet210flag="Worksheet 2.10"</formula>
    </cfRule>
  </conditionalFormatting>
  <conditionalFormatting sqref="E58:K59 E56:F56">
    <cfRule type="expression" dxfId="103" priority="6">
      <formula>dms_Worksheet210flag="Worksheet 2.10"</formula>
    </cfRule>
  </conditionalFormatting>
  <conditionalFormatting sqref="G45:K46">
    <cfRule type="expression" dxfId="102" priority="5">
      <formula>dms_Worksheet210flag="Worksheet 2.10"</formula>
    </cfRule>
  </conditionalFormatting>
  <conditionalFormatting sqref="G54:K54">
    <cfRule type="expression" dxfId="101" priority="4">
      <formula>dms_Worksheet210flag="Worksheet 2.10"</formula>
    </cfRule>
  </conditionalFormatting>
  <conditionalFormatting sqref="G56:K56">
    <cfRule type="expression" dxfId="100" priority="3">
      <formula>dms_Worksheet210flag="Worksheet 2.10"</formula>
    </cfRule>
  </conditionalFormatting>
  <conditionalFormatting sqref="E54:F54">
    <cfRule type="expression" dxfId="99" priority="1">
      <formula>dms_Worksheet210flag="Worksheet 2.10"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6"/>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outlineLevelRow="1" x14ac:dyDescent="0.2"/>
  <cols>
    <col min="1" max="3" width="3.6640625" style="46" customWidth="1"/>
    <col min="4" max="4" width="36.83203125" style="46" customWidth="1"/>
    <col min="5" max="11" width="15.6640625" style="46" customWidth="1"/>
    <col min="12" max="31" width="10.6640625" style="46" customWidth="1"/>
    <col min="32" max="16384" width="9.33203125" style="46"/>
  </cols>
  <sheetData>
    <row r="1" spans="1:11" ht="19.5" x14ac:dyDescent="0.2">
      <c r="A1" s="42">
        <f>IF(SUM($A2:$A26)&gt;0,1,0)</f>
        <v>0</v>
      </c>
      <c r="B1" s="3" t="s">
        <v>333</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2.14.2 - Forecast Capex And Opex Price Changes</v>
      </c>
      <c r="E7" s="52"/>
      <c r="F7" s="52"/>
      <c r="G7" s="52"/>
      <c r="H7" s="52"/>
      <c r="I7" s="52"/>
      <c r="J7" s="52"/>
      <c r="K7" s="52"/>
    </row>
    <row r="8" spans="1:11" ht="46.15" customHeight="1" thickBot="1" x14ac:dyDescent="0.25">
      <c r="D8"/>
      <c r="E8" s="1233" t="s">
        <v>193</v>
      </c>
      <c r="F8" s="1234"/>
      <c r="G8" s="1235" t="s">
        <v>194</v>
      </c>
      <c r="H8" s="1236"/>
      <c r="I8" s="1236"/>
      <c r="J8" s="1236"/>
      <c r="K8" s="1237"/>
    </row>
    <row r="9" spans="1:11" ht="28.15" customHeight="1" thickBot="1" x14ac:dyDescent="0.25">
      <c r="D9"/>
      <c r="E9" s="1082" t="str">
        <f>WkB_1_2.1.1!$E$8</f>
        <v>Forecast 
($0's. real June 2023)</v>
      </c>
      <c r="F9" s="1083"/>
      <c r="G9" s="1083"/>
      <c r="H9" s="1083"/>
      <c r="I9" s="1083"/>
      <c r="J9" s="1083"/>
      <c r="K9" s="1084"/>
    </row>
    <row r="10" spans="1:11" ht="18.600000000000001" customHeight="1" thickBot="1" x14ac:dyDescent="0.25">
      <c r="D10"/>
      <c r="E10" s="53" t="str">
        <f>WkB_1_2.1.1!$E$9</f>
        <v>2021-22</v>
      </c>
      <c r="F10" s="54" t="str">
        <f>WkB_1_2.1.1!$F$9</f>
        <v>2022-23</v>
      </c>
      <c r="G10" s="55" t="str">
        <f>WkB_1_2.1.1!$G$9</f>
        <v>2023-24</v>
      </c>
      <c r="H10" s="56" t="str">
        <f>WkB_1_2.1.1!$H$9</f>
        <v>2024-25</v>
      </c>
      <c r="I10" s="56" t="str">
        <f>WkB_1_2.1.1!$I$9</f>
        <v>2025-26</v>
      </c>
      <c r="J10" s="56" t="str">
        <f>WkB_1_2.1.1!$J$9</f>
        <v>2026-27</v>
      </c>
      <c r="K10" s="57" t="str">
        <f>WkB_1_2.1.1!$K$9</f>
        <v>2027-28</v>
      </c>
    </row>
    <row r="11" spans="1:11" ht="13.5" thickBot="1" x14ac:dyDescent="0.25">
      <c r="D11" s="147" t="s">
        <v>187</v>
      </c>
      <c r="E11" s="78"/>
      <c r="F11" s="78"/>
      <c r="G11" s="79"/>
      <c r="H11" s="78"/>
      <c r="I11" s="78"/>
      <c r="J11" s="78"/>
      <c r="K11" s="80"/>
    </row>
    <row r="12" spans="1:11" ht="12.75" x14ac:dyDescent="0.2">
      <c r="D12" s="81" t="s">
        <v>226</v>
      </c>
      <c r="E12" s="148">
        <f t="shared" ref="E12" si="0">E16</f>
        <v>-9.6947774130917361E-3</v>
      </c>
      <c r="F12" s="149">
        <f>F16</f>
        <v>3.5507919551426071E-3</v>
      </c>
      <c r="G12" s="150">
        <v>4.5854055446039729E-3</v>
      </c>
      <c r="H12" s="151">
        <v>7.6482578571088842E-3</v>
      </c>
      <c r="I12" s="151">
        <v>9.0038365246016914E-3</v>
      </c>
      <c r="J12" s="151">
        <v>8.2344599800150148E-3</v>
      </c>
      <c r="K12" s="152">
        <v>6.1510698067589638E-3</v>
      </c>
    </row>
    <row r="13" spans="1:11" ht="13.5" thickBot="1" x14ac:dyDescent="0.25">
      <c r="D13" s="82" t="s">
        <v>227</v>
      </c>
      <c r="E13" s="153">
        <f t="shared" ref="E13:F13" si="1">E17</f>
        <v>0</v>
      </c>
      <c r="F13" s="154">
        <f t="shared" si="1"/>
        <v>0</v>
      </c>
      <c r="G13" s="155">
        <v>0</v>
      </c>
      <c r="H13" s="156">
        <v>0</v>
      </c>
      <c r="I13" s="156">
        <v>0</v>
      </c>
      <c r="J13" s="156">
        <v>0</v>
      </c>
      <c r="K13" s="154">
        <v>0</v>
      </c>
    </row>
    <row r="14" spans="1:11" ht="13.5" hidden="1" outlineLevel="1" thickBot="1" x14ac:dyDescent="0.25">
      <c r="D14" s="87"/>
      <c r="E14" s="88"/>
      <c r="F14" s="89"/>
      <c r="G14" s="90"/>
      <c r="H14" s="91"/>
      <c r="I14" s="91"/>
      <c r="J14" s="91"/>
      <c r="K14" s="89"/>
    </row>
    <row r="15" spans="1:11" ht="13.5" collapsed="1" thickBot="1" x14ac:dyDescent="0.25">
      <c r="D15" s="147" t="s">
        <v>189</v>
      </c>
      <c r="E15" s="78"/>
      <c r="F15" s="80"/>
      <c r="G15" s="79"/>
      <c r="H15" s="78"/>
      <c r="I15" s="78"/>
      <c r="J15" s="78"/>
      <c r="K15" s="80"/>
    </row>
    <row r="16" spans="1:11" ht="12.75" x14ac:dyDescent="0.2">
      <c r="D16" s="81" t="s">
        <v>226</v>
      </c>
      <c r="E16" s="148">
        <v>-9.6947774130917361E-3</v>
      </c>
      <c r="F16" s="152">
        <v>3.5507919551426071E-3</v>
      </c>
      <c r="G16" s="150">
        <v>4.5854055446039729E-3</v>
      </c>
      <c r="H16" s="151">
        <v>7.6482578571088842E-3</v>
      </c>
      <c r="I16" s="151">
        <v>9.0038365246016914E-3</v>
      </c>
      <c r="J16" s="151">
        <v>8.2344599800150148E-3</v>
      </c>
      <c r="K16" s="152">
        <v>6.1510698067589638E-3</v>
      </c>
    </row>
    <row r="17" spans="1:11" ht="12.75" x14ac:dyDescent="0.2">
      <c r="D17" s="82" t="s">
        <v>227</v>
      </c>
      <c r="E17" s="153">
        <v>0</v>
      </c>
      <c r="F17" s="154">
        <v>0</v>
      </c>
      <c r="G17" s="155">
        <v>0</v>
      </c>
      <c r="H17" s="156">
        <v>0</v>
      </c>
      <c r="I17" s="156">
        <v>0</v>
      </c>
      <c r="J17" s="156">
        <v>0</v>
      </c>
      <c r="K17" s="154">
        <v>0</v>
      </c>
    </row>
    <row r="18" spans="1:11" ht="12.75" hidden="1" outlineLevel="1" x14ac:dyDescent="0.2">
      <c r="D18" s="82"/>
      <c r="E18" s="83"/>
      <c r="F18" s="84"/>
      <c r="G18" s="85"/>
      <c r="H18" s="86"/>
      <c r="I18" s="86"/>
      <c r="J18" s="86"/>
      <c r="K18" s="84"/>
    </row>
    <row r="19" spans="1:11" ht="12.75" hidden="1" outlineLevel="1" x14ac:dyDescent="0.2">
      <c r="D19" s="82"/>
      <c r="E19" s="83"/>
      <c r="F19" s="84"/>
      <c r="G19" s="85"/>
      <c r="H19" s="86"/>
      <c r="I19" s="86"/>
      <c r="J19" s="86"/>
      <c r="K19" s="84"/>
    </row>
    <row r="20" spans="1:11" ht="12.75" hidden="1" outlineLevel="1" x14ac:dyDescent="0.2">
      <c r="D20" s="82"/>
      <c r="E20" s="83"/>
      <c r="F20" s="84"/>
      <c r="G20" s="85"/>
      <c r="H20" s="86"/>
      <c r="I20" s="86"/>
      <c r="J20" s="86"/>
      <c r="K20" s="84"/>
    </row>
    <row r="21" spans="1:11" ht="13.5" hidden="1" outlineLevel="1" thickBot="1" x14ac:dyDescent="0.25">
      <c r="D21" s="92"/>
      <c r="E21" s="93"/>
      <c r="F21" s="94"/>
      <c r="G21" s="95"/>
      <c r="H21" s="96"/>
      <c r="I21" s="96"/>
      <c r="J21" s="96"/>
      <c r="K21" s="94"/>
    </row>
    <row r="22" spans="1:11" ht="11.25" customHeight="1" collapsed="1" x14ac:dyDescent="0.2"/>
    <row r="23" spans="1:11" ht="11.25" customHeight="1" x14ac:dyDescent="0.2">
      <c r="D23" s="6" t="s">
        <v>182</v>
      </c>
      <c r="E23" s="392">
        <v>5.6416969933064465E-3</v>
      </c>
      <c r="F23" s="392">
        <v>8.1183875540362348E-3</v>
      </c>
      <c r="G23" s="392">
        <v>5.4654308143199512E-3</v>
      </c>
      <c r="H23" s="392">
        <v>9.3604178443679759E-3</v>
      </c>
      <c r="I23" s="392">
        <v>1.05629709437311E-2</v>
      </c>
      <c r="J23" s="392">
        <v>1.0306519673934167E-2</v>
      </c>
      <c r="K23" s="392">
        <v>7.8484059035962735E-3</v>
      </c>
    </row>
    <row r="24" spans="1:11" ht="11.25" customHeight="1" x14ac:dyDescent="0.2">
      <c r="A24" s="42">
        <f>IF(SUM($E24:$K24)&gt;0,1,0)</f>
        <v>0</v>
      </c>
      <c r="D24" s="6" t="s">
        <v>183</v>
      </c>
      <c r="E24" s="739">
        <f>IF(ROUND(E23-E16,3)&lt;0,1,0)</f>
        <v>0</v>
      </c>
      <c r="F24" s="739">
        <f>IF(ROUND(F23-F16,3)&lt;0,1,0)</f>
        <v>0</v>
      </c>
      <c r="G24" s="739">
        <f>IF(OR(ROUND(SUM(G12:G14)-SUM(G16:G21),3)&lt;0,ROUND(F23-F16,3)&lt;0),1,0)</f>
        <v>0</v>
      </c>
      <c r="H24" s="739">
        <f t="shared" ref="H24:K24" si="2">IF(OR(ROUND(SUM(H12:H14)-SUM(H16:H21),3)&lt;0,ROUND(G23-G16,3)&lt;0),1,0)</f>
        <v>0</v>
      </c>
      <c r="I24" s="739">
        <f t="shared" si="2"/>
        <v>0</v>
      </c>
      <c r="J24" s="739">
        <f t="shared" si="2"/>
        <v>0</v>
      </c>
      <c r="K24" s="739">
        <f t="shared" si="2"/>
        <v>0</v>
      </c>
    </row>
    <row r="25" spans="1:11" ht="11.25" customHeight="1" x14ac:dyDescent="0.2"/>
    <row r="26" spans="1:11" s="47" customFormat="1" ht="15.75" x14ac:dyDescent="0.2">
      <c r="B26" s="47" t="s">
        <v>32</v>
      </c>
    </row>
  </sheetData>
  <mergeCells count="3">
    <mergeCell ref="E9:K9"/>
    <mergeCell ref="E8:F8"/>
    <mergeCell ref="G8:K8"/>
  </mergeCells>
  <conditionalFormatting sqref="B2">
    <cfRule type="cellIs" dxfId="98" priority="3" operator="notEqual">
      <formula>"No Errors Found"</formula>
    </cfRule>
  </conditionalFormatting>
  <conditionalFormatting sqref="K16:K21 K12:K14">
    <cfRule type="expression" dxfId="97" priority="1">
      <formula>(dms_FRCPlength_Num)&lt;5</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37"/>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54.5" style="46" customWidth="1"/>
    <col min="5" max="14" width="14.6640625" style="46" customWidth="1"/>
    <col min="15" max="34" width="10.6640625" style="46" customWidth="1"/>
    <col min="35" max="16384" width="9.33203125" style="46"/>
  </cols>
  <sheetData>
    <row r="1" spans="1:14" ht="19.5" x14ac:dyDescent="0.2">
      <c r="A1" s="42">
        <f>IF(SUM($A2:$A37)&gt;0,1,0)</f>
        <v>0</v>
      </c>
      <c r="B1" s="3" t="s">
        <v>334</v>
      </c>
    </row>
    <row r="2" spans="1:14" x14ac:dyDescent="0.2">
      <c r="B2" s="9" t="str">
        <f>Title_Msg</f>
        <v>No Errors Found</v>
      </c>
    </row>
    <row r="3" spans="1:14" s="47" customFormat="1" ht="15.75" x14ac:dyDescent="0.2">
      <c r="B3" s="47" t="str">
        <f>WkB_1_2.1.1!$B$3</f>
        <v>Data required to populate TransGrid's 2023-28 regulatory submission</v>
      </c>
    </row>
    <row r="4" spans="1:14" ht="4.5" customHeight="1" x14ac:dyDescent="0.2"/>
    <row r="5" spans="1:14" s="7" customFormat="1" ht="15" x14ac:dyDescent="0.2">
      <c r="C5" s="7" t="str">
        <f>WkB_1_2.1.1!$C$5</f>
        <v>Output - RIN template</v>
      </c>
    </row>
    <row r="6" spans="1:14" ht="11.25" customHeight="1" x14ac:dyDescent="0.2"/>
    <row r="7" spans="1:14" ht="19.5" thickBot="1" x14ac:dyDescent="0.3">
      <c r="D7" s="51" t="str">
        <f>B1</f>
        <v>2.16.1 - Prescribed Transmission Services - Opex By Driver</v>
      </c>
      <c r="E7" s="51"/>
      <c r="F7" s="51"/>
      <c r="G7" s="51"/>
      <c r="H7" s="52"/>
      <c r="I7" s="52"/>
      <c r="J7" s="52"/>
      <c r="K7" s="52"/>
      <c r="L7" s="52"/>
      <c r="M7" s="52"/>
      <c r="N7" s="52"/>
    </row>
    <row r="8" spans="1:14" ht="28.15" customHeight="1" thickBot="1" x14ac:dyDescent="0.25">
      <c r="D8"/>
      <c r="E8" s="1082" t="str">
        <f>WkB_1_2.1.1!$E$8</f>
        <v>Forecast 
($0's. real June 2023)</v>
      </c>
      <c r="F8" s="1083"/>
      <c r="G8" s="1083"/>
      <c r="H8" s="1083"/>
      <c r="I8" s="1083"/>
      <c r="J8" s="1083"/>
      <c r="K8" s="1083"/>
      <c r="L8" s="1083"/>
      <c r="M8" s="1083"/>
      <c r="N8" s="1084"/>
    </row>
    <row r="9" spans="1:14" ht="18.600000000000001" customHeight="1" thickBot="1" x14ac:dyDescent="0.25">
      <c r="D9"/>
      <c r="E9" s="113" t="str">
        <f>LEFT(F9,4)-1&amp;"-"&amp;RIGHT(F9,2)-1</f>
        <v>2018-19</v>
      </c>
      <c r="F9" s="114" t="str">
        <f>LEFT(G9,4)-1&amp;"-"&amp;RIGHT(G9,2)-1</f>
        <v>2019-20</v>
      </c>
      <c r="G9" s="114" t="str">
        <f>LEFT(H9,4)-1&amp;"-"&amp;RIGHT(H9,2)-1</f>
        <v>2020-21</v>
      </c>
      <c r="H9" s="114" t="str">
        <f>WkB_1_2.1.1!$E$9</f>
        <v>2021-22</v>
      </c>
      <c r="I9" s="115" t="str">
        <f>WkB_1_2.1.1!$F$9</f>
        <v>2022-23</v>
      </c>
      <c r="J9" s="55" t="str">
        <f>WkB_1_2.1.1!$G$9</f>
        <v>2023-24</v>
      </c>
      <c r="K9" s="56" t="str">
        <f>WkB_1_2.1.1!$H$9</f>
        <v>2024-25</v>
      </c>
      <c r="L9" s="56" t="str">
        <f>WkB_1_2.1.1!$I$9</f>
        <v>2025-26</v>
      </c>
      <c r="M9" s="56" t="str">
        <f>WkB_1_2.1.1!$J$9</f>
        <v>2026-27</v>
      </c>
      <c r="N9" s="57" t="str">
        <f>WkB_1_2.1.1!$K$9</f>
        <v>2027-28</v>
      </c>
    </row>
    <row r="10" spans="1:14" ht="12.75" x14ac:dyDescent="0.2">
      <c r="D10" s="97" t="s">
        <v>195</v>
      </c>
      <c r="E10" s="160">
        <v>168120793.11202687</v>
      </c>
      <c r="F10" s="99">
        <v>174497252.58826736</v>
      </c>
      <c r="G10" s="99">
        <v>179172723.60055697</v>
      </c>
      <c r="H10" s="99">
        <v>221926033.72874966</v>
      </c>
      <c r="I10" s="100">
        <v>193243157.44050601</v>
      </c>
      <c r="J10" s="98">
        <v>184854725.28449658</v>
      </c>
      <c r="K10" s="99">
        <v>184854725.28449658</v>
      </c>
      <c r="L10" s="99">
        <v>184854725.28449658</v>
      </c>
      <c r="M10" s="99">
        <v>184854725.28449658</v>
      </c>
      <c r="N10" s="161">
        <v>184854725.28449658</v>
      </c>
    </row>
    <row r="11" spans="1:14" ht="12.75" x14ac:dyDescent="0.2">
      <c r="D11" s="101" t="s">
        <v>196</v>
      </c>
      <c r="E11" s="102"/>
      <c r="F11" s="103"/>
      <c r="G11" s="103"/>
      <c r="H11" s="103"/>
      <c r="I11" s="105">
        <v>-7915546.7502598921</v>
      </c>
      <c r="J11" s="104">
        <v>-7915546.7502598921</v>
      </c>
      <c r="K11" s="105">
        <v>-7915546.7502598921</v>
      </c>
      <c r="L11" s="105">
        <v>-7915546.7502598921</v>
      </c>
      <c r="M11" s="105">
        <v>-7915546.7502598921</v>
      </c>
      <c r="N11" s="162">
        <v>-7915546.7502598921</v>
      </c>
    </row>
    <row r="12" spans="1:14" ht="12.75" x14ac:dyDescent="0.2">
      <c r="D12" s="106" t="s">
        <v>197</v>
      </c>
      <c r="E12" s="102"/>
      <c r="F12" s="103"/>
      <c r="G12" s="103"/>
      <c r="H12" s="103"/>
      <c r="I12" s="107"/>
      <c r="J12" s="104">
        <f>SUM(J$10:J$11)*(J$33-1)</f>
        <v>571181.87477723393</v>
      </c>
      <c r="K12" s="105">
        <f t="shared" ref="K12:N12" si="0">SUM(K$10:K$11)*(K$33-1)</f>
        <v>1526963.9609136316</v>
      </c>
      <c r="L12" s="105">
        <f t="shared" si="0"/>
        <v>2658207.4613442421</v>
      </c>
      <c r="M12" s="105">
        <f t="shared" si="0"/>
        <v>3699344.2525413712</v>
      </c>
      <c r="N12" s="162">
        <f t="shared" si="0"/>
        <v>4481572.8476110594</v>
      </c>
    </row>
    <row r="13" spans="1:14" ht="12.75" x14ac:dyDescent="0.2">
      <c r="D13" s="106" t="s">
        <v>198</v>
      </c>
      <c r="E13" s="102"/>
      <c r="F13" s="103"/>
      <c r="G13" s="103"/>
      <c r="H13" s="103"/>
      <c r="I13" s="107"/>
      <c r="J13" s="104">
        <f>SUM(J$10:J$11)*(J$33*J$34-J$33)</f>
        <v>2323561.8969456865</v>
      </c>
      <c r="K13" s="105">
        <f t="shared" ref="K13:N13" si="1">SUM(K$10:K$11)*(K$33*K$34-K$33)</f>
        <v>10208127.075920321</v>
      </c>
      <c r="L13" s="105">
        <f t="shared" si="1"/>
        <v>10944273.17183524</v>
      </c>
      <c r="M13" s="105">
        <f t="shared" si="1"/>
        <v>11793290.985843237</v>
      </c>
      <c r="N13" s="162">
        <f t="shared" si="1"/>
        <v>12819711.89642624</v>
      </c>
    </row>
    <row r="14" spans="1:14" ht="12.75" x14ac:dyDescent="0.2">
      <c r="D14" s="106" t="s">
        <v>199</v>
      </c>
      <c r="E14" s="102"/>
      <c r="F14" s="103"/>
      <c r="G14" s="103"/>
      <c r="H14" s="103"/>
      <c r="I14" s="107"/>
      <c r="J14" s="104">
        <f>SUM(J$10:J$11)*(J$33*J$34*J$35-J$33*J$34)</f>
        <v>-899169.61152978847</v>
      </c>
      <c r="K14" s="105">
        <f>SUM(K$10:K$11)*(K$33*K$34*K$35-K$33*K$34)</f>
        <v>-1882025.8389714195</v>
      </c>
      <c r="L14" s="105">
        <f>SUM(L$10:L$11)*(L$33*L$34*L$35-L$33*L$34)</f>
        <v>-2843858.0807810603</v>
      </c>
      <c r="M14" s="105">
        <f>SUM(M$10:M$11)*(M$33*M$34*M$35-M$33*M$34)</f>
        <v>-3819867.59902354</v>
      </c>
      <c r="N14" s="162">
        <f>SUM(N$10:N$11)*(N$33*N$34*N$35-N$33*N$34)</f>
        <v>-4807693.6603219165</v>
      </c>
    </row>
    <row r="15" spans="1:14" ht="12.75" x14ac:dyDescent="0.2">
      <c r="D15" s="108" t="s">
        <v>156</v>
      </c>
      <c r="E15" s="102"/>
      <c r="F15" s="103"/>
      <c r="G15" s="103"/>
      <c r="H15" s="103"/>
      <c r="I15" s="107"/>
      <c r="J15" s="104">
        <v>9929028.9459345993</v>
      </c>
      <c r="K15" s="105">
        <v>10790064.946083384</v>
      </c>
      <c r="L15" s="105">
        <v>12236117.669948502</v>
      </c>
      <c r="M15" s="105">
        <v>11727247.079446446</v>
      </c>
      <c r="N15" s="162">
        <v>13166409.296484411</v>
      </c>
    </row>
    <row r="16" spans="1:14" ht="13.5" thickBot="1" x14ac:dyDescent="0.25">
      <c r="D16" s="109" t="s">
        <v>200</v>
      </c>
      <c r="E16" s="163">
        <v>1130998.8704255605</v>
      </c>
      <c r="F16" s="111">
        <v>1343964.706936196</v>
      </c>
      <c r="G16" s="111">
        <v>1273753.7710864411</v>
      </c>
      <c r="H16" s="111">
        <v>1554696.0351524507</v>
      </c>
      <c r="I16" s="112">
        <v>0</v>
      </c>
      <c r="J16" s="110">
        <v>0</v>
      </c>
      <c r="K16" s="111">
        <v>0</v>
      </c>
      <c r="L16" s="111">
        <v>0</v>
      </c>
      <c r="M16" s="111">
        <v>0</v>
      </c>
      <c r="N16" s="164">
        <v>0</v>
      </c>
    </row>
    <row r="17" spans="1:15" ht="13.5" thickBot="1" x14ac:dyDescent="0.25">
      <c r="D17" s="66" t="s">
        <v>179</v>
      </c>
      <c r="E17" s="67"/>
      <c r="F17" s="67"/>
      <c r="G17" s="67"/>
      <c r="H17" s="67">
        <f t="shared" ref="H17:N17" si="2">SUM(H10:H16)</f>
        <v>223480729.76390213</v>
      </c>
      <c r="I17" s="67">
        <f t="shared" si="2"/>
        <v>185327610.69024611</v>
      </c>
      <c r="J17" s="67">
        <f t="shared" si="2"/>
        <v>188863781.64036438</v>
      </c>
      <c r="K17" s="67">
        <f t="shared" si="2"/>
        <v>197582308.6781826</v>
      </c>
      <c r="L17" s="67">
        <f t="shared" si="2"/>
        <v>199933918.75658357</v>
      </c>
      <c r="M17" s="67">
        <f t="shared" si="2"/>
        <v>200339193.25304416</v>
      </c>
      <c r="N17" s="68">
        <f t="shared" si="2"/>
        <v>202599178.91443646</v>
      </c>
    </row>
    <row r="18" spans="1:15" ht="11.25" customHeight="1" x14ac:dyDescent="0.2">
      <c r="I18" s="858"/>
    </row>
    <row r="19" spans="1:15" ht="11.25" customHeight="1" x14ac:dyDescent="0.2">
      <c r="D19" s="6" t="s">
        <v>182</v>
      </c>
      <c r="E19" s="6"/>
      <c r="F19" s="6"/>
      <c r="G19" s="6"/>
      <c r="H19" s="201">
        <v>223480729.76390213</v>
      </c>
      <c r="I19" s="774">
        <v>185327610.69024611</v>
      </c>
      <c r="J19" s="143">
        <v>188863781.64036441</v>
      </c>
      <c r="K19" s="141">
        <v>197582308.67818257</v>
      </c>
      <c r="L19" s="141">
        <v>199933918.7565836</v>
      </c>
      <c r="M19" s="141">
        <v>200339193.25304419</v>
      </c>
      <c r="N19" s="141">
        <v>202599178.91443649</v>
      </c>
    </row>
    <row r="20" spans="1:15" ht="11.25" customHeight="1" x14ac:dyDescent="0.2">
      <c r="D20" s="6" t="s">
        <v>533</v>
      </c>
      <c r="E20" s="6"/>
      <c r="F20" s="6"/>
      <c r="G20" s="6"/>
      <c r="H20" s="859">
        <f>WkB_1_3.2!E46+H11</f>
        <v>223480729.76390216</v>
      </c>
      <c r="I20" s="859">
        <f>WkB_1_3.2!F46+I11</f>
        <v>185327610.69024608</v>
      </c>
      <c r="J20" s="860">
        <f>WkB_1_3.2!G46</f>
        <v>188863781.64036441</v>
      </c>
      <c r="K20" s="144">
        <f>WkB_1_3.2!H46</f>
        <v>197582308.67818257</v>
      </c>
      <c r="L20" s="144">
        <f>WkB_1_3.2!I46</f>
        <v>199933918.75658357</v>
      </c>
      <c r="M20" s="144">
        <f>WkB_1_3.2!J46</f>
        <v>200339193.25304416</v>
      </c>
      <c r="N20" s="144">
        <f>WkB_1_3.2!K46</f>
        <v>202599178.91443646</v>
      </c>
      <c r="O20" s="6"/>
    </row>
    <row r="21" spans="1:15" ht="11.25" customHeight="1" x14ac:dyDescent="0.2">
      <c r="A21" s="42">
        <f>IF(SUM($H21:$N21)&gt;0,1,0)</f>
        <v>0</v>
      </c>
      <c r="D21" s="6" t="s">
        <v>183</v>
      </c>
      <c r="E21" s="6"/>
      <c r="F21" s="6"/>
      <c r="G21" s="6"/>
      <c r="H21" s="70">
        <f t="shared" ref="H21:I21" si="3">IF(OR(ROUND(H17-H19,3)&lt;&gt;0,ROUND(H17-H20,3)&lt;&gt;0),1,0)</f>
        <v>0</v>
      </c>
      <c r="I21" s="70">
        <f t="shared" si="3"/>
        <v>0</v>
      </c>
      <c r="J21" s="70">
        <f>IF(OR(ROUND(J17-J19,3)&lt;&gt;0,ROUND(J17-J20,3)&lt;&gt;0),1,0)</f>
        <v>0</v>
      </c>
      <c r="K21" s="70">
        <f t="shared" ref="K21:N21" si="4">IF(OR(ROUND(K17-K19,3)&lt;&gt;0,ROUND(K17-K20,3)&lt;&gt;0),1,0)</f>
        <v>0</v>
      </c>
      <c r="L21" s="70">
        <f t="shared" si="4"/>
        <v>0</v>
      </c>
      <c r="M21" s="70">
        <f t="shared" si="4"/>
        <v>0</v>
      </c>
      <c r="N21" s="70">
        <f t="shared" si="4"/>
        <v>0</v>
      </c>
    </row>
    <row r="22" spans="1:15" ht="11.25" customHeight="1" x14ac:dyDescent="0.2">
      <c r="H22" s="46" t="s">
        <v>530</v>
      </c>
    </row>
    <row r="23" spans="1:15" s="7" customFormat="1" ht="15" x14ac:dyDescent="0.2">
      <c r="C23" s="7" t="s">
        <v>518</v>
      </c>
    </row>
    <row r="24" spans="1:15" ht="11.25" customHeight="1" thickBot="1" x14ac:dyDescent="0.25"/>
    <row r="25" spans="1:15" ht="26.65" customHeight="1" thickBot="1" x14ac:dyDescent="0.25">
      <c r="D25"/>
      <c r="E25" s="1082" t="s">
        <v>228</v>
      </c>
      <c r="F25" s="1083"/>
      <c r="G25" s="1083"/>
      <c r="H25" s="1083"/>
      <c r="I25" s="1083"/>
      <c r="J25" s="1083"/>
      <c r="K25" s="1083"/>
      <c r="L25" s="1083"/>
      <c r="M25" s="1083"/>
      <c r="N25" s="1084"/>
    </row>
    <row r="26" spans="1:15" ht="13.5" thickBot="1" x14ac:dyDescent="0.25">
      <c r="D26"/>
      <c r="E26" s="113" t="str">
        <f>LEFT(F26,4)-1&amp;"-"&amp;RIGHT(F26,2)-1</f>
        <v>2018-19</v>
      </c>
      <c r="F26" s="114" t="str">
        <f>LEFT(G26,4)-1&amp;"-"&amp;RIGHT(G26,2)-1</f>
        <v>2019-20</v>
      </c>
      <c r="G26" s="114" t="str">
        <f>LEFT(H26,4)-1&amp;"-"&amp;RIGHT(H26,2)-1</f>
        <v>2020-21</v>
      </c>
      <c r="H26" s="114" t="str">
        <f>WkB_1_2.1.1!$E$9</f>
        <v>2021-22</v>
      </c>
      <c r="I26" s="115" t="str">
        <f>WkB_1_2.1.1!$F$9</f>
        <v>2022-23</v>
      </c>
      <c r="J26" s="55" t="str">
        <f>WkB_1_2.1.1!$G$9</f>
        <v>2023-24</v>
      </c>
      <c r="K26" s="56" t="str">
        <f>WkB_1_2.1.1!$H$9</f>
        <v>2024-25</v>
      </c>
      <c r="L26" s="56" t="str">
        <f>WkB_1_2.1.1!$I$9</f>
        <v>2025-26</v>
      </c>
      <c r="M26" s="56" t="str">
        <f>WkB_1_2.1.1!$J$9</f>
        <v>2026-27</v>
      </c>
      <c r="N26" s="57" t="str">
        <f>WkB_1_2.1.1!$K$9</f>
        <v>2027-28</v>
      </c>
    </row>
    <row r="27" spans="1:15" ht="12.75" x14ac:dyDescent="0.2">
      <c r="D27" s="157" t="s">
        <v>197</v>
      </c>
      <c r="E27" s="165"/>
      <c r="F27" s="166"/>
      <c r="G27" s="166"/>
      <c r="H27" s="166"/>
      <c r="I27" s="166"/>
      <c r="J27" s="167">
        <v>3.2281255034011967E-3</v>
      </c>
      <c r="K27" s="167">
        <v>5.3843735314046542E-3</v>
      </c>
      <c r="L27" s="167">
        <v>6.3387009133195902E-3</v>
      </c>
      <c r="M27" s="167">
        <v>5.7970598259305698E-3</v>
      </c>
      <c r="N27" s="168">
        <v>4.33035314395831E-3</v>
      </c>
    </row>
    <row r="28" spans="1:15" ht="12.75" x14ac:dyDescent="0.2">
      <c r="D28" s="158" t="s">
        <v>198</v>
      </c>
      <c r="E28" s="169"/>
      <c r="F28" s="170"/>
      <c r="G28" s="170"/>
      <c r="H28" s="170"/>
      <c r="I28" s="170"/>
      <c r="J28" s="171">
        <v>1.3089725532593204E-2</v>
      </c>
      <c r="K28" s="171">
        <v>4.3539589600626247E-2</v>
      </c>
      <c r="L28" s="171">
        <v>3.5363093477421867E-3</v>
      </c>
      <c r="M28" s="171">
        <v>4.0990796655536264E-3</v>
      </c>
      <c r="N28" s="172">
        <v>5.0467039208666837E-3</v>
      </c>
    </row>
    <row r="29" spans="1:15" ht="13.5" thickBot="1" x14ac:dyDescent="0.25">
      <c r="D29" s="159" t="s">
        <v>199</v>
      </c>
      <c r="E29" s="173"/>
      <c r="F29" s="174"/>
      <c r="G29" s="174"/>
      <c r="H29" s="174"/>
      <c r="I29" s="174"/>
      <c r="J29" s="175">
        <v>-5.0000000000000001E-3</v>
      </c>
      <c r="K29" s="175">
        <v>-5.0000000000000001E-3</v>
      </c>
      <c r="L29" s="175">
        <v>-5.0000000000000001E-3</v>
      </c>
      <c r="M29" s="175">
        <v>-5.0000000000000001E-3</v>
      </c>
      <c r="N29" s="176">
        <v>-5.0000000000000001E-3</v>
      </c>
    </row>
    <row r="30" spans="1:15" ht="11.25" customHeight="1" thickBot="1" x14ac:dyDescent="0.25"/>
    <row r="31" spans="1:15" ht="28.15" customHeight="1" thickBot="1" x14ac:dyDescent="0.25">
      <c r="D31"/>
      <c r="E31" s="1082" t="s">
        <v>229</v>
      </c>
      <c r="F31" s="1083"/>
      <c r="G31" s="1083"/>
      <c r="H31" s="1083"/>
      <c r="I31" s="1083"/>
      <c r="J31" s="1083"/>
      <c r="K31" s="1083"/>
      <c r="L31" s="1083"/>
      <c r="M31" s="1083"/>
      <c r="N31" s="1084"/>
    </row>
    <row r="32" spans="1:15" ht="13.5" thickBot="1" x14ac:dyDescent="0.25">
      <c r="D32"/>
      <c r="E32" s="113" t="str">
        <f>LEFT(F32,4)-1&amp;"-"&amp;RIGHT(F32,2)-1</f>
        <v>2018-19</v>
      </c>
      <c r="F32" s="114" t="str">
        <f>LEFT(G32,4)-1&amp;"-"&amp;RIGHT(G32,2)-1</f>
        <v>2019-20</v>
      </c>
      <c r="G32" s="114" t="str">
        <f>LEFT(H32,4)-1&amp;"-"&amp;RIGHT(H32,2)-1</f>
        <v>2020-21</v>
      </c>
      <c r="H32" s="114" t="str">
        <f>WkB_1_2.1.1!$E$9</f>
        <v>2021-22</v>
      </c>
      <c r="I32" s="115" t="str">
        <f>WkB_1_2.1.1!$F$9</f>
        <v>2022-23</v>
      </c>
      <c r="J32" s="55" t="str">
        <f>WkB_1_2.1.1!$G$9</f>
        <v>2023-24</v>
      </c>
      <c r="K32" s="56" t="str">
        <f>WkB_1_2.1.1!$H$9</f>
        <v>2024-25</v>
      </c>
      <c r="L32" s="56" t="str">
        <f>WkB_1_2.1.1!$I$9</f>
        <v>2025-26</v>
      </c>
      <c r="M32" s="56" t="str">
        <f>WkB_1_2.1.1!$J$9</f>
        <v>2026-27</v>
      </c>
      <c r="N32" s="57" t="str">
        <f>WkB_1_2.1.1!$K$9</f>
        <v>2027-28</v>
      </c>
    </row>
    <row r="33" spans="2:14" ht="12.75" x14ac:dyDescent="0.2">
      <c r="D33" s="157" t="s">
        <v>197</v>
      </c>
      <c r="E33" s="165"/>
      <c r="F33" s="166"/>
      <c r="G33" s="166"/>
      <c r="H33" s="166"/>
      <c r="I33" s="177">
        <v>1</v>
      </c>
      <c r="J33" s="178">
        <f>I33*(1+J27)</f>
        <v>1.0032281255034012</v>
      </c>
      <c r="K33" s="178">
        <f t="shared" ref="K33:N33" si="5">J33*(1+K27)</f>
        <v>1.0086298804683225</v>
      </c>
      <c r="L33" s="178">
        <f t="shared" si="5"/>
        <v>1.0150232836128483</v>
      </c>
      <c r="M33" s="178">
        <f t="shared" si="5"/>
        <v>1.0209074343126645</v>
      </c>
      <c r="N33" s="179">
        <f t="shared" si="5"/>
        <v>1.0253283240305306</v>
      </c>
    </row>
    <row r="34" spans="2:14" ht="12.75" x14ac:dyDescent="0.2">
      <c r="D34" s="158" t="s">
        <v>198</v>
      </c>
      <c r="E34" s="169"/>
      <c r="F34" s="170"/>
      <c r="G34" s="170"/>
      <c r="H34" s="170"/>
      <c r="I34" s="180">
        <v>1</v>
      </c>
      <c r="J34" s="181">
        <f t="shared" ref="J34:N34" si="6">I34*(1+J28)</f>
        <v>1.0130897255325932</v>
      </c>
      <c r="K34" s="181">
        <f t="shared" si="6"/>
        <v>1.0571992364108935</v>
      </c>
      <c r="L34" s="181">
        <f t="shared" si="6"/>
        <v>1.0609378199530395</v>
      </c>
      <c r="M34" s="181">
        <f t="shared" si="6"/>
        <v>1.0652866885972256</v>
      </c>
      <c r="N34" s="182">
        <f t="shared" si="6"/>
        <v>1.0706628751054161</v>
      </c>
    </row>
    <row r="35" spans="2:14" ht="13.5" thickBot="1" x14ac:dyDescent="0.25">
      <c r="D35" s="159" t="s">
        <v>199</v>
      </c>
      <c r="E35" s="173"/>
      <c r="F35" s="174"/>
      <c r="G35" s="174"/>
      <c r="H35" s="174"/>
      <c r="I35" s="183">
        <v>1</v>
      </c>
      <c r="J35" s="184">
        <f t="shared" ref="J35:N35" si="7">I35*(1+J29)</f>
        <v>0.995</v>
      </c>
      <c r="K35" s="184">
        <f t="shared" si="7"/>
        <v>0.99002500000000004</v>
      </c>
      <c r="L35" s="184">
        <f t="shared" si="7"/>
        <v>0.98507487500000002</v>
      </c>
      <c r="M35" s="184">
        <f t="shared" si="7"/>
        <v>0.98014950062500006</v>
      </c>
      <c r="N35" s="185">
        <f t="shared" si="7"/>
        <v>0.97524875312187509</v>
      </c>
    </row>
    <row r="36" spans="2:14" ht="11.25" customHeight="1" x14ac:dyDescent="0.2"/>
    <row r="37" spans="2:14" s="47" customFormat="1" ht="15.75" x14ac:dyDescent="0.2">
      <c r="B37" s="47" t="s">
        <v>32</v>
      </c>
    </row>
  </sheetData>
  <mergeCells count="3">
    <mergeCell ref="E8:N8"/>
    <mergeCell ref="E25:N25"/>
    <mergeCell ref="E31:N31"/>
  </mergeCells>
  <conditionalFormatting sqref="B2">
    <cfRule type="cellIs" dxfId="96" priority="47" operator="notEqual">
      <formula>"No Errors Found"</formula>
    </cfRule>
  </conditionalFormatting>
  <conditionalFormatting sqref="N10:N13 N15">
    <cfRule type="expression" dxfId="95" priority="32">
      <formula>(dms_FRCPlength_Num)&lt;5</formula>
    </cfRule>
  </conditionalFormatting>
  <conditionalFormatting sqref="N16">
    <cfRule type="expression" dxfId="94" priority="31">
      <formula>(dms_FRCPlength_Num)&lt;5</formula>
    </cfRule>
  </conditionalFormatting>
  <conditionalFormatting sqref="N14">
    <cfRule type="expression" dxfId="93" priority="30">
      <formula>(dms_FRCPlength_Num)&lt;5</formula>
    </cfRule>
  </conditionalFormatting>
  <conditionalFormatting sqref="J10:N16">
    <cfRule type="expression" dxfId="92" priority="29">
      <formula>dms_BaseStepTrend="No"</formula>
    </cfRule>
  </conditionalFormatting>
  <conditionalFormatting sqref="E12:I15 E11:H11">
    <cfRule type="expression" dxfId="91" priority="20" stopIfTrue="1">
      <formula>dms_BaseStepTrend="No"</formula>
    </cfRule>
  </conditionalFormatting>
  <conditionalFormatting sqref="N27:N29">
    <cfRule type="expression" dxfId="90" priority="11">
      <formula>(dms_FRCPlength_Num)&lt;5</formula>
    </cfRule>
  </conditionalFormatting>
  <conditionalFormatting sqref="I33:I35">
    <cfRule type="expression" dxfId="89" priority="10" stopIfTrue="1">
      <formula>dms_BaseStepTrend="No"</formula>
    </cfRule>
  </conditionalFormatting>
  <conditionalFormatting sqref="I10">
    <cfRule type="expression" dxfId="88" priority="3">
      <formula>(dms_FRCPlength_Num)&lt;5</formula>
    </cfRule>
  </conditionalFormatting>
  <conditionalFormatting sqref="E10:I10">
    <cfRule type="expression" dxfId="87" priority="2">
      <formula>dms_BaseStepTrend="No"</formula>
    </cfRule>
  </conditionalFormatting>
  <conditionalFormatting sqref="I16">
    <cfRule type="expression" dxfId="86" priority="5">
      <formula>(dms_FRCPlength_Num)&lt;5</formula>
    </cfRule>
  </conditionalFormatting>
  <conditionalFormatting sqref="E16:I16">
    <cfRule type="expression" dxfId="85" priority="4">
      <formula>dms_BaseStepTrend="No"</formula>
    </cfRule>
  </conditionalFormatting>
  <conditionalFormatting sqref="I11">
    <cfRule type="expression" dxfId="84" priority="1">
      <formula>dms_BaseStepTrend="No"</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29"/>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H11" sqref="H11"/>
    </sheetView>
  </sheetViews>
  <sheetFormatPr defaultColWidth="9.33203125" defaultRowHeight="11.25" outlineLevelRow="1" x14ac:dyDescent="0.2"/>
  <cols>
    <col min="1" max="3" width="3.6640625" style="46" customWidth="1"/>
    <col min="4" max="5" width="56.33203125" style="46" customWidth="1"/>
    <col min="6" max="12" width="15.6640625" style="46" customWidth="1"/>
    <col min="13" max="32" width="10.6640625" style="46" customWidth="1"/>
    <col min="33" max="16384" width="9.33203125" style="46"/>
  </cols>
  <sheetData>
    <row r="1" spans="1:12" ht="19.5" x14ac:dyDescent="0.2">
      <c r="A1" s="42">
        <f>IF(SUM($A2:$A29)&gt;0,1,0)</f>
        <v>0</v>
      </c>
      <c r="B1" s="3" t="s">
        <v>335</v>
      </c>
    </row>
    <row r="2" spans="1:12" x14ac:dyDescent="0.2">
      <c r="B2" s="9" t="str">
        <f>Title_Msg</f>
        <v>No Errors Found</v>
      </c>
    </row>
    <row r="3" spans="1:12" s="47" customFormat="1" ht="15.75" x14ac:dyDescent="0.2">
      <c r="B3" s="47" t="str">
        <f>WkB_1_2.1.1!$B$3</f>
        <v>Data required to populate TransGrid's 2023-28 regulatory submission</v>
      </c>
    </row>
    <row r="4" spans="1:12" ht="4.5" customHeight="1" x14ac:dyDescent="0.2"/>
    <row r="5" spans="1:12" s="7" customFormat="1" ht="15" x14ac:dyDescent="0.2">
      <c r="C5" s="7" t="str">
        <f>WkB_1_2.1.1!$C$5</f>
        <v>Output - RIN template</v>
      </c>
    </row>
    <row r="6" spans="1:12" ht="11.25" customHeight="1" x14ac:dyDescent="0.2"/>
    <row r="7" spans="1:12" ht="19.5" thickBot="1" x14ac:dyDescent="0.3">
      <c r="D7" s="51" t="str">
        <f>B1</f>
        <v xml:space="preserve">2.17.1 - Step Changes For Prescribed Transmission Services - Forecast Opex </v>
      </c>
      <c r="E7" s="51"/>
      <c r="F7" s="52"/>
      <c r="G7" s="52"/>
      <c r="H7" s="52"/>
      <c r="I7" s="52"/>
      <c r="J7" s="52"/>
      <c r="K7" s="52"/>
      <c r="L7" s="52"/>
    </row>
    <row r="8" spans="1:12" ht="28.15" customHeight="1" thickBot="1" x14ac:dyDescent="0.25">
      <c r="D8"/>
      <c r="E8"/>
      <c r="F8" s="1082" t="str">
        <f>WkB_1_2.1.1!$E$8</f>
        <v>Forecast 
($0's. real June 2023)</v>
      </c>
      <c r="G8" s="1083"/>
      <c r="H8" s="1083"/>
      <c r="I8" s="1083"/>
      <c r="J8" s="1083"/>
      <c r="K8" s="1083"/>
      <c r="L8" s="1084"/>
    </row>
    <row r="9" spans="1:12" ht="18.600000000000001" customHeight="1" thickBot="1" x14ac:dyDescent="0.25">
      <c r="D9" s="899" t="s">
        <v>479</v>
      </c>
      <c r="E9" s="900" t="s">
        <v>480</v>
      </c>
      <c r="F9" s="53" t="str">
        <f>WkB_1_2.1.1!$E$9</f>
        <v>2021-22</v>
      </c>
      <c r="G9" s="54" t="str">
        <f>WkB_1_2.1.1!$F$9</f>
        <v>2022-23</v>
      </c>
      <c r="H9" s="55" t="str">
        <f>WkB_1_2.1.1!$G$9</f>
        <v>2023-24</v>
      </c>
      <c r="I9" s="56" t="str">
        <f>WkB_1_2.1.1!$H$9</f>
        <v>2024-25</v>
      </c>
      <c r="J9" s="56" t="str">
        <f>WkB_1_2.1.1!$I$9</f>
        <v>2025-26</v>
      </c>
      <c r="K9" s="56" t="str">
        <f>WkB_1_2.1.1!$J$9</f>
        <v>2026-27</v>
      </c>
      <c r="L9" s="57" t="str">
        <f>WkB_1_2.1.1!$K$9</f>
        <v>2027-28</v>
      </c>
    </row>
    <row r="10" spans="1:12" ht="15" x14ac:dyDescent="0.25">
      <c r="D10" s="116" t="s">
        <v>668</v>
      </c>
      <c r="E10" s="895" t="s">
        <v>590</v>
      </c>
      <c r="F10" s="59"/>
      <c r="G10" s="60"/>
      <c r="H10" s="63">
        <v>3769251.2146845995</v>
      </c>
      <c r="I10" s="65">
        <v>5104116.2710833848</v>
      </c>
      <c r="J10" s="65">
        <v>6076339.9386985041</v>
      </c>
      <c r="K10" s="65">
        <v>7018373.8419464473</v>
      </c>
      <c r="L10" s="64">
        <v>7983707.0027344106</v>
      </c>
    </row>
    <row r="11" spans="1:12" ht="25.5" x14ac:dyDescent="0.25">
      <c r="D11" s="117" t="s">
        <v>905</v>
      </c>
      <c r="E11" s="896" t="s">
        <v>591</v>
      </c>
      <c r="F11" s="63"/>
      <c r="G11" s="64"/>
      <c r="H11" s="63">
        <v>3722342.2312499997</v>
      </c>
      <c r="I11" s="65">
        <v>3721291.6124999993</v>
      </c>
      <c r="J11" s="65">
        <v>3722342.2312499997</v>
      </c>
      <c r="K11" s="65">
        <v>3721291.6124999993</v>
      </c>
      <c r="L11" s="64">
        <v>3722342.2312499997</v>
      </c>
    </row>
    <row r="12" spans="1:12" ht="15" x14ac:dyDescent="0.25">
      <c r="D12" s="118" t="s">
        <v>906</v>
      </c>
      <c r="E12" s="897" t="s">
        <v>591</v>
      </c>
      <c r="F12" s="63"/>
      <c r="G12" s="64"/>
      <c r="H12" s="63">
        <v>703914.5625</v>
      </c>
      <c r="I12" s="65">
        <v>703914.5625</v>
      </c>
      <c r="J12" s="65">
        <v>703914.5625</v>
      </c>
      <c r="K12" s="65">
        <v>703914.5625</v>
      </c>
      <c r="L12" s="64">
        <v>703914.5625</v>
      </c>
    </row>
    <row r="13" spans="1:12" ht="15" x14ac:dyDescent="0.25">
      <c r="D13" s="118" t="s">
        <v>907</v>
      </c>
      <c r="E13" s="897" t="s">
        <v>591</v>
      </c>
      <c r="F13" s="63"/>
      <c r="G13" s="64"/>
      <c r="H13" s="63">
        <v>756445.49999999988</v>
      </c>
      <c r="I13" s="65">
        <v>283667.0625</v>
      </c>
      <c r="J13" s="65">
        <v>756445.49999999988</v>
      </c>
      <c r="K13" s="65">
        <v>283667.0625</v>
      </c>
      <c r="L13" s="64">
        <v>756445.49999999988</v>
      </c>
    </row>
    <row r="14" spans="1:12" ht="15.75" thickBot="1" x14ac:dyDescent="0.3">
      <c r="D14" s="118" t="s">
        <v>673</v>
      </c>
      <c r="E14" s="897" t="s">
        <v>591</v>
      </c>
      <c r="F14" s="63"/>
      <c r="G14" s="64"/>
      <c r="H14" s="63">
        <v>977075.4375</v>
      </c>
      <c r="I14" s="65">
        <v>977075.4375</v>
      </c>
      <c r="J14" s="65">
        <v>977075.4375</v>
      </c>
      <c r="K14" s="65">
        <v>0</v>
      </c>
      <c r="L14" s="64">
        <v>0</v>
      </c>
    </row>
    <row r="15" spans="1:12" ht="15" hidden="1" outlineLevel="1" x14ac:dyDescent="0.25">
      <c r="D15" s="118"/>
      <c r="E15" s="897"/>
      <c r="F15" s="63"/>
      <c r="G15" s="64"/>
      <c r="H15" s="63"/>
      <c r="I15" s="65"/>
      <c r="J15" s="65"/>
      <c r="K15" s="65"/>
      <c r="L15" s="64"/>
    </row>
    <row r="16" spans="1:12" ht="15" hidden="1" outlineLevel="1" x14ac:dyDescent="0.25">
      <c r="D16" s="118"/>
      <c r="E16" s="897"/>
      <c r="F16" s="63"/>
      <c r="G16" s="64"/>
      <c r="H16" s="63"/>
      <c r="I16" s="65"/>
      <c r="J16" s="65"/>
      <c r="K16" s="65"/>
      <c r="L16" s="64"/>
    </row>
    <row r="17" spans="1:12" ht="15" hidden="1" outlineLevel="1" x14ac:dyDescent="0.25">
      <c r="D17" s="118"/>
      <c r="E17" s="897"/>
      <c r="F17" s="63"/>
      <c r="G17" s="64"/>
      <c r="H17" s="63"/>
      <c r="I17" s="65"/>
      <c r="J17" s="65"/>
      <c r="K17" s="65"/>
      <c r="L17" s="64"/>
    </row>
    <row r="18" spans="1:12" ht="15" hidden="1" outlineLevel="1" x14ac:dyDescent="0.25">
      <c r="D18" s="118"/>
      <c r="E18" s="897"/>
      <c r="F18" s="63"/>
      <c r="G18" s="64"/>
      <c r="H18" s="63"/>
      <c r="I18" s="65"/>
      <c r="J18" s="65"/>
      <c r="K18" s="65"/>
      <c r="L18" s="64"/>
    </row>
    <row r="19" spans="1:12" ht="15" hidden="1" outlineLevel="1" x14ac:dyDescent="0.25">
      <c r="D19" s="119"/>
      <c r="E19" s="898"/>
      <c r="F19" s="63"/>
      <c r="G19" s="64"/>
      <c r="H19" s="63"/>
      <c r="I19" s="65"/>
      <c r="J19" s="65"/>
      <c r="K19" s="65"/>
      <c r="L19" s="64"/>
    </row>
    <row r="20" spans="1:12" ht="15" hidden="1" outlineLevel="1" x14ac:dyDescent="0.25">
      <c r="D20" s="119"/>
      <c r="E20" s="898"/>
      <c r="F20" s="63"/>
      <c r="G20" s="64"/>
      <c r="H20" s="63"/>
      <c r="I20" s="65"/>
      <c r="J20" s="65"/>
      <c r="K20" s="65"/>
      <c r="L20" s="64"/>
    </row>
    <row r="21" spans="1:12" ht="15" hidden="1" outlineLevel="1" x14ac:dyDescent="0.25">
      <c r="D21" s="119"/>
      <c r="E21" s="898"/>
      <c r="F21" s="63"/>
      <c r="G21" s="64"/>
      <c r="H21" s="63"/>
      <c r="I21" s="65"/>
      <c r="J21" s="65"/>
      <c r="K21" s="65"/>
      <c r="L21" s="64"/>
    </row>
    <row r="22" spans="1:12" ht="15" hidden="1" outlineLevel="1" x14ac:dyDescent="0.25">
      <c r="D22" s="119"/>
      <c r="E22" s="898"/>
      <c r="F22" s="63"/>
      <c r="G22" s="64"/>
      <c r="H22" s="63"/>
      <c r="I22" s="65"/>
      <c r="J22" s="65"/>
      <c r="K22" s="65"/>
      <c r="L22" s="64"/>
    </row>
    <row r="23" spans="1:12" ht="15.75" hidden="1" outlineLevel="1" thickBot="1" x14ac:dyDescent="0.3">
      <c r="D23" s="119"/>
      <c r="E23" s="898"/>
      <c r="F23" s="63"/>
      <c r="G23" s="64"/>
      <c r="H23" s="63"/>
      <c r="I23" s="65"/>
      <c r="J23" s="65"/>
      <c r="K23" s="65"/>
      <c r="L23" s="64"/>
    </row>
    <row r="24" spans="1:12" ht="13.5" collapsed="1" thickBot="1" x14ac:dyDescent="0.25">
      <c r="D24" s="66" t="s">
        <v>179</v>
      </c>
      <c r="E24" s="67"/>
      <c r="F24" s="67">
        <f t="shared" ref="F24:G24" si="0">SUM(F10:F23)</f>
        <v>0</v>
      </c>
      <c r="G24" s="67">
        <f t="shared" si="0"/>
        <v>0</v>
      </c>
      <c r="H24" s="67">
        <v>9929028.9459345993</v>
      </c>
      <c r="I24" s="67">
        <v>10790064.946083384</v>
      </c>
      <c r="J24" s="67">
        <v>12236117.669948503</v>
      </c>
      <c r="K24" s="67">
        <v>11727247.079446446</v>
      </c>
      <c r="L24" s="68">
        <v>13166409.296484411</v>
      </c>
    </row>
    <row r="25" spans="1:12" ht="11.25" customHeight="1" x14ac:dyDescent="0.2"/>
    <row r="26" spans="1:12" ht="11.25" customHeight="1" x14ac:dyDescent="0.2">
      <c r="D26" s="6" t="s">
        <v>182</v>
      </c>
      <c r="E26" s="6"/>
      <c r="F26" s="144">
        <f>WkB_1_2.16!H$15</f>
        <v>0</v>
      </c>
      <c r="G26" s="145">
        <f>WkB_1_2.16!I$15</f>
        <v>0</v>
      </c>
      <c r="H26" s="146">
        <f>WkB_1_2.16!J$15</f>
        <v>9929028.9459345993</v>
      </c>
      <c r="I26" s="144">
        <f>WkB_1_2.16!K$15</f>
        <v>10790064.946083384</v>
      </c>
      <c r="J26" s="144">
        <f>WkB_1_2.16!L$15</f>
        <v>12236117.669948502</v>
      </c>
      <c r="K26" s="144">
        <f>WkB_1_2.16!M$15</f>
        <v>11727247.079446446</v>
      </c>
      <c r="L26" s="144">
        <f>WkB_1_2.16!N$15</f>
        <v>13166409.296484411</v>
      </c>
    </row>
    <row r="27" spans="1:12" ht="11.25" customHeight="1" x14ac:dyDescent="0.2">
      <c r="A27" s="42">
        <f>IF(SUM($F27:$L27)&gt;0,1,0)</f>
        <v>0</v>
      </c>
      <c r="D27" s="6" t="s">
        <v>183</v>
      </c>
      <c r="E27" s="6"/>
      <c r="F27" s="70">
        <f>IF(ROUND(F24-F26,3)&lt;&gt;0,1,0)</f>
        <v>0</v>
      </c>
      <c r="G27" s="70">
        <f t="shared" ref="G27:L27" si="1">IF(ROUND(G24-G26,3)&lt;&gt;0,1,0)</f>
        <v>0</v>
      </c>
      <c r="H27" s="70">
        <f t="shared" si="1"/>
        <v>0</v>
      </c>
      <c r="I27" s="70">
        <f t="shared" si="1"/>
        <v>0</v>
      </c>
      <c r="J27" s="70">
        <f t="shared" si="1"/>
        <v>0</v>
      </c>
      <c r="K27" s="70">
        <f t="shared" si="1"/>
        <v>0</v>
      </c>
      <c r="L27" s="70">
        <f t="shared" si="1"/>
        <v>0</v>
      </c>
    </row>
    <row r="28" spans="1:12" ht="11.25" customHeight="1" x14ac:dyDescent="0.2"/>
    <row r="29" spans="1:12" s="47" customFormat="1" ht="15.75" x14ac:dyDescent="0.2">
      <c r="B29" s="47" t="s">
        <v>32</v>
      </c>
    </row>
  </sheetData>
  <mergeCells count="1">
    <mergeCell ref="F8:L8"/>
  </mergeCells>
  <conditionalFormatting sqref="B2">
    <cfRule type="cellIs" dxfId="83" priority="3" operator="notEqual">
      <formula>"No Errors Found"</formula>
    </cfRule>
  </conditionalFormatting>
  <conditionalFormatting sqref="L14:L23">
    <cfRule type="expression" dxfId="82" priority="2">
      <formula>(dms_FRCPlength_Num)&lt;5</formula>
    </cfRule>
  </conditionalFormatting>
  <conditionalFormatting sqref="L10:L13">
    <cfRule type="expression" dxfId="81" priority="1">
      <formula>(dms_FRCPlength_Num)&lt;5</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36.83203125" style="46" customWidth="1"/>
    <col min="5" max="12" width="15.6640625" style="46" customWidth="1"/>
    <col min="13" max="31" width="10.6640625" style="46" customWidth="1"/>
    <col min="32" max="16384" width="9.33203125" style="46"/>
  </cols>
  <sheetData>
    <row r="1" spans="1:11" ht="19.5" x14ac:dyDescent="0.2">
      <c r="A1" s="42">
        <f>IF(SUM($A2:$A55)&gt;0,1,0)</f>
        <v>0</v>
      </c>
      <c r="B1" s="3" t="s">
        <v>336</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2.17.2 - Step Changes For Prescribed Transmission Services - Forecast Capex</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714">
        <f>D36</f>
        <v>0</v>
      </c>
      <c r="E10" s="59">
        <f>F36*Input_CPI!R$23</f>
        <v>0</v>
      </c>
      <c r="F10" s="60">
        <f>G36*Input_CPI!S$23</f>
        <v>0</v>
      </c>
      <c r="G10" s="59">
        <f>H36*Input_CPI!T$23</f>
        <v>0</v>
      </c>
      <c r="H10" s="61">
        <f>I36*Input_CPI!U$23</f>
        <v>0</v>
      </c>
      <c r="I10" s="61">
        <f>J36*Input_CPI!V$23</f>
        <v>0</v>
      </c>
      <c r="J10" s="61">
        <f>K36*Input_CPI!W$23</f>
        <v>0</v>
      </c>
      <c r="K10" s="60">
        <f>L36*Input_CPI!X$23</f>
        <v>0</v>
      </c>
    </row>
    <row r="11" spans="1:11" ht="15" x14ac:dyDescent="0.25">
      <c r="D11" s="721">
        <f t="shared" ref="D11:D24" si="0">D37</f>
        <v>0</v>
      </c>
      <c r="E11" s="63">
        <f>F37*Input_CPI!R$23</f>
        <v>0</v>
      </c>
      <c r="F11" s="64">
        <f>G37*Input_CPI!S$23</f>
        <v>0</v>
      </c>
      <c r="G11" s="63">
        <f>H37*Input_CPI!T$23</f>
        <v>0</v>
      </c>
      <c r="H11" s="65">
        <f>I37*Input_CPI!U$23</f>
        <v>0</v>
      </c>
      <c r="I11" s="65">
        <f>J37*Input_CPI!V$23</f>
        <v>0</v>
      </c>
      <c r="J11" s="65">
        <f>K37*Input_CPI!W$23</f>
        <v>0</v>
      </c>
      <c r="K11" s="64">
        <f>L37*Input_CPI!X$23</f>
        <v>0</v>
      </c>
    </row>
    <row r="12" spans="1:11" ht="15" x14ac:dyDescent="0.25">
      <c r="D12" s="721">
        <f t="shared" si="0"/>
        <v>0</v>
      </c>
      <c r="E12" s="63">
        <f>F38*Input_CPI!R$23</f>
        <v>0</v>
      </c>
      <c r="F12" s="64">
        <f>G38*Input_CPI!S$23</f>
        <v>0</v>
      </c>
      <c r="G12" s="63">
        <f>H38*Input_CPI!T$23</f>
        <v>0</v>
      </c>
      <c r="H12" s="65">
        <f>I38*Input_CPI!U$23</f>
        <v>0</v>
      </c>
      <c r="I12" s="65">
        <f>J38*Input_CPI!V$23</f>
        <v>0</v>
      </c>
      <c r="J12" s="65">
        <f>K38*Input_CPI!W$23</f>
        <v>0</v>
      </c>
      <c r="K12" s="64">
        <f>L38*Input_CPI!X$23</f>
        <v>0</v>
      </c>
    </row>
    <row r="13" spans="1:11" ht="15" x14ac:dyDescent="0.25">
      <c r="D13" s="721">
        <f t="shared" si="0"/>
        <v>0</v>
      </c>
      <c r="E13" s="63">
        <f>F39*Input_CPI!R$23</f>
        <v>0</v>
      </c>
      <c r="F13" s="64">
        <f>G39*Input_CPI!S$23</f>
        <v>0</v>
      </c>
      <c r="G13" s="63">
        <f>H39*Input_CPI!T$23</f>
        <v>0</v>
      </c>
      <c r="H13" s="65">
        <f>I39*Input_CPI!U$23</f>
        <v>0</v>
      </c>
      <c r="I13" s="65">
        <f>J39*Input_CPI!V$23</f>
        <v>0</v>
      </c>
      <c r="J13" s="65">
        <f>K39*Input_CPI!W$23</f>
        <v>0</v>
      </c>
      <c r="K13" s="64">
        <f>L39*Input_CPI!X$23</f>
        <v>0</v>
      </c>
    </row>
    <row r="14" spans="1:11" ht="15" x14ac:dyDescent="0.25">
      <c r="D14" s="721">
        <f t="shared" si="0"/>
        <v>0</v>
      </c>
      <c r="E14" s="63">
        <f>F40*Input_CPI!R$23</f>
        <v>0</v>
      </c>
      <c r="F14" s="64">
        <f>G40*Input_CPI!S$23</f>
        <v>0</v>
      </c>
      <c r="G14" s="63">
        <f>H40*Input_CPI!T$23</f>
        <v>0</v>
      </c>
      <c r="H14" s="65">
        <f>I40*Input_CPI!U$23</f>
        <v>0</v>
      </c>
      <c r="I14" s="65">
        <f>J40*Input_CPI!V$23</f>
        <v>0</v>
      </c>
      <c r="J14" s="65">
        <f>K40*Input_CPI!W$23</f>
        <v>0</v>
      </c>
      <c r="K14" s="64">
        <f>L40*Input_CPI!X$23</f>
        <v>0</v>
      </c>
    </row>
    <row r="15" spans="1:11" ht="15" x14ac:dyDescent="0.25">
      <c r="D15" s="721">
        <f t="shared" si="0"/>
        <v>0</v>
      </c>
      <c r="E15" s="63">
        <f>F41*Input_CPI!R$23</f>
        <v>0</v>
      </c>
      <c r="F15" s="64">
        <f>G41*Input_CPI!S$23</f>
        <v>0</v>
      </c>
      <c r="G15" s="63">
        <f>H41*Input_CPI!T$23</f>
        <v>0</v>
      </c>
      <c r="H15" s="65">
        <f>I41*Input_CPI!U$23</f>
        <v>0</v>
      </c>
      <c r="I15" s="65">
        <f>J41*Input_CPI!V$23</f>
        <v>0</v>
      </c>
      <c r="J15" s="65">
        <f>K41*Input_CPI!W$23</f>
        <v>0</v>
      </c>
      <c r="K15" s="64">
        <f>L41*Input_CPI!X$23</f>
        <v>0</v>
      </c>
    </row>
    <row r="16" spans="1:11" ht="15" x14ac:dyDescent="0.25">
      <c r="D16" s="721">
        <f t="shared" si="0"/>
        <v>0</v>
      </c>
      <c r="E16" s="63">
        <f>F42*Input_CPI!R$23</f>
        <v>0</v>
      </c>
      <c r="F16" s="64">
        <f>G42*Input_CPI!S$23</f>
        <v>0</v>
      </c>
      <c r="G16" s="63">
        <f>H42*Input_CPI!T$23</f>
        <v>0</v>
      </c>
      <c r="H16" s="65">
        <f>I42*Input_CPI!U$23</f>
        <v>0</v>
      </c>
      <c r="I16" s="65">
        <f>J42*Input_CPI!V$23</f>
        <v>0</v>
      </c>
      <c r="J16" s="65">
        <f>K42*Input_CPI!W$23</f>
        <v>0</v>
      </c>
      <c r="K16" s="64">
        <f>L42*Input_CPI!X$23</f>
        <v>0</v>
      </c>
    </row>
    <row r="17" spans="1:12" ht="15" x14ac:dyDescent="0.25">
      <c r="D17" s="721">
        <f t="shared" si="0"/>
        <v>0</v>
      </c>
      <c r="E17" s="63">
        <f>F43*Input_CPI!R$23</f>
        <v>0</v>
      </c>
      <c r="F17" s="64">
        <f>G43*Input_CPI!S$23</f>
        <v>0</v>
      </c>
      <c r="G17" s="63">
        <f>H43*Input_CPI!T$23</f>
        <v>0</v>
      </c>
      <c r="H17" s="65">
        <f>I43*Input_CPI!U$23</f>
        <v>0</v>
      </c>
      <c r="I17" s="65">
        <f>J43*Input_CPI!V$23</f>
        <v>0</v>
      </c>
      <c r="J17" s="65">
        <f>K43*Input_CPI!W$23</f>
        <v>0</v>
      </c>
      <c r="K17" s="64">
        <f>L43*Input_CPI!X$23</f>
        <v>0</v>
      </c>
    </row>
    <row r="18" spans="1:12" ht="15" x14ac:dyDescent="0.25">
      <c r="D18" s="721">
        <f t="shared" si="0"/>
        <v>0</v>
      </c>
      <c r="E18" s="63">
        <f>F44*Input_CPI!R$23</f>
        <v>0</v>
      </c>
      <c r="F18" s="64">
        <f>G44*Input_CPI!S$23</f>
        <v>0</v>
      </c>
      <c r="G18" s="63">
        <f>H44*Input_CPI!T$23</f>
        <v>0</v>
      </c>
      <c r="H18" s="65">
        <f>I44*Input_CPI!U$23</f>
        <v>0</v>
      </c>
      <c r="I18" s="65">
        <f>J44*Input_CPI!V$23</f>
        <v>0</v>
      </c>
      <c r="J18" s="65">
        <f>K44*Input_CPI!W$23</f>
        <v>0</v>
      </c>
      <c r="K18" s="64">
        <f>L44*Input_CPI!X$23</f>
        <v>0</v>
      </c>
    </row>
    <row r="19" spans="1:12" ht="15" x14ac:dyDescent="0.25">
      <c r="D19" s="721">
        <f t="shared" si="0"/>
        <v>0</v>
      </c>
      <c r="E19" s="63">
        <f>F45*Input_CPI!R$23</f>
        <v>0</v>
      </c>
      <c r="F19" s="64">
        <f>G45*Input_CPI!S$23</f>
        <v>0</v>
      </c>
      <c r="G19" s="63">
        <f>H45*Input_CPI!T$23</f>
        <v>0</v>
      </c>
      <c r="H19" s="65">
        <f>I45*Input_CPI!U$23</f>
        <v>0</v>
      </c>
      <c r="I19" s="65">
        <f>J45*Input_CPI!V$23</f>
        <v>0</v>
      </c>
      <c r="J19" s="65">
        <f>K45*Input_CPI!W$23</f>
        <v>0</v>
      </c>
      <c r="K19" s="64">
        <f>L45*Input_CPI!X$23</f>
        <v>0</v>
      </c>
    </row>
    <row r="20" spans="1:12" ht="15" x14ac:dyDescent="0.25">
      <c r="D20" s="721">
        <f t="shared" si="0"/>
        <v>0</v>
      </c>
      <c r="E20" s="63">
        <f>F46*Input_CPI!R$23</f>
        <v>0</v>
      </c>
      <c r="F20" s="64">
        <f>G46*Input_CPI!S$23</f>
        <v>0</v>
      </c>
      <c r="G20" s="63">
        <f>H46*Input_CPI!T$23</f>
        <v>0</v>
      </c>
      <c r="H20" s="65">
        <f>I46*Input_CPI!U$23</f>
        <v>0</v>
      </c>
      <c r="I20" s="65">
        <f>J46*Input_CPI!V$23</f>
        <v>0</v>
      </c>
      <c r="J20" s="65">
        <f>K46*Input_CPI!W$23</f>
        <v>0</v>
      </c>
      <c r="K20" s="64">
        <f>L46*Input_CPI!X$23</f>
        <v>0</v>
      </c>
    </row>
    <row r="21" spans="1:12" ht="15" x14ac:dyDescent="0.25">
      <c r="D21" s="721">
        <f t="shared" si="0"/>
        <v>0</v>
      </c>
      <c r="E21" s="63">
        <f>F47*Input_CPI!R$23</f>
        <v>0</v>
      </c>
      <c r="F21" s="64">
        <f>G47*Input_CPI!S$23</f>
        <v>0</v>
      </c>
      <c r="G21" s="63">
        <f>H47*Input_CPI!T$23</f>
        <v>0</v>
      </c>
      <c r="H21" s="65">
        <f>I47*Input_CPI!U$23</f>
        <v>0</v>
      </c>
      <c r="I21" s="65">
        <f>J47*Input_CPI!V$23</f>
        <v>0</v>
      </c>
      <c r="J21" s="65">
        <f>K47*Input_CPI!W$23</f>
        <v>0</v>
      </c>
      <c r="K21" s="64">
        <f>L47*Input_CPI!X$23</f>
        <v>0</v>
      </c>
    </row>
    <row r="22" spans="1:12" ht="15" x14ac:dyDescent="0.25">
      <c r="D22" s="721">
        <f t="shared" si="0"/>
        <v>0</v>
      </c>
      <c r="E22" s="63">
        <f>F48*Input_CPI!R$23</f>
        <v>0</v>
      </c>
      <c r="F22" s="64">
        <f>G48*Input_CPI!S$23</f>
        <v>0</v>
      </c>
      <c r="G22" s="63">
        <f>H48*Input_CPI!T$23</f>
        <v>0</v>
      </c>
      <c r="H22" s="65">
        <f>I48*Input_CPI!U$23</f>
        <v>0</v>
      </c>
      <c r="I22" s="65">
        <f>J48*Input_CPI!V$23</f>
        <v>0</v>
      </c>
      <c r="J22" s="65">
        <f>K48*Input_CPI!W$23</f>
        <v>0</v>
      </c>
      <c r="K22" s="64">
        <f>L48*Input_CPI!X$23</f>
        <v>0</v>
      </c>
    </row>
    <row r="23" spans="1:12" ht="15" x14ac:dyDescent="0.25">
      <c r="D23" s="721">
        <f t="shared" si="0"/>
        <v>0</v>
      </c>
      <c r="E23" s="63">
        <f>F49*Input_CPI!R$23</f>
        <v>0</v>
      </c>
      <c r="F23" s="64">
        <f>G49*Input_CPI!S$23</f>
        <v>0</v>
      </c>
      <c r="G23" s="63">
        <f>H49*Input_CPI!T$23</f>
        <v>0</v>
      </c>
      <c r="H23" s="65">
        <f>I49*Input_CPI!U$23</f>
        <v>0</v>
      </c>
      <c r="I23" s="65">
        <f>J49*Input_CPI!V$23</f>
        <v>0</v>
      </c>
      <c r="J23" s="65">
        <f>K49*Input_CPI!W$23</f>
        <v>0</v>
      </c>
      <c r="K23" s="64">
        <f>L49*Input_CPI!X$23</f>
        <v>0</v>
      </c>
    </row>
    <row r="24" spans="1:12" ht="15.75" thickBot="1" x14ac:dyDescent="0.3">
      <c r="D24" s="726">
        <f t="shared" si="0"/>
        <v>0</v>
      </c>
      <c r="E24" s="63">
        <f>F50*Input_CPI!R$23</f>
        <v>0</v>
      </c>
      <c r="F24" s="64">
        <f>G50*Input_CPI!S$23</f>
        <v>0</v>
      </c>
      <c r="G24" s="63">
        <f>H50*Input_CPI!T$23</f>
        <v>0</v>
      </c>
      <c r="H24" s="65">
        <f>I50*Input_CPI!U$23</f>
        <v>0</v>
      </c>
      <c r="I24" s="65">
        <f>J50*Input_CPI!V$23</f>
        <v>0</v>
      </c>
      <c r="J24" s="65">
        <f>K50*Input_CPI!W$23</f>
        <v>0</v>
      </c>
      <c r="K24" s="64">
        <f>L50*Input_CPI!X$23</f>
        <v>0</v>
      </c>
    </row>
    <row r="25" spans="1:12" ht="13.5" thickBot="1" x14ac:dyDescent="0.25">
      <c r="D25" s="66" t="s">
        <v>179</v>
      </c>
      <c r="E25" s="67">
        <f t="shared" ref="E25:K25" si="1">SUM(E10:E24)</f>
        <v>0</v>
      </c>
      <c r="F25" s="67">
        <f t="shared" si="1"/>
        <v>0</v>
      </c>
      <c r="G25" s="67">
        <f t="shared" si="1"/>
        <v>0</v>
      </c>
      <c r="H25" s="67">
        <f t="shared" si="1"/>
        <v>0</v>
      </c>
      <c r="I25" s="67">
        <f t="shared" si="1"/>
        <v>0</v>
      </c>
      <c r="J25" s="67">
        <f t="shared" si="1"/>
        <v>0</v>
      </c>
      <c r="K25" s="68">
        <f t="shared" si="1"/>
        <v>0</v>
      </c>
    </row>
    <row r="26" spans="1:12" ht="11.25" customHeight="1" x14ac:dyDescent="0.2"/>
    <row r="27" spans="1:12" ht="11.25" customHeight="1" x14ac:dyDescent="0.2">
      <c r="D27" s="6" t="s">
        <v>182</v>
      </c>
      <c r="E27" s="69">
        <v>0</v>
      </c>
      <c r="F27" s="71">
        <v>0</v>
      </c>
      <c r="G27" s="72">
        <v>0</v>
      </c>
      <c r="H27" s="69">
        <v>0</v>
      </c>
      <c r="I27" s="69">
        <v>0</v>
      </c>
      <c r="J27" s="69">
        <v>0</v>
      </c>
      <c r="K27" s="69">
        <v>0</v>
      </c>
    </row>
    <row r="28" spans="1:12" ht="11.25" customHeight="1" x14ac:dyDescent="0.2">
      <c r="A28" s="42">
        <f>IF(SUM($E28:$K28)&gt;0,1,0)</f>
        <v>0</v>
      </c>
      <c r="D28" s="6" t="s">
        <v>183</v>
      </c>
      <c r="E28" s="70">
        <f>IF(ROUND(E25-E27,3)&lt;&gt;0,1,0)</f>
        <v>0</v>
      </c>
      <c r="F28" s="70">
        <f t="shared" ref="F28:K28" si="2">IF(ROUND(F25-F27,3)&lt;&gt;0,1,0)</f>
        <v>0</v>
      </c>
      <c r="G28" s="70">
        <f t="shared" si="2"/>
        <v>0</v>
      </c>
      <c r="H28" s="70">
        <f t="shared" si="2"/>
        <v>0</v>
      </c>
      <c r="I28" s="70">
        <f t="shared" si="2"/>
        <v>0</v>
      </c>
      <c r="J28" s="70">
        <f t="shared" si="2"/>
        <v>0</v>
      </c>
      <c r="K28" s="70">
        <f t="shared" si="2"/>
        <v>0</v>
      </c>
    </row>
    <row r="29" spans="1:12" ht="11.25" customHeight="1" x14ac:dyDescent="0.2"/>
    <row r="30" spans="1:12" s="7" customFormat="1" ht="15" x14ac:dyDescent="0.2">
      <c r="C30" s="7" t="s">
        <v>477</v>
      </c>
    </row>
    <row r="31" spans="1:12" ht="11.25" customHeight="1" x14ac:dyDescent="0.2"/>
    <row r="32" spans="1:12" ht="18.75" thickBot="1" x14ac:dyDescent="0.25">
      <c r="D32" s="707" t="s">
        <v>478</v>
      </c>
      <c r="E32" s="707"/>
      <c r="F32" s="707"/>
      <c r="G32" s="707"/>
      <c r="H32" s="707"/>
      <c r="I32" s="707"/>
      <c r="J32" s="707"/>
      <c r="K32" s="707"/>
      <c r="L32" s="707"/>
    </row>
    <row r="33" spans="4:12" ht="15" x14ac:dyDescent="0.2">
      <c r="D33"/>
      <c r="E33"/>
      <c r="F33" s="1238" t="s">
        <v>361</v>
      </c>
      <c r="G33" s="1239"/>
      <c r="H33" s="1239"/>
      <c r="I33" s="1239"/>
      <c r="J33" s="1239"/>
      <c r="K33" s="1239"/>
      <c r="L33" s="1240"/>
    </row>
    <row r="34" spans="4:12" ht="13.5" thickBot="1" x14ac:dyDescent="0.25">
      <c r="D34" s="289"/>
      <c r="E34" s="289"/>
      <c r="F34" s="1241" t="s">
        <v>359</v>
      </c>
      <c r="G34" s="1242"/>
      <c r="H34" s="1242"/>
      <c r="I34" s="1242"/>
      <c r="J34" s="1242"/>
      <c r="K34" s="1242"/>
      <c r="L34" s="1243"/>
    </row>
    <row r="35" spans="4:12" ht="15.75" thickBot="1" x14ac:dyDescent="0.25">
      <c r="D35" s="708" t="s">
        <v>479</v>
      </c>
      <c r="E35" s="709" t="s">
        <v>480</v>
      </c>
      <c r="F35" s="710" t="s">
        <v>167</v>
      </c>
      <c r="G35" s="711" t="s">
        <v>168</v>
      </c>
      <c r="H35" s="712" t="s">
        <v>169</v>
      </c>
      <c r="I35" s="712" t="s">
        <v>170</v>
      </c>
      <c r="J35" s="712" t="s">
        <v>171</v>
      </c>
      <c r="K35" s="712" t="s">
        <v>172</v>
      </c>
      <c r="L35" s="713" t="s">
        <v>181</v>
      </c>
    </row>
    <row r="36" spans="4:12" ht="12.75" x14ac:dyDescent="0.2">
      <c r="D36" s="714">
        <v>0</v>
      </c>
      <c r="E36" s="715">
        <v>0</v>
      </c>
      <c r="F36" s="716">
        <v>0</v>
      </c>
      <c r="G36" s="717">
        <v>0</v>
      </c>
      <c r="H36" s="718">
        <v>0</v>
      </c>
      <c r="I36" s="719">
        <v>0</v>
      </c>
      <c r="J36" s="719">
        <v>0</v>
      </c>
      <c r="K36" s="719">
        <v>0</v>
      </c>
      <c r="L36" s="720">
        <v>0</v>
      </c>
    </row>
    <row r="37" spans="4:12" ht="12.75" x14ac:dyDescent="0.2">
      <c r="D37" s="721">
        <v>0</v>
      </c>
      <c r="E37" s="722">
        <v>0</v>
      </c>
      <c r="F37" s="723">
        <v>0</v>
      </c>
      <c r="G37" s="724">
        <v>0</v>
      </c>
      <c r="H37" s="725">
        <v>0</v>
      </c>
      <c r="I37" s="723">
        <v>0</v>
      </c>
      <c r="J37" s="723">
        <v>0</v>
      </c>
      <c r="K37" s="723">
        <v>0</v>
      </c>
      <c r="L37" s="724">
        <v>0</v>
      </c>
    </row>
    <row r="38" spans="4:12" ht="12.75" x14ac:dyDescent="0.2">
      <c r="D38" s="721">
        <v>0</v>
      </c>
      <c r="E38" s="722">
        <v>0</v>
      </c>
      <c r="F38" s="723">
        <v>0</v>
      </c>
      <c r="G38" s="724">
        <v>0</v>
      </c>
      <c r="H38" s="725">
        <v>0</v>
      </c>
      <c r="I38" s="723">
        <v>0</v>
      </c>
      <c r="J38" s="723">
        <v>0</v>
      </c>
      <c r="K38" s="723">
        <v>0</v>
      </c>
      <c r="L38" s="724">
        <v>0</v>
      </c>
    </row>
    <row r="39" spans="4:12" ht="12.75" x14ac:dyDescent="0.2">
      <c r="D39" s="721">
        <v>0</v>
      </c>
      <c r="E39" s="722">
        <v>0</v>
      </c>
      <c r="F39" s="723">
        <v>0</v>
      </c>
      <c r="G39" s="724">
        <v>0</v>
      </c>
      <c r="H39" s="725">
        <v>0</v>
      </c>
      <c r="I39" s="723">
        <v>0</v>
      </c>
      <c r="J39" s="723">
        <v>0</v>
      </c>
      <c r="K39" s="723">
        <v>0</v>
      </c>
      <c r="L39" s="724">
        <v>0</v>
      </c>
    </row>
    <row r="40" spans="4:12" ht="12.75" x14ac:dyDescent="0.2">
      <c r="D40" s="721">
        <v>0</v>
      </c>
      <c r="E40" s="722">
        <v>0</v>
      </c>
      <c r="F40" s="723">
        <v>0</v>
      </c>
      <c r="G40" s="724">
        <v>0</v>
      </c>
      <c r="H40" s="725">
        <v>0</v>
      </c>
      <c r="I40" s="723">
        <v>0</v>
      </c>
      <c r="J40" s="723">
        <v>0</v>
      </c>
      <c r="K40" s="723">
        <v>0</v>
      </c>
      <c r="L40" s="724">
        <v>0</v>
      </c>
    </row>
    <row r="41" spans="4:12" ht="12.75" x14ac:dyDescent="0.2">
      <c r="D41" s="721">
        <v>0</v>
      </c>
      <c r="E41" s="722">
        <v>0</v>
      </c>
      <c r="F41" s="723">
        <v>0</v>
      </c>
      <c r="G41" s="724">
        <v>0</v>
      </c>
      <c r="H41" s="725">
        <v>0</v>
      </c>
      <c r="I41" s="723">
        <v>0</v>
      </c>
      <c r="J41" s="723">
        <v>0</v>
      </c>
      <c r="K41" s="723">
        <v>0</v>
      </c>
      <c r="L41" s="724">
        <v>0</v>
      </c>
    </row>
    <row r="42" spans="4:12" ht="12.75" x14ac:dyDescent="0.2">
      <c r="D42" s="721">
        <v>0</v>
      </c>
      <c r="E42" s="722">
        <v>0</v>
      </c>
      <c r="F42" s="723">
        <v>0</v>
      </c>
      <c r="G42" s="724">
        <v>0</v>
      </c>
      <c r="H42" s="725">
        <v>0</v>
      </c>
      <c r="I42" s="723">
        <v>0</v>
      </c>
      <c r="J42" s="723">
        <v>0</v>
      </c>
      <c r="K42" s="723">
        <v>0</v>
      </c>
      <c r="L42" s="724">
        <v>0</v>
      </c>
    </row>
    <row r="43" spans="4:12" ht="12.75" x14ac:dyDescent="0.2">
      <c r="D43" s="721">
        <v>0</v>
      </c>
      <c r="E43" s="722">
        <v>0</v>
      </c>
      <c r="F43" s="723">
        <v>0</v>
      </c>
      <c r="G43" s="724">
        <v>0</v>
      </c>
      <c r="H43" s="725">
        <v>0</v>
      </c>
      <c r="I43" s="723">
        <v>0</v>
      </c>
      <c r="J43" s="723">
        <v>0</v>
      </c>
      <c r="K43" s="723">
        <v>0</v>
      </c>
      <c r="L43" s="724">
        <v>0</v>
      </c>
    </row>
    <row r="44" spans="4:12" ht="12.75" x14ac:dyDescent="0.2">
      <c r="D44" s="721">
        <v>0</v>
      </c>
      <c r="E44" s="722">
        <v>0</v>
      </c>
      <c r="F44" s="723">
        <v>0</v>
      </c>
      <c r="G44" s="724">
        <v>0</v>
      </c>
      <c r="H44" s="725">
        <v>0</v>
      </c>
      <c r="I44" s="723">
        <v>0</v>
      </c>
      <c r="J44" s="723">
        <v>0</v>
      </c>
      <c r="K44" s="723">
        <v>0</v>
      </c>
      <c r="L44" s="724">
        <v>0</v>
      </c>
    </row>
    <row r="45" spans="4:12" ht="12.75" x14ac:dyDescent="0.2">
      <c r="D45" s="721">
        <v>0</v>
      </c>
      <c r="E45" s="722">
        <v>0</v>
      </c>
      <c r="F45" s="723">
        <v>0</v>
      </c>
      <c r="G45" s="724">
        <v>0</v>
      </c>
      <c r="H45" s="725">
        <v>0</v>
      </c>
      <c r="I45" s="723">
        <v>0</v>
      </c>
      <c r="J45" s="723">
        <v>0</v>
      </c>
      <c r="K45" s="723">
        <v>0</v>
      </c>
      <c r="L45" s="724">
        <v>0</v>
      </c>
    </row>
    <row r="46" spans="4:12" ht="12.75" x14ac:dyDescent="0.2">
      <c r="D46" s="721">
        <v>0</v>
      </c>
      <c r="E46" s="722">
        <v>0</v>
      </c>
      <c r="F46" s="723">
        <v>0</v>
      </c>
      <c r="G46" s="724">
        <v>0</v>
      </c>
      <c r="H46" s="725">
        <v>0</v>
      </c>
      <c r="I46" s="723">
        <v>0</v>
      </c>
      <c r="J46" s="723">
        <v>0</v>
      </c>
      <c r="K46" s="723">
        <v>0</v>
      </c>
      <c r="L46" s="724">
        <v>0</v>
      </c>
    </row>
    <row r="47" spans="4:12" ht="12.75" x14ac:dyDescent="0.2">
      <c r="D47" s="721">
        <v>0</v>
      </c>
      <c r="E47" s="722">
        <v>0</v>
      </c>
      <c r="F47" s="723">
        <v>0</v>
      </c>
      <c r="G47" s="724">
        <v>0</v>
      </c>
      <c r="H47" s="725">
        <v>0</v>
      </c>
      <c r="I47" s="723">
        <v>0</v>
      </c>
      <c r="J47" s="723">
        <v>0</v>
      </c>
      <c r="K47" s="723">
        <v>0</v>
      </c>
      <c r="L47" s="724">
        <v>0</v>
      </c>
    </row>
    <row r="48" spans="4:12" ht="12.75" x14ac:dyDescent="0.2">
      <c r="D48" s="721">
        <v>0</v>
      </c>
      <c r="E48" s="722">
        <v>0</v>
      </c>
      <c r="F48" s="723">
        <v>0</v>
      </c>
      <c r="G48" s="724">
        <v>0</v>
      </c>
      <c r="H48" s="725">
        <v>0</v>
      </c>
      <c r="I48" s="723">
        <v>0</v>
      </c>
      <c r="J48" s="723">
        <v>0</v>
      </c>
      <c r="K48" s="723">
        <v>0</v>
      </c>
      <c r="L48" s="724">
        <v>0</v>
      </c>
    </row>
    <row r="49" spans="1:12" ht="12.75" x14ac:dyDescent="0.2">
      <c r="D49" s="721">
        <v>0</v>
      </c>
      <c r="E49" s="722">
        <v>0</v>
      </c>
      <c r="F49" s="723">
        <v>0</v>
      </c>
      <c r="G49" s="724">
        <v>0</v>
      </c>
      <c r="H49" s="725">
        <v>0</v>
      </c>
      <c r="I49" s="723">
        <v>0</v>
      </c>
      <c r="J49" s="723">
        <v>0</v>
      </c>
      <c r="K49" s="723">
        <v>0</v>
      </c>
      <c r="L49" s="724">
        <v>0</v>
      </c>
    </row>
    <row r="50" spans="1:12" ht="13.5" thickBot="1" x14ac:dyDescent="0.25">
      <c r="D50" s="726">
        <v>0</v>
      </c>
      <c r="E50" s="727">
        <v>0</v>
      </c>
      <c r="F50" s="728">
        <v>0</v>
      </c>
      <c r="G50" s="729">
        <v>0</v>
      </c>
      <c r="H50" s="730">
        <v>0</v>
      </c>
      <c r="I50" s="728">
        <v>0</v>
      </c>
      <c r="J50" s="728">
        <v>0</v>
      </c>
      <c r="K50" s="728">
        <v>0</v>
      </c>
      <c r="L50" s="729">
        <v>0</v>
      </c>
    </row>
    <row r="51" spans="1:12" ht="13.5" thickBot="1" x14ac:dyDescent="0.25">
      <c r="D51" s="1244" t="s">
        <v>179</v>
      </c>
      <c r="E51" s="1245"/>
      <c r="F51" s="411">
        <f t="shared" ref="F51:L51" si="3">SUM(F36:F50)</f>
        <v>0</v>
      </c>
      <c r="G51" s="411">
        <f t="shared" si="3"/>
        <v>0</v>
      </c>
      <c r="H51" s="411">
        <f t="shared" si="3"/>
        <v>0</v>
      </c>
      <c r="I51" s="411">
        <f t="shared" si="3"/>
        <v>0</v>
      </c>
      <c r="J51" s="411">
        <f t="shared" si="3"/>
        <v>0</v>
      </c>
      <c r="K51" s="411">
        <f t="shared" si="3"/>
        <v>0</v>
      </c>
      <c r="L51" s="412">
        <f t="shared" si="3"/>
        <v>0</v>
      </c>
    </row>
    <row r="52" spans="1:12" ht="11.25" customHeight="1" x14ac:dyDescent="0.2"/>
    <row r="53" spans="1:12" ht="11.25" customHeight="1" x14ac:dyDescent="0.2">
      <c r="A53" s="42">
        <f>IF(SUM($F53:$L53)&gt;0,1,0)</f>
        <v>0</v>
      </c>
      <c r="D53" s="6" t="s">
        <v>183</v>
      </c>
      <c r="F53" s="739">
        <v>0</v>
      </c>
      <c r="G53" s="739">
        <v>0</v>
      </c>
      <c r="H53" s="739">
        <v>0</v>
      </c>
      <c r="I53" s="739">
        <v>0</v>
      </c>
      <c r="J53" s="739">
        <v>0</v>
      </c>
      <c r="K53" s="739">
        <v>0</v>
      </c>
      <c r="L53" s="739">
        <v>0</v>
      </c>
    </row>
    <row r="55" spans="1:12" s="47" customFormat="1" ht="15.75" x14ac:dyDescent="0.2">
      <c r="B55" s="47" t="s">
        <v>32</v>
      </c>
    </row>
  </sheetData>
  <mergeCells count="4">
    <mergeCell ref="E8:K8"/>
    <mergeCell ref="F33:L33"/>
    <mergeCell ref="F34:L34"/>
    <mergeCell ref="D51:E51"/>
  </mergeCells>
  <conditionalFormatting sqref="B2">
    <cfRule type="cellIs" dxfId="80" priority="3" operator="notEqual">
      <formula>"No Errors Found"</formula>
    </cfRule>
  </conditionalFormatting>
  <conditionalFormatting sqref="K10:K24">
    <cfRule type="expression" dxfId="79" priority="2">
      <formula>(dms_FRCPlength_Num)&lt;5</formula>
    </cfRule>
  </conditionalFormatting>
  <conditionalFormatting sqref="L36:L50">
    <cfRule type="expression" dxfId="78" priority="1">
      <formula>(dms_FRCPlength_Num)&lt;5</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5"/>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outlineLevelRow="1" x14ac:dyDescent="0.2"/>
  <cols>
    <col min="1" max="3" width="3.6640625" style="46" customWidth="1"/>
    <col min="4" max="4" width="36.83203125" style="46" customWidth="1"/>
    <col min="5" max="11" width="15.6640625" style="46" customWidth="1"/>
    <col min="12" max="31" width="10.6640625" style="46" customWidth="1"/>
    <col min="32" max="16384" width="9.33203125" style="46"/>
  </cols>
  <sheetData>
    <row r="1" spans="1:11" ht="19.5" x14ac:dyDescent="0.2">
      <c r="A1" s="42">
        <f>IF(SUM($A2:$A25)&gt;0,1,0)</f>
        <v>0</v>
      </c>
      <c r="B1" s="3" t="s">
        <v>337</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2.17.5 - Category Specific Opex For Prescribed Transmission Services</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116" t="s">
        <v>908</v>
      </c>
      <c r="E10" s="59">
        <v>1554696.0351524507</v>
      </c>
      <c r="F10" s="60">
        <v>0</v>
      </c>
      <c r="G10" s="59">
        <v>0</v>
      </c>
      <c r="H10" s="61">
        <v>0</v>
      </c>
      <c r="I10" s="61">
        <v>0</v>
      </c>
      <c r="J10" s="61">
        <v>0</v>
      </c>
      <c r="K10" s="60">
        <v>0</v>
      </c>
    </row>
    <row r="11" spans="1:11" ht="15.75" thickBot="1" x14ac:dyDescent="0.3">
      <c r="D11" s="117" t="s">
        <v>909</v>
      </c>
      <c r="E11" s="63">
        <v>0</v>
      </c>
      <c r="F11" s="64">
        <v>0</v>
      </c>
      <c r="G11" s="63">
        <v>0</v>
      </c>
      <c r="H11" s="65">
        <v>0</v>
      </c>
      <c r="I11" s="65">
        <v>0</v>
      </c>
      <c r="J11" s="65">
        <v>0</v>
      </c>
      <c r="K11" s="64">
        <v>0</v>
      </c>
    </row>
    <row r="12" spans="1:11" ht="15" hidden="1" outlineLevel="1" x14ac:dyDescent="0.25">
      <c r="D12" s="118"/>
      <c r="E12" s="63"/>
      <c r="F12" s="64"/>
      <c r="G12" s="63"/>
      <c r="H12" s="65"/>
      <c r="I12" s="65"/>
      <c r="J12" s="65"/>
      <c r="K12" s="64"/>
    </row>
    <row r="13" spans="1:11" ht="15" hidden="1" outlineLevel="1" x14ac:dyDescent="0.25">
      <c r="D13" s="118"/>
      <c r="E13" s="63"/>
      <c r="F13" s="64"/>
      <c r="G13" s="63"/>
      <c r="H13" s="65"/>
      <c r="I13" s="65"/>
      <c r="J13" s="65"/>
      <c r="K13" s="64"/>
    </row>
    <row r="14" spans="1:11" ht="15" hidden="1" outlineLevel="1" x14ac:dyDescent="0.25">
      <c r="D14" s="118"/>
      <c r="E14" s="63"/>
      <c r="F14" s="64"/>
      <c r="G14" s="63"/>
      <c r="H14" s="65"/>
      <c r="I14" s="65"/>
      <c r="J14" s="65"/>
      <c r="K14" s="64"/>
    </row>
    <row r="15" spans="1:11" ht="15" hidden="1" outlineLevel="1" x14ac:dyDescent="0.25">
      <c r="D15" s="118"/>
      <c r="E15" s="63"/>
      <c r="F15" s="64"/>
      <c r="G15" s="63"/>
      <c r="H15" s="65"/>
      <c r="I15" s="65"/>
      <c r="J15" s="65"/>
      <c r="K15" s="64"/>
    </row>
    <row r="16" spans="1:11" ht="15" hidden="1" outlineLevel="1" x14ac:dyDescent="0.25">
      <c r="D16" s="118"/>
      <c r="E16" s="63"/>
      <c r="F16" s="64"/>
      <c r="G16" s="63"/>
      <c r="H16" s="65"/>
      <c r="I16" s="65"/>
      <c r="J16" s="65"/>
      <c r="K16" s="64"/>
    </row>
    <row r="17" spans="1:11" ht="15" hidden="1" outlineLevel="1" x14ac:dyDescent="0.25">
      <c r="D17" s="118"/>
      <c r="E17" s="63"/>
      <c r="F17" s="64"/>
      <c r="G17" s="63"/>
      <c r="H17" s="65"/>
      <c r="I17" s="65"/>
      <c r="J17" s="65"/>
      <c r="K17" s="64"/>
    </row>
    <row r="18" spans="1:11" ht="15" hidden="1" outlineLevel="1" x14ac:dyDescent="0.25">
      <c r="D18" s="118"/>
      <c r="E18" s="63"/>
      <c r="F18" s="64"/>
      <c r="G18" s="63"/>
      <c r="H18" s="65"/>
      <c r="I18" s="65"/>
      <c r="J18" s="65"/>
      <c r="K18" s="64"/>
    </row>
    <row r="19" spans="1:11" ht="15.75" hidden="1" outlineLevel="1" thickBot="1" x14ac:dyDescent="0.3">
      <c r="D19" s="119"/>
      <c r="E19" s="63"/>
      <c r="F19" s="64"/>
      <c r="G19" s="63"/>
      <c r="H19" s="65"/>
      <c r="I19" s="65"/>
      <c r="J19" s="65"/>
      <c r="K19" s="64"/>
    </row>
    <row r="20" spans="1:11" ht="13.5" collapsed="1" thickBot="1" x14ac:dyDescent="0.25">
      <c r="D20" s="66" t="s">
        <v>179</v>
      </c>
      <c r="E20" s="67">
        <f t="shared" ref="E20:K20" si="0">SUM(E10:E19)</f>
        <v>1554696.0351524507</v>
      </c>
      <c r="F20" s="67">
        <f t="shared" si="0"/>
        <v>0</v>
      </c>
      <c r="G20" s="67">
        <f t="shared" si="0"/>
        <v>0</v>
      </c>
      <c r="H20" s="67">
        <f t="shared" si="0"/>
        <v>0</v>
      </c>
      <c r="I20" s="67">
        <f t="shared" si="0"/>
        <v>0</v>
      </c>
      <c r="J20" s="67">
        <f t="shared" si="0"/>
        <v>0</v>
      </c>
      <c r="K20" s="68">
        <f t="shared" si="0"/>
        <v>0</v>
      </c>
    </row>
    <row r="21" spans="1:11" ht="11.25" customHeight="1" x14ac:dyDescent="0.2"/>
    <row r="22" spans="1:11" ht="11.25" customHeight="1" x14ac:dyDescent="0.2">
      <c r="D22" s="6" t="s">
        <v>182</v>
      </c>
      <c r="E22" s="144">
        <f>WkB_1_2.16!H$16</f>
        <v>1554696.0351524507</v>
      </c>
      <c r="F22" s="145">
        <f>WkB_1_2.16!I$16</f>
        <v>0</v>
      </c>
      <c r="G22" s="146">
        <f>WkB_1_2.16!J$16</f>
        <v>0</v>
      </c>
      <c r="H22" s="144">
        <f>WkB_1_2.16!K$16</f>
        <v>0</v>
      </c>
      <c r="I22" s="144">
        <f>WkB_1_2.16!L$16</f>
        <v>0</v>
      </c>
      <c r="J22" s="144">
        <f>WkB_1_2.16!M$16</f>
        <v>0</v>
      </c>
      <c r="K22" s="144">
        <f>WkB_1_2.16!N$16</f>
        <v>0</v>
      </c>
    </row>
    <row r="23" spans="1:11" ht="11.25" customHeight="1" x14ac:dyDescent="0.2">
      <c r="A23" s="42">
        <f>IF(SUM($E23:$K23)&gt;0,1,0)</f>
        <v>0</v>
      </c>
      <c r="D23" s="6" t="s">
        <v>183</v>
      </c>
      <c r="E23" s="70">
        <f>IF(ROUND(E20-E22,3)&lt;&gt;0,1,0)</f>
        <v>0</v>
      </c>
      <c r="F23" s="70">
        <f t="shared" ref="F23:K23" si="1">IF(ROUND(F20-F22,3)&lt;&gt;0,1,0)</f>
        <v>0</v>
      </c>
      <c r="G23" s="70">
        <f t="shared" si="1"/>
        <v>0</v>
      </c>
      <c r="H23" s="70">
        <f t="shared" si="1"/>
        <v>0</v>
      </c>
      <c r="I23" s="70">
        <f t="shared" si="1"/>
        <v>0</v>
      </c>
      <c r="J23" s="70">
        <f t="shared" si="1"/>
        <v>0</v>
      </c>
      <c r="K23" s="70">
        <f t="shared" si="1"/>
        <v>0</v>
      </c>
    </row>
    <row r="24" spans="1:11" ht="11.25" customHeight="1" x14ac:dyDescent="0.2"/>
    <row r="25" spans="1:11" s="47" customFormat="1" ht="15.75" x14ac:dyDescent="0.2">
      <c r="B25" s="47" t="s">
        <v>32</v>
      </c>
    </row>
  </sheetData>
  <mergeCells count="1">
    <mergeCell ref="E8:K8"/>
  </mergeCells>
  <conditionalFormatting sqref="B2">
    <cfRule type="cellIs" dxfId="77" priority="2" operator="notEqual">
      <formula>"No Errors Found"</formula>
    </cfRule>
  </conditionalFormatting>
  <conditionalFormatting sqref="K10:K19">
    <cfRule type="expression" dxfId="76" priority="1">
      <formula>(dms_FRCPlength_Num)&lt;5</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showGridLines="0" zoomScaleNormal="100" workbookViewId="0">
      <pane xSplit="1" ySplit="2" topLeftCell="B12"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11" width="17.6640625" style="46" customWidth="1"/>
    <col min="12" max="31" width="10.6640625" style="46" customWidth="1"/>
    <col min="32" max="16384" width="9.33203125" style="46"/>
  </cols>
  <sheetData>
    <row r="1" spans="1:11" ht="19.5" x14ac:dyDescent="0.2">
      <c r="A1" s="42">
        <f>IF(SUM($A2:$A41)&gt;0,1,0)</f>
        <v>0</v>
      </c>
      <c r="B1" s="3" t="s">
        <v>338</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3.1.1 - Revenue Grouping By Chargeable Quantity</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120" t="s">
        <v>201</v>
      </c>
      <c r="E10" s="59">
        <f t="shared" ref="E10:K19" si="0">E$22*$I29</f>
        <v>64555025.163270459</v>
      </c>
      <c r="F10" s="60">
        <f t="shared" si="0"/>
        <v>71092919.208126068</v>
      </c>
      <c r="G10" s="59">
        <f t="shared" si="0"/>
        <v>59988303.233946465</v>
      </c>
      <c r="H10" s="61">
        <f t="shared" si="0"/>
        <v>59988303.23394645</v>
      </c>
      <c r="I10" s="61">
        <f t="shared" si="0"/>
        <v>59988303.23394645</v>
      </c>
      <c r="J10" s="61">
        <f t="shared" si="0"/>
        <v>59988303.233946443</v>
      </c>
      <c r="K10" s="60">
        <f t="shared" si="0"/>
        <v>61913927.767756134</v>
      </c>
    </row>
    <row r="11" spans="1:11" ht="15" x14ac:dyDescent="0.25">
      <c r="D11" s="121" t="s">
        <v>202</v>
      </c>
      <c r="E11" s="63">
        <f t="shared" si="0"/>
        <v>0</v>
      </c>
      <c r="F11" s="64">
        <f t="shared" si="0"/>
        <v>0</v>
      </c>
      <c r="G11" s="63">
        <f t="shared" si="0"/>
        <v>0</v>
      </c>
      <c r="H11" s="65">
        <f t="shared" si="0"/>
        <v>0</v>
      </c>
      <c r="I11" s="65">
        <f t="shared" si="0"/>
        <v>0</v>
      </c>
      <c r="J11" s="65">
        <f t="shared" si="0"/>
        <v>0</v>
      </c>
      <c r="K11" s="64">
        <f t="shared" si="0"/>
        <v>0</v>
      </c>
    </row>
    <row r="12" spans="1:11" ht="15" x14ac:dyDescent="0.25">
      <c r="D12" s="121" t="s">
        <v>203</v>
      </c>
      <c r="E12" s="63">
        <f t="shared" si="0"/>
        <v>10611372.156292077</v>
      </c>
      <c r="F12" s="64">
        <f t="shared" si="0"/>
        <v>11686052.657971149</v>
      </c>
      <c r="G12" s="63">
        <f t="shared" si="0"/>
        <v>9860707.3427660074</v>
      </c>
      <c r="H12" s="65">
        <f t="shared" si="0"/>
        <v>9860707.3427660074</v>
      </c>
      <c r="I12" s="65">
        <f t="shared" si="0"/>
        <v>9860707.3427660074</v>
      </c>
      <c r="J12" s="65">
        <f t="shared" si="0"/>
        <v>9860707.3427660055</v>
      </c>
      <c r="K12" s="64">
        <f t="shared" si="0"/>
        <v>10177236.048468795</v>
      </c>
    </row>
    <row r="13" spans="1:11" ht="15" x14ac:dyDescent="0.25">
      <c r="D13" s="121" t="s">
        <v>204</v>
      </c>
      <c r="E13" s="63">
        <f t="shared" si="0"/>
        <v>0</v>
      </c>
      <c r="F13" s="64">
        <f t="shared" si="0"/>
        <v>0</v>
      </c>
      <c r="G13" s="63">
        <f t="shared" si="0"/>
        <v>0</v>
      </c>
      <c r="H13" s="65">
        <f t="shared" si="0"/>
        <v>0</v>
      </c>
      <c r="I13" s="65">
        <f t="shared" si="0"/>
        <v>0</v>
      </c>
      <c r="J13" s="65">
        <f t="shared" si="0"/>
        <v>0</v>
      </c>
      <c r="K13" s="64">
        <f t="shared" si="0"/>
        <v>0</v>
      </c>
    </row>
    <row r="14" spans="1:11" ht="15" x14ac:dyDescent="0.25">
      <c r="D14" s="121" t="s">
        <v>205</v>
      </c>
      <c r="E14" s="960" t="s">
        <v>701</v>
      </c>
      <c r="F14" s="959" t="s">
        <v>701</v>
      </c>
      <c r="G14" s="960" t="s">
        <v>701</v>
      </c>
      <c r="H14" s="961" t="s">
        <v>701</v>
      </c>
      <c r="I14" s="961" t="s">
        <v>701</v>
      </c>
      <c r="J14" s="961" t="s">
        <v>701</v>
      </c>
      <c r="K14" s="959" t="s">
        <v>701</v>
      </c>
    </row>
    <row r="15" spans="1:11" ht="15" x14ac:dyDescent="0.25">
      <c r="D15" s="121" t="s">
        <v>206</v>
      </c>
      <c r="E15" s="960" t="s">
        <v>701</v>
      </c>
      <c r="F15" s="959" t="s">
        <v>701</v>
      </c>
      <c r="G15" s="960" t="s">
        <v>701</v>
      </c>
      <c r="H15" s="961" t="s">
        <v>701</v>
      </c>
      <c r="I15" s="961" t="s">
        <v>701</v>
      </c>
      <c r="J15" s="961" t="s">
        <v>701</v>
      </c>
      <c r="K15" s="959" t="s">
        <v>701</v>
      </c>
    </row>
    <row r="16" spans="1:11" ht="15" x14ac:dyDescent="0.25">
      <c r="D16" s="121" t="s">
        <v>207</v>
      </c>
      <c r="E16" s="63">
        <f t="shared" si="0"/>
        <v>0</v>
      </c>
      <c r="F16" s="64">
        <f t="shared" si="0"/>
        <v>0</v>
      </c>
      <c r="G16" s="63">
        <f t="shared" si="0"/>
        <v>0</v>
      </c>
      <c r="H16" s="65">
        <f t="shared" si="0"/>
        <v>0</v>
      </c>
      <c r="I16" s="65">
        <f t="shared" si="0"/>
        <v>0</v>
      </c>
      <c r="J16" s="65">
        <f t="shared" si="0"/>
        <v>0</v>
      </c>
      <c r="K16" s="64">
        <f t="shared" si="0"/>
        <v>0</v>
      </c>
    </row>
    <row r="17" spans="1:11" ht="15" x14ac:dyDescent="0.25">
      <c r="D17" s="121" t="s">
        <v>208</v>
      </c>
      <c r="E17" s="63">
        <f t="shared" si="0"/>
        <v>248280107.1100111</v>
      </c>
      <c r="F17" s="64">
        <f t="shared" si="0"/>
        <v>273424997.52907974</v>
      </c>
      <c r="G17" s="63">
        <f t="shared" si="0"/>
        <v>230716389.84885967</v>
      </c>
      <c r="H17" s="65">
        <f t="shared" si="0"/>
        <v>230716389.84885961</v>
      </c>
      <c r="I17" s="65">
        <f t="shared" si="0"/>
        <v>230716389.84885961</v>
      </c>
      <c r="J17" s="65">
        <f t="shared" si="0"/>
        <v>230716389.84885958</v>
      </c>
      <c r="K17" s="64">
        <f t="shared" si="0"/>
        <v>238122385.96300802</v>
      </c>
    </row>
    <row r="18" spans="1:11" ht="15" x14ac:dyDescent="0.25">
      <c r="D18" s="121" t="s">
        <v>209</v>
      </c>
      <c r="E18" s="63">
        <f t="shared" si="0"/>
        <v>242783271.91313168</v>
      </c>
      <c r="F18" s="64">
        <f t="shared" si="0"/>
        <v>267371463.20601553</v>
      </c>
      <c r="G18" s="63">
        <f t="shared" si="0"/>
        <v>225608409.24187437</v>
      </c>
      <c r="H18" s="65">
        <f t="shared" si="0"/>
        <v>225608409.24187434</v>
      </c>
      <c r="I18" s="65">
        <f t="shared" si="0"/>
        <v>225608409.24187434</v>
      </c>
      <c r="J18" s="65">
        <f t="shared" si="0"/>
        <v>225608409.24187431</v>
      </c>
      <c r="K18" s="64">
        <f t="shared" si="0"/>
        <v>232850439.1785385</v>
      </c>
    </row>
    <row r="19" spans="1:11" ht="15.75" thickBot="1" x14ac:dyDescent="0.3">
      <c r="D19" s="122" t="s">
        <v>210</v>
      </c>
      <c r="E19" s="63">
        <f t="shared" si="0"/>
        <v>249535104.80647314</v>
      </c>
      <c r="F19" s="64">
        <f t="shared" si="0"/>
        <v>274807096.74777424</v>
      </c>
      <c r="G19" s="63">
        <f t="shared" si="0"/>
        <v>231882607.07490611</v>
      </c>
      <c r="H19" s="65">
        <f t="shared" si="0"/>
        <v>231882607.07490608</v>
      </c>
      <c r="I19" s="65">
        <f t="shared" si="0"/>
        <v>231882607.07490608</v>
      </c>
      <c r="J19" s="65">
        <f t="shared" si="0"/>
        <v>231882607.07490605</v>
      </c>
      <c r="K19" s="64">
        <f t="shared" si="0"/>
        <v>239326038.76201057</v>
      </c>
    </row>
    <row r="20" spans="1:11" ht="13.5" thickBot="1" x14ac:dyDescent="0.25">
      <c r="D20" s="66" t="s">
        <v>179</v>
      </c>
      <c r="E20" s="67">
        <v>838639905.07800078</v>
      </c>
      <c r="F20" s="67">
        <v>923574251.04596317</v>
      </c>
      <c r="G20" s="67">
        <v>779313226.23867559</v>
      </c>
      <c r="H20" s="67">
        <v>779313226.23867548</v>
      </c>
      <c r="I20" s="67">
        <v>779313226.23867548</v>
      </c>
      <c r="J20" s="67">
        <v>779313226.23867536</v>
      </c>
      <c r="K20" s="68">
        <v>804329180.80093694</v>
      </c>
    </row>
    <row r="21" spans="1:11" ht="11.25" customHeight="1" x14ac:dyDescent="0.2"/>
    <row r="22" spans="1:11" ht="11.25" customHeight="1" x14ac:dyDescent="0.2">
      <c r="D22" s="6" t="s">
        <v>182</v>
      </c>
      <c r="E22" s="861">
        <v>838639905.07800078</v>
      </c>
      <c r="F22" s="862">
        <v>923574251.04596329</v>
      </c>
      <c r="G22" s="143">
        <v>779313226.23867559</v>
      </c>
      <c r="H22" s="141">
        <v>779313226.23867548</v>
      </c>
      <c r="I22" s="141">
        <v>779313226.23867548</v>
      </c>
      <c r="J22" s="141">
        <v>779313226.23867536</v>
      </c>
      <c r="K22" s="141">
        <v>804329180.80093694</v>
      </c>
    </row>
    <row r="23" spans="1:11" ht="11.25" customHeight="1" x14ac:dyDescent="0.2">
      <c r="A23" s="42">
        <f>IF(SUM($E23:$K23)&gt;0,1,0)</f>
        <v>0</v>
      </c>
      <c r="D23" s="6" t="s">
        <v>183</v>
      </c>
      <c r="E23" s="70">
        <v>0</v>
      </c>
      <c r="F23" s="70">
        <v>0</v>
      </c>
      <c r="G23" s="70">
        <v>0</v>
      </c>
      <c r="H23" s="70">
        <v>0</v>
      </c>
      <c r="I23" s="70">
        <v>0</v>
      </c>
      <c r="J23" s="70">
        <v>0</v>
      </c>
      <c r="K23" s="70">
        <v>0</v>
      </c>
    </row>
    <row r="24" spans="1:11" ht="11.25" customHeight="1" x14ac:dyDescent="0.2"/>
    <row r="25" spans="1:11" s="7" customFormat="1" ht="15" x14ac:dyDescent="0.2">
      <c r="C25" s="7" t="s">
        <v>531</v>
      </c>
    </row>
    <row r="26" spans="1:11" ht="11.25" customHeight="1" thickBot="1" x14ac:dyDescent="0.25"/>
    <row r="27" spans="1:11" ht="26.65" customHeight="1" thickBot="1" x14ac:dyDescent="0.25">
      <c r="D27"/>
      <c r="E27" s="1087" t="s">
        <v>230</v>
      </c>
      <c r="F27" s="1085"/>
      <c r="G27" s="1086"/>
    </row>
    <row r="28" spans="1:11" ht="13.5" thickBot="1" x14ac:dyDescent="0.25">
      <c r="D28"/>
      <c r="E28" s="113" t="str">
        <f>LEFT(F28,4)-1&amp;"-"&amp;RIGHT(F28,2)-1</f>
        <v>2018-19</v>
      </c>
      <c r="F28" s="114" t="str">
        <f>LEFT(G28,4)-1&amp;"-"&amp;RIGHT(G28,2)-1</f>
        <v>2019-20</v>
      </c>
      <c r="G28" s="114" t="str">
        <f>LEFT(E9,4)-1&amp;"-"&amp;RIGHT(E9,2)-1</f>
        <v>2020-21</v>
      </c>
      <c r="H28" s="187" t="s">
        <v>179</v>
      </c>
      <c r="I28" s="186" t="s">
        <v>225</v>
      </c>
    </row>
    <row r="29" spans="1:11" ht="12.75" x14ac:dyDescent="0.2">
      <c r="D29" s="205" t="str">
        <f t="shared" ref="D29:D38" si="1">D10</f>
        <v>From Fixed Customer (Exit Point) Charges</v>
      </c>
      <c r="E29" s="198">
        <v>57570072.954545453</v>
      </c>
      <c r="F29" s="199">
        <v>58658173.149999999</v>
      </c>
      <c r="G29" s="211">
        <v>60371567</v>
      </c>
      <c r="H29" s="208">
        <f>SUM(E29:G29)</f>
        <v>176599813.10454544</v>
      </c>
      <c r="I29" s="210">
        <f>IF($H$39=0,0,H29/$H$39)</f>
        <v>7.697585670844781E-2</v>
      </c>
    </row>
    <row r="30" spans="1:11" ht="12.75" x14ac:dyDescent="0.2">
      <c r="D30" s="206" t="str">
        <f t="shared" si="1"/>
        <v>From Variable Customer (Exit Point) Charges</v>
      </c>
      <c r="E30" s="200">
        <v>0</v>
      </c>
      <c r="F30" s="201">
        <v>0</v>
      </c>
      <c r="G30" s="212">
        <v>0</v>
      </c>
      <c r="H30" s="209">
        <f t="shared" ref="H30:H38" si="2">SUM(E30:G30)</f>
        <v>0</v>
      </c>
      <c r="I30" s="188">
        <f t="shared" ref="I30:I39" si="3">IF($H$39=0,0,H30/$H$39)</f>
        <v>0</v>
      </c>
    </row>
    <row r="31" spans="1:11" ht="12.75" x14ac:dyDescent="0.2">
      <c r="D31" s="206" t="str">
        <f t="shared" si="1"/>
        <v>From Fixed Generator (Entry Point) Charges</v>
      </c>
      <c r="E31" s="200">
        <v>8848489.2727272734</v>
      </c>
      <c r="F31" s="201">
        <v>8782695.7100000009</v>
      </c>
      <c r="G31" s="212">
        <v>11397792</v>
      </c>
      <c r="H31" s="209">
        <f t="shared" si="2"/>
        <v>29028976.982727274</v>
      </c>
      <c r="I31" s="188">
        <f t="shared" si="3"/>
        <v>1.2653073258307602E-2</v>
      </c>
    </row>
    <row r="32" spans="1:11" ht="12.75" x14ac:dyDescent="0.2">
      <c r="D32" s="206" t="str">
        <f t="shared" si="1"/>
        <v>From Variable Generator (Entry Point) Charges</v>
      </c>
      <c r="E32" s="200">
        <v>0</v>
      </c>
      <c r="F32" s="201">
        <v>0</v>
      </c>
      <c r="G32" s="212">
        <v>0</v>
      </c>
      <c r="H32" s="209">
        <f t="shared" si="2"/>
        <v>0</v>
      </c>
      <c r="I32" s="188">
        <f t="shared" si="3"/>
        <v>0</v>
      </c>
    </row>
    <row r="33" spans="2:9" ht="12.75" x14ac:dyDescent="0.2">
      <c r="D33" s="206" t="str">
        <f t="shared" si="1"/>
        <v>From Fixed Energy Usage Charges (Charge per day basis)</v>
      </c>
      <c r="E33" s="972" t="s">
        <v>701</v>
      </c>
      <c r="F33" s="973" t="s">
        <v>701</v>
      </c>
      <c r="G33" s="974" t="s">
        <v>701</v>
      </c>
      <c r="H33" s="975" t="s">
        <v>701</v>
      </c>
      <c r="I33" s="957" t="s">
        <v>701</v>
      </c>
    </row>
    <row r="34" spans="2:9" ht="12.75" x14ac:dyDescent="0.2">
      <c r="D34" s="206" t="str">
        <f t="shared" si="1"/>
        <v>From Variable Energy Usage charges (Charge per kWh basis)</v>
      </c>
      <c r="E34" s="972" t="s">
        <v>701</v>
      </c>
      <c r="F34" s="973" t="s">
        <v>701</v>
      </c>
      <c r="G34" s="974" t="s">
        <v>701</v>
      </c>
      <c r="H34" s="975" t="s">
        <v>701</v>
      </c>
      <c r="I34" s="957" t="s">
        <v>701</v>
      </c>
    </row>
    <row r="35" spans="2:9" ht="12.75" x14ac:dyDescent="0.2">
      <c r="D35" s="206" t="str">
        <f t="shared" si="1"/>
        <v>From Energy based Common Service and General Charges</v>
      </c>
      <c r="E35" s="200">
        <v>0</v>
      </c>
      <c r="F35" s="201">
        <v>0</v>
      </c>
      <c r="G35" s="212">
        <v>0</v>
      </c>
      <c r="H35" s="209">
        <f t="shared" si="2"/>
        <v>0</v>
      </c>
      <c r="I35" s="188">
        <f t="shared" si="3"/>
        <v>0</v>
      </c>
    </row>
    <row r="36" spans="2:9" ht="12.75" x14ac:dyDescent="0.2">
      <c r="D36" s="206" t="str">
        <f t="shared" si="1"/>
        <v>From Fixed Demand based Usage Charges</v>
      </c>
      <c r="E36" s="200">
        <v>220831975.22727266</v>
      </c>
      <c r="F36" s="201">
        <v>226583419.63999999</v>
      </c>
      <c r="G36" s="212">
        <v>231791536</v>
      </c>
      <c r="H36" s="209">
        <f t="shared" si="2"/>
        <v>679206930.86727262</v>
      </c>
      <c r="I36" s="188">
        <f t="shared" si="3"/>
        <v>0.29605091005885165</v>
      </c>
    </row>
    <row r="37" spans="2:9" ht="12.75" x14ac:dyDescent="0.2">
      <c r="D37" s="206" t="str">
        <f t="shared" si="1"/>
        <v>From Variable Demand based Usage Charges</v>
      </c>
      <c r="E37" s="200">
        <v>223159908.21818182</v>
      </c>
      <c r="F37" s="201">
        <v>212504974.49000001</v>
      </c>
      <c r="G37" s="212">
        <v>228504643</v>
      </c>
      <c r="H37" s="209">
        <f t="shared" si="2"/>
        <v>664169525.70818186</v>
      </c>
      <c r="I37" s="188">
        <f t="shared" si="3"/>
        <v>0.28949644590374068</v>
      </c>
    </row>
    <row r="38" spans="2:9" ht="13.5" thickBot="1" x14ac:dyDescent="0.25">
      <c r="D38" s="207" t="str">
        <f t="shared" si="1"/>
        <v>Revenue from other Sources</v>
      </c>
      <c r="E38" s="200">
        <v>218840602.70505726</v>
      </c>
      <c r="F38" s="201">
        <v>233168865.86000001</v>
      </c>
      <c r="G38" s="212">
        <v>230630694</v>
      </c>
      <c r="H38" s="209">
        <f t="shared" si="2"/>
        <v>682640162.56505728</v>
      </c>
      <c r="I38" s="188">
        <f t="shared" si="3"/>
        <v>0.29754737795748487</v>
      </c>
    </row>
    <row r="39" spans="2:9" ht="13.5" thickBot="1" x14ac:dyDescent="0.25">
      <c r="D39" s="190" t="s">
        <v>179</v>
      </c>
      <c r="E39" s="190">
        <v>750080688.41414809</v>
      </c>
      <c r="F39" s="67">
        <v>760557450.88999999</v>
      </c>
      <c r="G39" s="68">
        <v>783585279</v>
      </c>
      <c r="H39" s="67">
        <v>2294223418.3041482</v>
      </c>
      <c r="I39" s="189">
        <f t="shared" si="3"/>
        <v>1</v>
      </c>
    </row>
    <row r="40" spans="2:9" ht="11.25" customHeight="1" x14ac:dyDescent="0.2"/>
    <row r="41" spans="2:9" s="47" customFormat="1" ht="15.75" x14ac:dyDescent="0.2">
      <c r="B41" s="47" t="s">
        <v>32</v>
      </c>
    </row>
  </sheetData>
  <mergeCells count="2">
    <mergeCell ref="E8:K8"/>
    <mergeCell ref="E27:G27"/>
  </mergeCells>
  <conditionalFormatting sqref="B2">
    <cfRule type="cellIs" dxfId="75" priority="3" operator="notEqual">
      <formula>"No Errors Found"</formula>
    </cfRule>
  </conditionalFormatting>
  <conditionalFormatting sqref="K10:K19">
    <cfRule type="expression" dxfId="74" priority="2">
      <formula>(dms_FRCPlength_Num)&lt;5</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31"/>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11" width="17.6640625" style="46" customWidth="1"/>
    <col min="12" max="31" width="10.6640625" style="46" customWidth="1"/>
    <col min="32" max="16384" width="9.33203125" style="46"/>
  </cols>
  <sheetData>
    <row r="1" spans="1:11" ht="19.5" x14ac:dyDescent="0.2">
      <c r="A1" s="42">
        <f>IF(SUM($A2:$A31)&gt;0,1,0)</f>
        <v>0</v>
      </c>
      <c r="B1" s="3" t="s">
        <v>625</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3.1.2 - Revenue Grouping By Type Of Connected Equipment</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120" t="s">
        <v>626</v>
      </c>
      <c r="E10" s="59">
        <f t="shared" ref="E10:K14" si="0">E$17*$H24</f>
        <v>139862742.20908424</v>
      </c>
      <c r="F10" s="60">
        <f t="shared" si="0"/>
        <v>154027523.13935664</v>
      </c>
      <c r="G10" s="59">
        <f t="shared" si="0"/>
        <v>129968636.36176719</v>
      </c>
      <c r="H10" s="61">
        <f t="shared" si="0"/>
        <v>129968636.36176717</v>
      </c>
      <c r="I10" s="61">
        <f t="shared" si="0"/>
        <v>129968636.36176717</v>
      </c>
      <c r="J10" s="61">
        <f t="shared" si="0"/>
        <v>129968636.36176716</v>
      </c>
      <c r="K10" s="60">
        <f t="shared" si="0"/>
        <v>134140629.5889799</v>
      </c>
    </row>
    <row r="11" spans="1:11" ht="15" x14ac:dyDescent="0.25">
      <c r="D11" s="121" t="s">
        <v>627</v>
      </c>
      <c r="E11" s="63">
        <f t="shared" si="0"/>
        <v>600611892.73741305</v>
      </c>
      <c r="F11" s="64">
        <f t="shared" si="0"/>
        <v>661439642.50384903</v>
      </c>
      <c r="G11" s="63">
        <f t="shared" si="0"/>
        <v>558123682.18153965</v>
      </c>
      <c r="H11" s="65">
        <f t="shared" si="0"/>
        <v>558123682.18153965</v>
      </c>
      <c r="I11" s="65">
        <f t="shared" si="0"/>
        <v>558123682.18153965</v>
      </c>
      <c r="J11" s="65">
        <f t="shared" si="0"/>
        <v>558123682.18153954</v>
      </c>
      <c r="K11" s="64">
        <f t="shared" si="0"/>
        <v>576039452.37956703</v>
      </c>
    </row>
    <row r="12" spans="1:11" ht="15" x14ac:dyDescent="0.25">
      <c r="D12" s="121" t="s">
        <v>628</v>
      </c>
      <c r="E12" s="63">
        <f t="shared" si="0"/>
        <v>31842932.689857688</v>
      </c>
      <c r="F12" s="64">
        <f t="shared" si="0"/>
        <v>35067867.06912905</v>
      </c>
      <c r="G12" s="63">
        <f t="shared" si="0"/>
        <v>29590314.576225556</v>
      </c>
      <c r="H12" s="65">
        <f t="shared" si="0"/>
        <v>29590314.576225553</v>
      </c>
      <c r="I12" s="65">
        <f t="shared" si="0"/>
        <v>29590314.576225553</v>
      </c>
      <c r="J12" s="65">
        <f t="shared" si="0"/>
        <v>29590314.576225549</v>
      </c>
      <c r="K12" s="64">
        <f t="shared" si="0"/>
        <v>30540163.674122393</v>
      </c>
    </row>
    <row r="13" spans="1:11" ht="15" x14ac:dyDescent="0.25">
      <c r="D13" s="121" t="s">
        <v>629</v>
      </c>
      <c r="E13" s="63">
        <f t="shared" si="0"/>
        <v>9266981.7668428309</v>
      </c>
      <c r="F13" s="64">
        <f t="shared" si="0"/>
        <v>10205507.385166019</v>
      </c>
      <c r="G13" s="63">
        <f t="shared" si="0"/>
        <v>8611421.2005468216</v>
      </c>
      <c r="H13" s="65">
        <f t="shared" si="0"/>
        <v>8611421.2005468197</v>
      </c>
      <c r="I13" s="65">
        <f t="shared" si="0"/>
        <v>8611421.2005468197</v>
      </c>
      <c r="J13" s="65">
        <f t="shared" si="0"/>
        <v>8611421.2005468179</v>
      </c>
      <c r="K13" s="64">
        <f t="shared" si="0"/>
        <v>8887847.8210843727</v>
      </c>
    </row>
    <row r="14" spans="1:11" ht="15.75" thickBot="1" x14ac:dyDescent="0.3">
      <c r="D14" s="122" t="s">
        <v>630</v>
      </c>
      <c r="E14" s="63">
        <f t="shared" si="0"/>
        <v>57055355.674802952</v>
      </c>
      <c r="F14" s="64">
        <f t="shared" si="0"/>
        <v>62833710.948462568</v>
      </c>
      <c r="G14" s="63">
        <f t="shared" si="0"/>
        <v>53019171.918596312</v>
      </c>
      <c r="H14" s="65">
        <f t="shared" si="0"/>
        <v>53019171.918596305</v>
      </c>
      <c r="I14" s="65">
        <f t="shared" si="0"/>
        <v>53019171.918596305</v>
      </c>
      <c r="J14" s="65">
        <f t="shared" si="0"/>
        <v>53019171.918596298</v>
      </c>
      <c r="K14" s="64">
        <f t="shared" si="0"/>
        <v>54721087.337183245</v>
      </c>
    </row>
    <row r="15" spans="1:11" ht="13.5" thickBot="1" x14ac:dyDescent="0.25">
      <c r="D15" s="66" t="s">
        <v>179</v>
      </c>
      <c r="E15" s="67">
        <f t="shared" ref="E15:K15" si="1">SUM(E10:E14)</f>
        <v>838639905.07800078</v>
      </c>
      <c r="F15" s="67">
        <f t="shared" si="1"/>
        <v>923574251.04596329</v>
      </c>
      <c r="G15" s="67">
        <f t="shared" si="1"/>
        <v>779313226.23867548</v>
      </c>
      <c r="H15" s="67">
        <f t="shared" si="1"/>
        <v>779313226.23867548</v>
      </c>
      <c r="I15" s="67">
        <f t="shared" si="1"/>
        <v>779313226.23867548</v>
      </c>
      <c r="J15" s="67">
        <f t="shared" si="1"/>
        <v>779313226.23867536</v>
      </c>
      <c r="K15" s="68">
        <f t="shared" si="1"/>
        <v>804329180.80093682</v>
      </c>
    </row>
    <row r="16" spans="1:11" ht="11.25" customHeight="1" x14ac:dyDescent="0.2"/>
    <row r="17" spans="1:11" ht="11.25" customHeight="1" x14ac:dyDescent="0.2">
      <c r="D17" s="6" t="s">
        <v>182</v>
      </c>
      <c r="E17" s="861">
        <v>838639905.07800078</v>
      </c>
      <c r="F17" s="862">
        <v>923574251.04596329</v>
      </c>
      <c r="G17" s="143">
        <v>779313226.23867559</v>
      </c>
      <c r="H17" s="141">
        <v>779313226.23867548</v>
      </c>
      <c r="I17" s="141">
        <v>779313226.23867548</v>
      </c>
      <c r="J17" s="141">
        <v>779313226.23867536</v>
      </c>
      <c r="K17" s="141">
        <v>804329180.80093694</v>
      </c>
    </row>
    <row r="18" spans="1:11" ht="11.25" customHeight="1" x14ac:dyDescent="0.2">
      <c r="A18" s="42">
        <f>IF(SUM($E18:$K18)&gt;0,1,0)</f>
        <v>0</v>
      </c>
      <c r="D18" s="6" t="s">
        <v>183</v>
      </c>
      <c r="E18" s="70">
        <f t="shared" ref="E18:K18" si="2">IF(ROUND(E15-SUM(E10:E14),3)&lt;&gt;0,1,0)</f>
        <v>0</v>
      </c>
      <c r="F18" s="70">
        <f t="shared" si="2"/>
        <v>0</v>
      </c>
      <c r="G18" s="70">
        <f t="shared" si="2"/>
        <v>0</v>
      </c>
      <c r="H18" s="70">
        <f t="shared" si="2"/>
        <v>0</v>
      </c>
      <c r="I18" s="70">
        <f t="shared" si="2"/>
        <v>0</v>
      </c>
      <c r="J18" s="70">
        <f t="shared" si="2"/>
        <v>0</v>
      </c>
      <c r="K18" s="70">
        <f t="shared" si="2"/>
        <v>0</v>
      </c>
    </row>
    <row r="19" spans="1:11" ht="11.25" customHeight="1" x14ac:dyDescent="0.2"/>
    <row r="20" spans="1:11" s="7" customFormat="1" ht="15" x14ac:dyDescent="0.2">
      <c r="C20" s="7" t="s">
        <v>356</v>
      </c>
    </row>
    <row r="21" spans="1:11" ht="11.25" customHeight="1" thickBot="1" x14ac:dyDescent="0.25"/>
    <row r="22" spans="1:11" ht="26.65" customHeight="1" thickBot="1" x14ac:dyDescent="0.25">
      <c r="D22"/>
      <c r="E22" s="1087" t="s">
        <v>631</v>
      </c>
      <c r="F22" s="1085"/>
      <c r="G22" s="1086"/>
    </row>
    <row r="23" spans="1:11" ht="13.5" thickBot="1" x14ac:dyDescent="0.25">
      <c r="D23"/>
      <c r="E23" s="53" t="s">
        <v>167</v>
      </c>
      <c r="F23" s="54" t="s">
        <v>168</v>
      </c>
      <c r="G23" s="187" t="s">
        <v>179</v>
      </c>
      <c r="H23" s="186" t="s">
        <v>225</v>
      </c>
    </row>
    <row r="24" spans="1:11" ht="15" x14ac:dyDescent="0.25">
      <c r="D24" s="205" t="str">
        <f>D10</f>
        <v>From Other connected transmission networks</v>
      </c>
      <c r="E24" s="191">
        <v>127105622.21452087</v>
      </c>
      <c r="F24" s="123">
        <v>150324711.26249182</v>
      </c>
      <c r="G24" s="208">
        <f>SUM(E24:F24)</f>
        <v>277430333.47701269</v>
      </c>
      <c r="H24" s="210">
        <f t="shared" ref="H24:H29" si="3">IF($G$29=0,0,G24/$G$29)</f>
        <v>0.16677329729030221</v>
      </c>
    </row>
    <row r="25" spans="1:11" ht="15" x14ac:dyDescent="0.25">
      <c r="D25" s="206" t="str">
        <f>D11</f>
        <v>From Distribution networks</v>
      </c>
      <c r="E25" s="192">
        <v>579280036.62264347</v>
      </c>
      <c r="F25" s="124">
        <v>612087693.34295404</v>
      </c>
      <c r="G25" s="209">
        <f>SUM(E25:F25)</f>
        <v>1191367729.9655976</v>
      </c>
      <c r="H25" s="188">
        <f t="shared" si="3"/>
        <v>0.71617375836837971</v>
      </c>
    </row>
    <row r="26" spans="1:11" ht="15" x14ac:dyDescent="0.25">
      <c r="D26" s="206" t="str">
        <f>D12</f>
        <v>From Directly connected end–users</v>
      </c>
      <c r="E26" s="192">
        <v>31347246.282894105</v>
      </c>
      <c r="F26" s="124">
        <v>31816075.810611196</v>
      </c>
      <c r="G26" s="209">
        <f>SUM(E26:F26)</f>
        <v>63163322.093505301</v>
      </c>
      <c r="H26" s="188">
        <f t="shared" si="3"/>
        <v>3.7969732297553883E-2</v>
      </c>
    </row>
    <row r="27" spans="1:11" ht="15" x14ac:dyDescent="0.25">
      <c r="D27" s="206" t="str">
        <f>D13</f>
        <v>From Generators</v>
      </c>
      <c r="E27" s="192">
        <v>8692769.6581631582</v>
      </c>
      <c r="F27" s="124">
        <v>9689122.48332824</v>
      </c>
      <c r="G27" s="209">
        <f>SUM(E27:F27)</f>
        <v>18381892.141491398</v>
      </c>
      <c r="H27" s="188">
        <f t="shared" si="3"/>
        <v>1.1050012896752059E-2</v>
      </c>
    </row>
    <row r="28" spans="1:11" ht="15.75" thickBot="1" x14ac:dyDescent="0.3">
      <c r="D28" s="207" t="str">
        <f>D14</f>
        <v>Other revenue</v>
      </c>
      <c r="E28" s="193">
        <v>46499535.680323243</v>
      </c>
      <c r="F28" s="126">
        <v>66674895.919531703</v>
      </c>
      <c r="G28" s="209">
        <f>SUM(E28:F28)</f>
        <v>113174431.59985495</v>
      </c>
      <c r="H28" s="188">
        <f t="shared" si="3"/>
        <v>6.8033199147012099E-2</v>
      </c>
    </row>
    <row r="29" spans="1:11" ht="13.5" thickBot="1" x14ac:dyDescent="0.25">
      <c r="D29" s="190" t="s">
        <v>179</v>
      </c>
      <c r="E29" s="67">
        <f>SUM(E24:E28)</f>
        <v>792925210.45854497</v>
      </c>
      <c r="F29" s="67">
        <f>SUM(F24:F28)</f>
        <v>870592498.81891704</v>
      </c>
      <c r="G29" s="67">
        <f>SUM(G24:G28)</f>
        <v>1663517709.277462</v>
      </c>
      <c r="H29" s="189">
        <f t="shared" si="3"/>
        <v>1</v>
      </c>
    </row>
    <row r="30" spans="1:11" ht="11.25" customHeight="1" x14ac:dyDescent="0.2"/>
    <row r="31" spans="1:11" s="47" customFormat="1" ht="15.75" x14ac:dyDescent="0.2">
      <c r="B31" s="47" t="s">
        <v>32</v>
      </c>
    </row>
  </sheetData>
  <mergeCells count="2">
    <mergeCell ref="E8:K8"/>
    <mergeCell ref="E22:G22"/>
  </mergeCells>
  <conditionalFormatting sqref="B2">
    <cfRule type="cellIs" dxfId="73" priority="2" operator="notEqual">
      <formula>"No Errors Found"</formula>
    </cfRule>
  </conditionalFormatting>
  <conditionalFormatting sqref="K10:K14">
    <cfRule type="expression" dxfId="72" priority="1">
      <formula>(dms_FRCPlength_Num)&lt;5</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4"/>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11" width="17.6640625" style="46" customWidth="1"/>
    <col min="12" max="31" width="10.6640625" style="46" customWidth="1"/>
    <col min="32" max="16384" width="9.33203125" style="46"/>
  </cols>
  <sheetData>
    <row r="1" spans="1:11" ht="19.5" x14ac:dyDescent="0.2">
      <c r="A1" s="42">
        <f>IF(SUM($A2:$A24)&gt;0,1,0)</f>
        <v>0</v>
      </c>
      <c r="B1" s="3" t="s">
        <v>632</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3.1.3 - Revenue (Penalties) Allowed (Deducted) Through Incentive Schemes</v>
      </c>
      <c r="E7" s="52"/>
      <c r="F7" s="52"/>
      <c r="G7" s="52"/>
      <c r="H7" s="52"/>
      <c r="I7" s="52"/>
      <c r="J7" s="52"/>
      <c r="K7" s="52"/>
    </row>
    <row r="8" spans="1:11" ht="28.15" customHeight="1" thickBot="1" x14ac:dyDescent="0.25">
      <c r="D8"/>
      <c r="E8" s="1082" t="str">
        <f>WkB_1_2.1.1!$E$8</f>
        <v>Forecast 
($0's. real June 2023)</v>
      </c>
      <c r="F8" s="1083"/>
      <c r="G8" s="1083"/>
      <c r="H8" s="1083"/>
      <c r="I8" s="1083"/>
      <c r="J8" s="1083"/>
      <c r="K8" s="1084"/>
    </row>
    <row r="9" spans="1:11"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1" ht="15" x14ac:dyDescent="0.25">
      <c r="D10" s="120" t="s">
        <v>633</v>
      </c>
      <c r="E10" s="59">
        <f>E19*Input_CPI!R$23</f>
        <v>5570634.108890607</v>
      </c>
      <c r="F10" s="60">
        <f>F19*Input_CPI!S$23</f>
        <v>-2513506.6116026184</v>
      </c>
      <c r="G10" s="59">
        <v>19258732.411556251</v>
      </c>
      <c r="H10" s="61">
        <v>5309474.6452389071</v>
      </c>
      <c r="I10" s="61">
        <v>-3769799.0687441062</v>
      </c>
      <c r="J10" s="61">
        <v>-6067498.104772483</v>
      </c>
      <c r="K10" s="60">
        <v>20158395.161016729</v>
      </c>
    </row>
    <row r="11" spans="1:11" ht="15" x14ac:dyDescent="0.25">
      <c r="D11" s="121" t="s">
        <v>634</v>
      </c>
      <c r="E11" s="63">
        <f>E20*Input_CPI!R$23</f>
        <v>8565570.6957374997</v>
      </c>
      <c r="F11" s="64">
        <f>F20*Input_CPI!S$23</f>
        <v>8458923.6297261864</v>
      </c>
      <c r="G11" s="63">
        <f>G20*Input_CPI!T$23</f>
        <v>8278383.6502686972</v>
      </c>
      <c r="H11" s="65">
        <f>H20*Input_CPI!U$23</f>
        <v>5794466.1205735598</v>
      </c>
      <c r="I11" s="65">
        <f>I20*Input_CPI!V$23</f>
        <v>3467041.875</v>
      </c>
      <c r="J11" s="65">
        <f>J20*Input_CPI!W$23</f>
        <v>3467041.875</v>
      </c>
      <c r="K11" s="64">
        <f>K20*Input_CPI!X$23</f>
        <v>3467041.875</v>
      </c>
    </row>
    <row r="12" spans="1:11" ht="15.75" thickBot="1" x14ac:dyDescent="0.3">
      <c r="D12" s="122" t="s">
        <v>635</v>
      </c>
      <c r="E12" s="63">
        <f>E21*Input_CPI!R$23</f>
        <v>7784323.7967966367</v>
      </c>
      <c r="F12" s="64">
        <f>F21*Input_CPI!S$23</f>
        <v>7784323.7967966367</v>
      </c>
      <c r="G12" s="63">
        <v>1021549.2222085034</v>
      </c>
      <c r="H12" s="65">
        <v>1021549.2222085034</v>
      </c>
      <c r="I12" s="65">
        <v>1021549.2222085034</v>
      </c>
      <c r="J12" s="65">
        <v>1021549.2222085034</v>
      </c>
      <c r="K12" s="64">
        <v>1021549.2222085034</v>
      </c>
    </row>
    <row r="13" spans="1:11" ht="13.5" thickBot="1" x14ac:dyDescent="0.25">
      <c r="D13" s="66" t="s">
        <v>179</v>
      </c>
      <c r="E13" s="67">
        <f t="shared" ref="E13:K13" si="0">SUM(E10:E12)</f>
        <v>21920528.601424746</v>
      </c>
      <c r="F13" s="67">
        <f t="shared" si="0"/>
        <v>13729740.814920206</v>
      </c>
      <c r="G13" s="67">
        <f t="shared" si="0"/>
        <v>28558665.284033451</v>
      </c>
      <c r="H13" s="67">
        <f t="shared" si="0"/>
        <v>12125489.988020971</v>
      </c>
      <c r="I13" s="67">
        <f t="shared" si="0"/>
        <v>718792.02846439718</v>
      </c>
      <c r="J13" s="67">
        <f t="shared" si="0"/>
        <v>-1578907.0075639796</v>
      </c>
      <c r="K13" s="68">
        <f t="shared" si="0"/>
        <v>24646986.258225232</v>
      </c>
    </row>
    <row r="14" spans="1:11" ht="11.25" customHeight="1" x14ac:dyDescent="0.2"/>
    <row r="15" spans="1:11" s="7" customFormat="1" ht="15" x14ac:dyDescent="0.2">
      <c r="C15" s="7" t="s">
        <v>356</v>
      </c>
    </row>
    <row r="16" spans="1:11" ht="11.25" customHeight="1" thickBot="1" x14ac:dyDescent="0.25"/>
    <row r="17" spans="2:11" ht="26.65" customHeight="1" thickBot="1" x14ac:dyDescent="0.25">
      <c r="D17"/>
      <c r="E17" s="1082" t="s">
        <v>636</v>
      </c>
      <c r="F17" s="1083"/>
      <c r="G17" s="1083"/>
      <c r="H17" s="1083"/>
      <c r="I17" s="1083"/>
      <c r="J17" s="1083"/>
      <c r="K17" s="1084"/>
    </row>
    <row r="18" spans="2:11" ht="13.5" thickBot="1" x14ac:dyDescent="0.25">
      <c r="D18"/>
      <c r="E18" s="53" t="str">
        <f>WkB_1_2.1.1!$E$9</f>
        <v>2021-22</v>
      </c>
      <c r="F18" s="54" t="str">
        <f>WkB_1_2.1.1!$F$9</f>
        <v>2022-23</v>
      </c>
      <c r="G18" s="55" t="str">
        <f>WkB_1_2.1.1!$G$9</f>
        <v>2023-24</v>
      </c>
      <c r="H18" s="56" t="str">
        <f>WkB_1_2.1.1!$H$9</f>
        <v>2024-25</v>
      </c>
      <c r="I18" s="56" t="str">
        <f>WkB_1_2.1.1!$I$9</f>
        <v>2025-26</v>
      </c>
      <c r="J18" s="56" t="str">
        <f>WkB_1_2.1.1!$J$9</f>
        <v>2026-27</v>
      </c>
      <c r="K18" s="57" t="str">
        <f>WkB_1_2.1.1!$K$9</f>
        <v>2027-28</v>
      </c>
    </row>
    <row r="19" spans="2:11" ht="15" x14ac:dyDescent="0.25">
      <c r="D19" s="205" t="str">
        <f>D10</f>
        <v>EBSS</v>
      </c>
      <c r="E19" s="191">
        <v>5302241.2829493163</v>
      </c>
      <c r="F19" s="60">
        <v>-2392406.009889523</v>
      </c>
      <c r="G19" s="401"/>
      <c r="H19" s="402"/>
      <c r="I19" s="402"/>
      <c r="J19" s="402"/>
      <c r="K19" s="933"/>
    </row>
    <row r="20" spans="2:11" ht="15" x14ac:dyDescent="0.25">
      <c r="D20" s="206" t="str">
        <f>D11</f>
        <v>STPIS</v>
      </c>
      <c r="E20" s="192">
        <v>8152882</v>
      </c>
      <c r="F20" s="64">
        <v>8051373.1833990086</v>
      </c>
      <c r="G20" s="63">
        <v>7879531.6096050041</v>
      </c>
      <c r="H20" s="65">
        <v>5515289.0813851934</v>
      </c>
      <c r="I20" s="65">
        <v>3300000</v>
      </c>
      <c r="J20" s="65">
        <v>3300000</v>
      </c>
      <c r="K20" s="124">
        <v>3300000</v>
      </c>
    </row>
    <row r="21" spans="2:11" ht="15.75" thickBot="1" x14ac:dyDescent="0.3">
      <c r="D21" s="207" t="str">
        <f>D12</f>
        <v>Other (including CESS)</v>
      </c>
      <c r="E21" s="192">
        <v>7409275.531011261</v>
      </c>
      <c r="F21" s="64">
        <v>7409275.531011261</v>
      </c>
      <c r="G21" s="401"/>
      <c r="H21" s="402"/>
      <c r="I21" s="402"/>
      <c r="J21" s="402"/>
      <c r="K21" s="933"/>
    </row>
    <row r="22" spans="2:11" ht="13.5" thickBot="1" x14ac:dyDescent="0.25">
      <c r="D22" s="190" t="s">
        <v>179</v>
      </c>
      <c r="E22" s="190">
        <f>SUM(E19:E21)</f>
        <v>20864398.813960578</v>
      </c>
      <c r="F22" s="67">
        <f t="shared" ref="F22:K22" si="1">SUM(F19:F21)</f>
        <v>13068242.704520747</v>
      </c>
      <c r="G22" s="67">
        <f t="shared" si="1"/>
        <v>7879531.6096050041</v>
      </c>
      <c r="H22" s="67">
        <f t="shared" si="1"/>
        <v>5515289.0813851934</v>
      </c>
      <c r="I22" s="67">
        <f t="shared" si="1"/>
        <v>3300000</v>
      </c>
      <c r="J22" s="67">
        <f t="shared" si="1"/>
        <v>3300000</v>
      </c>
      <c r="K22" s="68">
        <f t="shared" si="1"/>
        <v>3300000</v>
      </c>
    </row>
    <row r="23" spans="2:11" ht="11.25" customHeight="1" x14ac:dyDescent="0.2"/>
    <row r="24" spans="2:11" s="47" customFormat="1" ht="15.75" x14ac:dyDescent="0.2">
      <c r="B24" s="47" t="s">
        <v>32</v>
      </c>
    </row>
  </sheetData>
  <mergeCells count="2">
    <mergeCell ref="E8:K8"/>
    <mergeCell ref="E17:K17"/>
  </mergeCells>
  <conditionalFormatting sqref="B2">
    <cfRule type="cellIs" dxfId="71" priority="4" operator="notEqual">
      <formula>"No Errors Found"</formula>
    </cfRule>
  </conditionalFormatting>
  <conditionalFormatting sqref="K10:K12">
    <cfRule type="expression" dxfId="70" priority="3">
      <formula>(dms_FRCPlength_Num)&lt;5</formula>
    </cfRule>
  </conditionalFormatting>
  <conditionalFormatting sqref="K20:K21">
    <cfRule type="expression" dxfId="69" priority="2">
      <formula>(dms_FRCPlength_Num)&lt;5</formula>
    </cfRule>
  </conditionalFormatting>
  <conditionalFormatting sqref="K19">
    <cfRule type="expression" dxfId="68" priority="1">
      <formula>(dms_FRCPlength_Num)&lt;5</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235"/>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O11" sqref="O11:O30"/>
    </sheetView>
  </sheetViews>
  <sheetFormatPr defaultColWidth="9.33203125" defaultRowHeight="11.25" outlineLevelRow="1" x14ac:dyDescent="0.2"/>
  <cols>
    <col min="1" max="3" width="3.6640625" style="46" customWidth="1"/>
    <col min="4" max="4" width="62.83203125" style="46" customWidth="1"/>
    <col min="5" max="11" width="15.6640625" style="46" customWidth="1"/>
    <col min="12" max="12" width="10.6640625" style="46" customWidth="1"/>
    <col min="13" max="13" width="13" style="46" customWidth="1"/>
    <col min="14" max="14" width="10.6640625" style="46" customWidth="1"/>
    <col min="15" max="15" width="73.6640625" style="46" customWidth="1"/>
    <col min="16" max="31" width="10.6640625" style="46" customWidth="1"/>
    <col min="32" max="16384" width="9.33203125" style="46"/>
  </cols>
  <sheetData>
    <row r="1" spans="1:15" ht="19.5" x14ac:dyDescent="0.2">
      <c r="A1" s="42">
        <f>IF(SUM($A2:$A235)&gt;0,1,0)</f>
        <v>0</v>
      </c>
      <c r="B1" s="3" t="s">
        <v>488</v>
      </c>
    </row>
    <row r="2" spans="1:15" x14ac:dyDescent="0.2">
      <c r="B2" s="9" t="str">
        <f>Title_Msg</f>
        <v>No Errors Found</v>
      </c>
    </row>
    <row r="3" spans="1:15" s="47" customFormat="1" ht="15.75" x14ac:dyDescent="0.2">
      <c r="B3" s="47" t="str">
        <f>WkB_1_2.1.1!$B$3</f>
        <v>Data required to populate TransGrid's 2023-28 regulatory submission</v>
      </c>
    </row>
    <row r="4" spans="1:15" ht="4.5" customHeight="1" x14ac:dyDescent="0.2"/>
    <row r="5" spans="1:15" s="7" customFormat="1" ht="15" x14ac:dyDescent="0.2">
      <c r="C5" s="7" t="str">
        <f>WkB_1_2.1.1!$C$5</f>
        <v>Output - RIN template</v>
      </c>
    </row>
    <row r="6" spans="1:15" ht="11.25" customHeight="1" x14ac:dyDescent="0.2"/>
    <row r="7" spans="1:15" ht="18.75" x14ac:dyDescent="0.2">
      <c r="D7" s="444" t="s">
        <v>360</v>
      </c>
      <c r="E7" s="249"/>
      <c r="F7" s="249"/>
      <c r="G7" s="249"/>
      <c r="H7" s="249"/>
      <c r="I7" s="249"/>
      <c r="J7" s="249"/>
      <c r="K7" s="249"/>
    </row>
    <row r="8" spans="1:15" ht="15" x14ac:dyDescent="0.2">
      <c r="D8"/>
      <c r="E8" s="1121" t="s">
        <v>361</v>
      </c>
      <c r="F8" s="1121"/>
      <c r="G8" s="1121"/>
      <c r="H8" s="1121"/>
      <c r="I8" s="1121"/>
      <c r="J8" s="1121"/>
      <c r="K8" s="1121"/>
    </row>
    <row r="9" spans="1:15" ht="15" x14ac:dyDescent="0.2">
      <c r="D9"/>
      <c r="E9" s="1121" t="s">
        <v>490</v>
      </c>
      <c r="F9" s="1121"/>
      <c r="G9" s="1121"/>
      <c r="H9" s="1121"/>
      <c r="I9" s="1121"/>
      <c r="J9" s="1121"/>
      <c r="K9" s="1121"/>
    </row>
    <row r="10" spans="1:15" ht="15.75" thickBot="1" x14ac:dyDescent="0.25">
      <c r="D10" s="290"/>
      <c r="E10" s="441" t="s">
        <v>167</v>
      </c>
      <c r="F10" s="441" t="s">
        <v>168</v>
      </c>
      <c r="G10" s="442" t="s">
        <v>169</v>
      </c>
      <c r="H10" s="442" t="s">
        <v>170</v>
      </c>
      <c r="I10" s="442" t="s">
        <v>171</v>
      </c>
      <c r="J10" s="442" t="s">
        <v>172</v>
      </c>
      <c r="K10" s="442" t="s">
        <v>181</v>
      </c>
    </row>
    <row r="11" spans="1:15" ht="32.25" thickBot="1" x14ac:dyDescent="0.25">
      <c r="D11" s="445" t="s">
        <v>362</v>
      </c>
      <c r="E11" s="446"/>
      <c r="F11" s="446"/>
      <c r="G11" s="446"/>
      <c r="H11" s="446"/>
      <c r="I11" s="446"/>
      <c r="J11" s="446"/>
      <c r="K11" s="447"/>
      <c r="O11" s="1079" t="s">
        <v>935</v>
      </c>
    </row>
    <row r="12" spans="1:15" ht="11.25" customHeight="1" x14ac:dyDescent="0.25">
      <c r="D12" s="464" t="str">
        <f t="shared" ref="D12:D45" si="0">D155</f>
        <v>01 Lines</v>
      </c>
      <c r="E12" s="448">
        <v>15804835.676778765</v>
      </c>
      <c r="F12" s="449">
        <v>16203851.604341235</v>
      </c>
      <c r="G12" s="450">
        <v>16220802.166997293</v>
      </c>
      <c r="H12" s="451">
        <v>16933099.838253174</v>
      </c>
      <c r="I12" s="451">
        <v>17015190.46893061</v>
      </c>
      <c r="J12" s="451">
        <v>17098059.59515829</v>
      </c>
      <c r="K12" s="449">
        <v>17172468.923164248</v>
      </c>
      <c r="O12" s="1080" t="s">
        <v>936</v>
      </c>
    </row>
    <row r="13" spans="1:15" ht="11.25" customHeight="1" x14ac:dyDescent="0.25">
      <c r="D13" s="465" t="str">
        <f t="shared" si="0"/>
        <v>02 Substations</v>
      </c>
      <c r="E13" s="452">
        <v>18872318.150750395</v>
      </c>
      <c r="F13" s="453">
        <v>16150703.280690327</v>
      </c>
      <c r="G13" s="454">
        <v>19369017.522006057</v>
      </c>
      <c r="H13" s="455">
        <v>20219561.529225968</v>
      </c>
      <c r="I13" s="455">
        <v>20317584.724849347</v>
      </c>
      <c r="J13" s="455">
        <v>20416537.510378227</v>
      </c>
      <c r="K13" s="453">
        <v>20505388.577243492</v>
      </c>
      <c r="O13" s="1080" t="s">
        <v>936</v>
      </c>
    </row>
    <row r="14" spans="1:15" ht="11.25" customHeight="1" x14ac:dyDescent="0.25">
      <c r="D14" s="465" t="str">
        <f t="shared" si="0"/>
        <v>04 Secondary Systems</v>
      </c>
      <c r="E14" s="452">
        <v>6571861.828989421</v>
      </c>
      <c r="F14" s="453">
        <v>9844447.4932730515</v>
      </c>
      <c r="G14" s="454">
        <v>6744826.2529867105</v>
      </c>
      <c r="H14" s="455">
        <v>7041009.141081037</v>
      </c>
      <c r="I14" s="455">
        <v>7075143.5220578248</v>
      </c>
      <c r="J14" s="455">
        <v>7109601.611885203</v>
      </c>
      <c r="K14" s="453">
        <v>7140542.0045880256</v>
      </c>
      <c r="O14" s="1080" t="s">
        <v>936</v>
      </c>
    </row>
    <row r="15" spans="1:15" ht="11.25" customHeight="1" x14ac:dyDescent="0.25">
      <c r="D15" s="465" t="str">
        <f t="shared" si="0"/>
        <v>05 Land and Easements</v>
      </c>
      <c r="E15" s="452">
        <v>11444881.007322554</v>
      </c>
      <c r="F15" s="453">
        <v>11733823.575557444</v>
      </c>
      <c r="G15" s="454">
        <v>11746098.120929074</v>
      </c>
      <c r="H15" s="455">
        <v>12261899.882872988</v>
      </c>
      <c r="I15" s="455">
        <v>12321344.822329059</v>
      </c>
      <c r="J15" s="455">
        <v>12381353.499942208</v>
      </c>
      <c r="K15" s="453">
        <v>12435236.116774108</v>
      </c>
      <c r="O15" s="1080" t="s">
        <v>936</v>
      </c>
    </row>
    <row r="16" spans="1:15" ht="11.25" customHeight="1" x14ac:dyDescent="0.25">
      <c r="D16" s="465" t="str">
        <f t="shared" si="0"/>
        <v>06 Maintenance Support and Asset Management</v>
      </c>
      <c r="E16" s="452">
        <v>14740518.823093954</v>
      </c>
      <c r="F16" s="453">
        <v>12901128.313887697</v>
      </c>
      <c r="G16" s="454">
        <v>15128473.624031955</v>
      </c>
      <c r="H16" s="455">
        <v>15792804.303927597</v>
      </c>
      <c r="I16" s="455">
        <v>15869366.851710251</v>
      </c>
      <c r="J16" s="455">
        <v>15946655.470206121</v>
      </c>
      <c r="K16" s="453">
        <v>16016053.983579917</v>
      </c>
      <c r="O16" s="1080" t="s">
        <v>937</v>
      </c>
    </row>
    <row r="17" spans="4:15" ht="11.25" customHeight="1" x14ac:dyDescent="0.25">
      <c r="D17" s="465" t="str">
        <f t="shared" si="0"/>
        <v>07 Operations</v>
      </c>
      <c r="E17" s="452">
        <v>7779954.0607688753</v>
      </c>
      <c r="F17" s="453">
        <v>7540476.5106630176</v>
      </c>
      <c r="G17" s="454">
        <v>9445074.2518081553</v>
      </c>
      <c r="H17" s="455">
        <v>9322925.4110527411</v>
      </c>
      <c r="I17" s="455">
        <v>9836113.0845961347</v>
      </c>
      <c r="J17" s="455">
        <v>9404127.0987414662</v>
      </c>
      <c r="K17" s="453">
        <v>9913533.6395269427</v>
      </c>
      <c r="O17" s="1080" t="s">
        <v>937</v>
      </c>
    </row>
    <row r="18" spans="4:15" ht="11.25" customHeight="1" x14ac:dyDescent="0.25">
      <c r="D18" s="465" t="str">
        <f t="shared" si="0"/>
        <v>08 Grid Planning</v>
      </c>
      <c r="E18" s="452">
        <v>2809451.8890709481</v>
      </c>
      <c r="F18" s="453">
        <v>3929633.0814992483</v>
      </c>
      <c r="G18" s="454">
        <v>3860469.1166429366</v>
      </c>
      <c r="H18" s="455">
        <v>3987086.4430749277</v>
      </c>
      <c r="I18" s="455">
        <v>4001678.7920337082</v>
      </c>
      <c r="J18" s="455">
        <v>3039334.0880881278</v>
      </c>
      <c r="K18" s="453">
        <v>3052561.0163147836</v>
      </c>
      <c r="O18" s="1080" t="s">
        <v>937</v>
      </c>
    </row>
    <row r="19" spans="4:15" ht="11.25" customHeight="1" x14ac:dyDescent="0.25">
      <c r="D19" s="465" t="str">
        <f t="shared" si="0"/>
        <v>09 Insurance</v>
      </c>
      <c r="E19" s="452">
        <v>11904681.538840571</v>
      </c>
      <c r="F19" s="453">
        <v>13596000.148040555</v>
      </c>
      <c r="G19" s="454">
        <v>15987251.32881137</v>
      </c>
      <c r="H19" s="455">
        <v>17858640.592773907</v>
      </c>
      <c r="I19" s="455">
        <v>18892697.412945826</v>
      </c>
      <c r="J19" s="455">
        <v>19897150.855208144</v>
      </c>
      <c r="K19" s="453">
        <v>20918531.378432881</v>
      </c>
      <c r="O19" s="1080" t="s">
        <v>936</v>
      </c>
    </row>
    <row r="20" spans="4:15" ht="11.25" customHeight="1" x14ac:dyDescent="0.25">
      <c r="D20" s="465" t="str">
        <f t="shared" si="0"/>
        <v>10 Rates, Taxes &amp; Charges</v>
      </c>
      <c r="E20" s="452">
        <v>7317488.8651160635</v>
      </c>
      <c r="F20" s="453">
        <v>7540260.7846018486</v>
      </c>
      <c r="G20" s="454">
        <v>7510077.4008455183</v>
      </c>
      <c r="H20" s="455">
        <v>7839864.459987239</v>
      </c>
      <c r="I20" s="455">
        <v>7877871.6426114189</v>
      </c>
      <c r="J20" s="455">
        <v>7916239.261284221</v>
      </c>
      <c r="K20" s="453">
        <v>7950690.0736988261</v>
      </c>
      <c r="O20" s="1080" t="s">
        <v>936</v>
      </c>
    </row>
    <row r="21" spans="4:15" ht="11.25" customHeight="1" x14ac:dyDescent="0.25">
      <c r="D21" s="465" t="str">
        <f t="shared" si="0"/>
        <v>11 Property Management</v>
      </c>
      <c r="E21" s="452">
        <v>-1003840.3163942468</v>
      </c>
      <c r="F21" s="453">
        <v>-1407702.9680789404</v>
      </c>
      <c r="G21" s="454">
        <v>-1030260.3274395926</v>
      </c>
      <c r="H21" s="455">
        <v>-1075501.7417955135</v>
      </c>
      <c r="I21" s="455">
        <v>-1080715.7083534393</v>
      </c>
      <c r="J21" s="455">
        <v>-1085979.1208679986</v>
      </c>
      <c r="K21" s="453">
        <v>-1090705.2113440882</v>
      </c>
      <c r="O21" s="1080" t="s">
        <v>937</v>
      </c>
    </row>
    <row r="22" spans="4:15" ht="11.25" customHeight="1" x14ac:dyDescent="0.25">
      <c r="D22" s="465" t="str">
        <f t="shared" si="0"/>
        <v>12 Environmental</v>
      </c>
      <c r="E22" s="452">
        <v>2782781.3529636296</v>
      </c>
      <c r="F22" s="453">
        <v>2060278.1394550053</v>
      </c>
      <c r="G22" s="454">
        <v>2856021.2028494822</v>
      </c>
      <c r="H22" s="455">
        <v>2981436.5325540854</v>
      </c>
      <c r="I22" s="455">
        <v>2995890.3542181612</v>
      </c>
      <c r="J22" s="455">
        <v>3010481.246772748</v>
      </c>
      <c r="K22" s="453">
        <v>3023582.609842645</v>
      </c>
      <c r="O22" s="1080" t="s">
        <v>936</v>
      </c>
    </row>
    <row r="23" spans="4:15" ht="11.25" customHeight="1" x14ac:dyDescent="0.25">
      <c r="D23" s="465" t="str">
        <f t="shared" si="0"/>
        <v>13 Corporate Governance</v>
      </c>
      <c r="E23" s="452">
        <v>12696787.824290033</v>
      </c>
      <c r="F23" s="453">
        <v>17869743.588856947</v>
      </c>
      <c r="G23" s="454">
        <v>13030953.795789441</v>
      </c>
      <c r="H23" s="455">
        <v>13603176.916904174</v>
      </c>
      <c r="I23" s="455">
        <v>13669124.285253273</v>
      </c>
      <c r="J23" s="455">
        <v>13735697.056676837</v>
      </c>
      <c r="K23" s="453">
        <v>13795473.66360656</v>
      </c>
      <c r="O23" s="1080" t="s">
        <v>937</v>
      </c>
    </row>
    <row r="24" spans="4:15" ht="11.25" customHeight="1" x14ac:dyDescent="0.25">
      <c r="D24" s="465" t="str">
        <f t="shared" si="0"/>
        <v>14 Customer Relations</v>
      </c>
      <c r="E24" s="452">
        <v>9017156.115557665</v>
      </c>
      <c r="F24" s="453">
        <v>7159256.2871824959</v>
      </c>
      <c r="G24" s="454">
        <v>9254478.0882658008</v>
      </c>
      <c r="H24" s="455">
        <v>9660866.3249938358</v>
      </c>
      <c r="I24" s="455">
        <v>9707701.6131031942</v>
      </c>
      <c r="J24" s="455">
        <v>9754981.0574224237</v>
      </c>
      <c r="K24" s="453">
        <v>9797433.9206349961</v>
      </c>
      <c r="O24" s="1080" t="s">
        <v>937</v>
      </c>
    </row>
    <row r="25" spans="4:15" ht="11.25" customHeight="1" x14ac:dyDescent="0.25">
      <c r="D25" s="465" t="str">
        <f t="shared" si="0"/>
        <v>15 Regulatory</v>
      </c>
      <c r="E25" s="452">
        <v>5703073.1125287153</v>
      </c>
      <c r="F25" s="453">
        <v>1693176.5827752817</v>
      </c>
      <c r="G25" s="454">
        <v>5853171.9401656073</v>
      </c>
      <c r="H25" s="455">
        <v>6110199.9650140237</v>
      </c>
      <c r="I25" s="455">
        <v>6139821.8401275286</v>
      </c>
      <c r="J25" s="455">
        <v>6169724.6303439569</v>
      </c>
      <c r="K25" s="453">
        <v>6196574.7568843802</v>
      </c>
      <c r="O25" s="1080" t="s">
        <v>937</v>
      </c>
    </row>
    <row r="26" spans="4:15" ht="11.25" customHeight="1" x14ac:dyDescent="0.25">
      <c r="D26" s="465" t="str">
        <f t="shared" si="0"/>
        <v>16 Finance</v>
      </c>
      <c r="E26" s="452">
        <v>9615201.1255397294</v>
      </c>
      <c r="F26" s="453">
        <v>9506919.0496505369</v>
      </c>
      <c r="G26" s="454">
        <v>4701909.1689546341</v>
      </c>
      <c r="H26" s="455">
        <v>4908382.2469826266</v>
      </c>
      <c r="I26" s="455">
        <v>4932177.7834236547</v>
      </c>
      <c r="J26" s="455">
        <v>4956198.9816616774</v>
      </c>
      <c r="K26" s="453">
        <v>4977767.9458845938</v>
      </c>
      <c r="O26" s="1080" t="s">
        <v>937</v>
      </c>
    </row>
    <row r="27" spans="4:15" ht="11.25" customHeight="1" x14ac:dyDescent="0.25">
      <c r="D27" s="465" t="str">
        <f t="shared" si="0"/>
        <v>17 Information technology</v>
      </c>
      <c r="E27" s="452">
        <v>54347717.086625755</v>
      </c>
      <c r="F27" s="453">
        <v>33662746.324020304</v>
      </c>
      <c r="G27" s="454">
        <v>38811490.800753981</v>
      </c>
      <c r="H27" s="455">
        <v>40351296.087593019</v>
      </c>
      <c r="I27" s="455">
        <v>40529926.724048026</v>
      </c>
      <c r="J27" s="455">
        <v>40708140.179422811</v>
      </c>
      <c r="K27" s="453">
        <v>40870154.475460626</v>
      </c>
      <c r="O27" s="1080" t="s">
        <v>937</v>
      </c>
    </row>
    <row r="28" spans="4:15" ht="11.25" customHeight="1" x14ac:dyDescent="0.25">
      <c r="D28" s="465" t="str">
        <f t="shared" si="0"/>
        <v>18 HR &amp; Payroll</v>
      </c>
      <c r="E28" s="452">
        <v>9133542.058833139</v>
      </c>
      <c r="F28" s="453">
        <v>9506266.7211033963</v>
      </c>
      <c r="G28" s="454">
        <v>9373927.1859659795</v>
      </c>
      <c r="H28" s="455">
        <v>9785560.7436867431</v>
      </c>
      <c r="I28" s="455">
        <v>9833000.5426990222</v>
      </c>
      <c r="J28" s="455">
        <v>9880890.2307197172</v>
      </c>
      <c r="K28" s="453">
        <v>9923891.0401435345</v>
      </c>
      <c r="O28" s="1080" t="s">
        <v>937</v>
      </c>
    </row>
    <row r="29" spans="4:15" ht="11.25" customHeight="1" x14ac:dyDescent="0.25">
      <c r="D29" s="465" t="str">
        <f t="shared" si="0"/>
        <v>20 Network Support</v>
      </c>
      <c r="E29" s="452">
        <v>1554696.0351524507</v>
      </c>
      <c r="F29" s="453">
        <v>0</v>
      </c>
      <c r="G29" s="454">
        <v>0</v>
      </c>
      <c r="H29" s="455">
        <v>0</v>
      </c>
      <c r="I29" s="455">
        <v>0</v>
      </c>
      <c r="J29" s="455">
        <v>0</v>
      </c>
      <c r="K29" s="453">
        <v>0</v>
      </c>
      <c r="O29" s="1080" t="s">
        <v>937</v>
      </c>
    </row>
    <row r="30" spans="4:15" ht="11.1" customHeight="1" thickBot="1" x14ac:dyDescent="0.3">
      <c r="D30" s="465" t="str">
        <f t="shared" si="0"/>
        <v>21 Bushfire Remediation</v>
      </c>
      <c r="E30" s="452">
        <v>22387623.528073706</v>
      </c>
      <c r="F30" s="453">
        <v>13752148.922986545</v>
      </c>
      <c r="G30" s="454">
        <v>0</v>
      </c>
      <c r="H30" s="455">
        <v>0</v>
      </c>
      <c r="I30" s="455">
        <v>0</v>
      </c>
      <c r="J30" s="455">
        <v>0</v>
      </c>
      <c r="K30" s="453">
        <v>0</v>
      </c>
      <c r="O30" s="1080" t="s">
        <v>936</v>
      </c>
    </row>
    <row r="31" spans="4:15" ht="11.25" hidden="1" customHeight="1" outlineLevel="1" x14ac:dyDescent="0.25">
      <c r="D31" s="465">
        <f t="shared" si="0"/>
        <v>0</v>
      </c>
      <c r="E31" s="452">
        <v>0</v>
      </c>
      <c r="F31" s="453">
        <v>0</v>
      </c>
      <c r="G31" s="454">
        <v>0</v>
      </c>
      <c r="H31" s="455">
        <v>0</v>
      </c>
      <c r="I31" s="455">
        <v>0</v>
      </c>
      <c r="J31" s="455">
        <v>0</v>
      </c>
      <c r="K31" s="453">
        <v>0</v>
      </c>
      <c r="L31" s="935" t="s">
        <v>691</v>
      </c>
    </row>
    <row r="32" spans="4:15" ht="11.25" hidden="1" customHeight="1" outlineLevel="1" x14ac:dyDescent="0.25">
      <c r="D32" s="465">
        <f t="shared" si="0"/>
        <v>0</v>
      </c>
      <c r="E32" s="452">
        <v>0</v>
      </c>
      <c r="F32" s="453">
        <v>0</v>
      </c>
      <c r="G32" s="454">
        <v>0</v>
      </c>
      <c r="H32" s="455">
        <v>0</v>
      </c>
      <c r="I32" s="455">
        <v>0</v>
      </c>
      <c r="J32" s="455">
        <v>0</v>
      </c>
      <c r="K32" s="453">
        <v>0</v>
      </c>
    </row>
    <row r="33" spans="4:11" ht="11.25" hidden="1" customHeight="1" outlineLevel="1" x14ac:dyDescent="0.25">
      <c r="D33" s="465">
        <f t="shared" si="0"/>
        <v>0</v>
      </c>
      <c r="E33" s="452">
        <v>0</v>
      </c>
      <c r="F33" s="453">
        <v>0</v>
      </c>
      <c r="G33" s="454">
        <v>0</v>
      </c>
      <c r="H33" s="455">
        <v>0</v>
      </c>
      <c r="I33" s="455">
        <v>0</v>
      </c>
      <c r="J33" s="455">
        <v>0</v>
      </c>
      <c r="K33" s="453">
        <v>0</v>
      </c>
    </row>
    <row r="34" spans="4:11" ht="11.25" hidden="1" customHeight="1" outlineLevel="1" x14ac:dyDescent="0.25">
      <c r="D34" s="465">
        <f t="shared" si="0"/>
        <v>0</v>
      </c>
      <c r="E34" s="452">
        <v>0</v>
      </c>
      <c r="F34" s="453">
        <v>0</v>
      </c>
      <c r="G34" s="454">
        <v>0</v>
      </c>
      <c r="H34" s="455">
        <v>0</v>
      </c>
      <c r="I34" s="455">
        <v>0</v>
      </c>
      <c r="J34" s="455">
        <v>0</v>
      </c>
      <c r="K34" s="453">
        <v>0</v>
      </c>
    </row>
    <row r="35" spans="4:11" ht="11.25" hidden="1" customHeight="1" outlineLevel="1" x14ac:dyDescent="0.25">
      <c r="D35" s="465">
        <f t="shared" si="0"/>
        <v>0</v>
      </c>
      <c r="E35" s="452">
        <v>0</v>
      </c>
      <c r="F35" s="453">
        <v>0</v>
      </c>
      <c r="G35" s="454">
        <v>0</v>
      </c>
      <c r="H35" s="455">
        <v>0</v>
      </c>
      <c r="I35" s="455">
        <v>0</v>
      </c>
      <c r="J35" s="455">
        <v>0</v>
      </c>
      <c r="K35" s="453">
        <v>0</v>
      </c>
    </row>
    <row r="36" spans="4:11" ht="11.25" hidden="1" customHeight="1" outlineLevel="1" x14ac:dyDescent="0.25">
      <c r="D36" s="465">
        <f t="shared" si="0"/>
        <v>0</v>
      </c>
      <c r="E36" s="452">
        <v>0</v>
      </c>
      <c r="F36" s="453">
        <v>0</v>
      </c>
      <c r="G36" s="454">
        <v>0</v>
      </c>
      <c r="H36" s="455">
        <v>0</v>
      </c>
      <c r="I36" s="455">
        <v>0</v>
      </c>
      <c r="J36" s="455">
        <v>0</v>
      </c>
      <c r="K36" s="453">
        <v>0</v>
      </c>
    </row>
    <row r="37" spans="4:11" ht="11.25" hidden="1" customHeight="1" outlineLevel="1" x14ac:dyDescent="0.25">
      <c r="D37" s="465">
        <f t="shared" si="0"/>
        <v>0</v>
      </c>
      <c r="E37" s="452">
        <v>0</v>
      </c>
      <c r="F37" s="453">
        <v>0</v>
      </c>
      <c r="G37" s="454">
        <v>0</v>
      </c>
      <c r="H37" s="455">
        <v>0</v>
      </c>
      <c r="I37" s="455">
        <v>0</v>
      </c>
      <c r="J37" s="455">
        <v>0</v>
      </c>
      <c r="K37" s="453">
        <v>0</v>
      </c>
    </row>
    <row r="38" spans="4:11" ht="11.25" hidden="1" customHeight="1" outlineLevel="1" x14ac:dyDescent="0.25">
      <c r="D38" s="465">
        <f t="shared" si="0"/>
        <v>0</v>
      </c>
      <c r="E38" s="452">
        <v>0</v>
      </c>
      <c r="F38" s="453">
        <v>0</v>
      </c>
      <c r="G38" s="454">
        <v>0</v>
      </c>
      <c r="H38" s="455">
        <v>0</v>
      </c>
      <c r="I38" s="455">
        <v>0</v>
      </c>
      <c r="J38" s="455">
        <v>0</v>
      </c>
      <c r="K38" s="453">
        <v>0</v>
      </c>
    </row>
    <row r="39" spans="4:11" ht="11.25" hidden="1" customHeight="1" outlineLevel="1" x14ac:dyDescent="0.25">
      <c r="D39" s="465">
        <f t="shared" si="0"/>
        <v>0</v>
      </c>
      <c r="E39" s="452">
        <v>0</v>
      </c>
      <c r="F39" s="453">
        <v>0</v>
      </c>
      <c r="G39" s="454">
        <v>0</v>
      </c>
      <c r="H39" s="455">
        <v>0</v>
      </c>
      <c r="I39" s="455">
        <v>0</v>
      </c>
      <c r="J39" s="455">
        <v>0</v>
      </c>
      <c r="K39" s="453">
        <v>0</v>
      </c>
    </row>
    <row r="40" spans="4:11" ht="11.25" hidden="1" customHeight="1" outlineLevel="1" x14ac:dyDescent="0.25">
      <c r="D40" s="465">
        <f t="shared" si="0"/>
        <v>0</v>
      </c>
      <c r="E40" s="452">
        <v>0</v>
      </c>
      <c r="F40" s="453">
        <v>0</v>
      </c>
      <c r="G40" s="454">
        <v>0</v>
      </c>
      <c r="H40" s="455">
        <v>0</v>
      </c>
      <c r="I40" s="455">
        <v>0</v>
      </c>
      <c r="J40" s="455">
        <v>0</v>
      </c>
      <c r="K40" s="453">
        <v>0</v>
      </c>
    </row>
    <row r="41" spans="4:11" ht="11.25" hidden="1" customHeight="1" outlineLevel="1" x14ac:dyDescent="0.25">
      <c r="D41" s="465">
        <f t="shared" si="0"/>
        <v>0</v>
      </c>
      <c r="E41" s="452">
        <v>0</v>
      </c>
      <c r="F41" s="453">
        <v>0</v>
      </c>
      <c r="G41" s="454">
        <v>0</v>
      </c>
      <c r="H41" s="455">
        <v>0</v>
      </c>
      <c r="I41" s="455">
        <v>0</v>
      </c>
      <c r="J41" s="455">
        <v>0</v>
      </c>
      <c r="K41" s="453">
        <v>0</v>
      </c>
    </row>
    <row r="42" spans="4:11" ht="11.25" hidden="1" customHeight="1" outlineLevel="1" x14ac:dyDescent="0.25">
      <c r="D42" s="465">
        <f t="shared" si="0"/>
        <v>0</v>
      </c>
      <c r="E42" s="452">
        <v>0</v>
      </c>
      <c r="F42" s="453">
        <v>0</v>
      </c>
      <c r="G42" s="454">
        <v>0</v>
      </c>
      <c r="H42" s="455">
        <v>0</v>
      </c>
      <c r="I42" s="455">
        <v>0</v>
      </c>
      <c r="J42" s="455">
        <v>0</v>
      </c>
      <c r="K42" s="453">
        <v>0</v>
      </c>
    </row>
    <row r="43" spans="4:11" ht="11.25" hidden="1" customHeight="1" outlineLevel="1" x14ac:dyDescent="0.25">
      <c r="D43" s="465">
        <f t="shared" si="0"/>
        <v>0</v>
      </c>
      <c r="E43" s="452">
        <v>0</v>
      </c>
      <c r="F43" s="453">
        <v>0</v>
      </c>
      <c r="G43" s="454">
        <v>0</v>
      </c>
      <c r="H43" s="455">
        <v>0</v>
      </c>
      <c r="I43" s="455">
        <v>0</v>
      </c>
      <c r="J43" s="455">
        <v>0</v>
      </c>
      <c r="K43" s="453">
        <v>0</v>
      </c>
    </row>
    <row r="44" spans="4:11" ht="11.25" hidden="1" customHeight="1" outlineLevel="1" x14ac:dyDescent="0.25">
      <c r="D44" s="465">
        <f t="shared" si="0"/>
        <v>0</v>
      </c>
      <c r="E44" s="452">
        <v>0</v>
      </c>
      <c r="F44" s="453">
        <v>0</v>
      </c>
      <c r="G44" s="454">
        <v>0</v>
      </c>
      <c r="H44" s="455">
        <v>0</v>
      </c>
      <c r="I44" s="455">
        <v>0</v>
      </c>
      <c r="J44" s="455">
        <v>0</v>
      </c>
      <c r="K44" s="453">
        <v>0</v>
      </c>
    </row>
    <row r="45" spans="4:11" ht="11.25" hidden="1" customHeight="1" outlineLevel="1" thickBot="1" x14ac:dyDescent="0.3">
      <c r="D45" s="466">
        <f t="shared" si="0"/>
        <v>0</v>
      </c>
      <c r="E45" s="456">
        <v>0</v>
      </c>
      <c r="F45" s="457">
        <v>0</v>
      </c>
      <c r="G45" s="458">
        <v>0</v>
      </c>
      <c r="H45" s="459">
        <v>0</v>
      </c>
      <c r="I45" s="459">
        <v>0</v>
      </c>
      <c r="J45" s="459">
        <v>0</v>
      </c>
      <c r="K45" s="457">
        <v>0</v>
      </c>
    </row>
    <row r="46" spans="4:11" ht="11.25" customHeight="1" collapsed="1" thickBot="1" x14ac:dyDescent="0.25">
      <c r="D46" s="460" t="s">
        <v>363</v>
      </c>
      <c r="E46" s="411">
        <f>SUM(E12:E45)</f>
        <v>223480729.76390216</v>
      </c>
      <c r="F46" s="411">
        <f t="shared" ref="F46:K46" si="1">SUM(F12:F45)</f>
        <v>193243157.44050598</v>
      </c>
      <c r="G46" s="411">
        <f t="shared" si="1"/>
        <v>188863781.64036441</v>
      </c>
      <c r="H46" s="411">
        <f t="shared" si="1"/>
        <v>197582308.67818257</v>
      </c>
      <c r="I46" s="411">
        <f t="shared" si="1"/>
        <v>199933918.75658357</v>
      </c>
      <c r="J46" s="411">
        <f t="shared" si="1"/>
        <v>200339193.25304416</v>
      </c>
      <c r="K46" s="412">
        <f t="shared" si="1"/>
        <v>202599178.91443646</v>
      </c>
    </row>
    <row r="47" spans="4:11" ht="11.25" customHeight="1" x14ac:dyDescent="0.2">
      <c r="D47"/>
      <c r="E47"/>
      <c r="F47"/>
      <c r="G47"/>
      <c r="H47"/>
      <c r="I47"/>
      <c r="J47"/>
      <c r="K47"/>
    </row>
    <row r="48" spans="4:11" ht="11.25" customHeight="1" x14ac:dyDescent="0.2">
      <c r="D48"/>
      <c r="E48"/>
      <c r="F48"/>
      <c r="G48"/>
      <c r="H48"/>
      <c r="I48"/>
      <c r="J48"/>
      <c r="K48"/>
    </row>
    <row r="49" spans="4:11" ht="11.25" customHeight="1" x14ac:dyDescent="0.2">
      <c r="D49"/>
      <c r="E49"/>
      <c r="F49"/>
      <c r="G49"/>
      <c r="H49"/>
      <c r="I49"/>
      <c r="J49"/>
      <c r="K49"/>
    </row>
    <row r="50" spans="4:11" ht="40.5" customHeight="1" x14ac:dyDescent="0.2">
      <c r="D50" s="1246" t="s">
        <v>364</v>
      </c>
      <c r="E50" s="1247"/>
      <c r="F50" s="1248"/>
      <c r="G50"/>
      <c r="H50"/>
      <c r="I50"/>
      <c r="J50"/>
      <c r="K50"/>
    </row>
    <row r="51" spans="4:11" ht="11.25" customHeight="1" x14ac:dyDescent="0.2">
      <c r="D51"/>
      <c r="E51"/>
      <c r="F51"/>
      <c r="G51"/>
      <c r="H51"/>
      <c r="I51"/>
      <c r="J51"/>
      <c r="K51"/>
    </row>
    <row r="52" spans="4:11" ht="19.5" thickBot="1" x14ac:dyDescent="0.25">
      <c r="D52" s="444" t="s">
        <v>365</v>
      </c>
      <c r="E52" s="249"/>
      <c r="F52" s="249"/>
      <c r="G52" s="249"/>
      <c r="H52" s="249"/>
      <c r="I52" s="249"/>
      <c r="J52" s="249"/>
      <c r="K52" s="249"/>
    </row>
    <row r="53" spans="4:11" ht="15" x14ac:dyDescent="0.2">
      <c r="D53" s="461"/>
      <c r="E53" s="1120" t="s">
        <v>361</v>
      </c>
      <c r="F53" s="1120"/>
      <c r="G53" s="1120"/>
      <c r="H53" s="1120"/>
      <c r="I53" s="1120"/>
      <c r="J53" s="1120"/>
      <c r="K53" s="1249"/>
    </row>
    <row r="54" spans="4:11" ht="14.65" customHeight="1" x14ac:dyDescent="0.2">
      <c r="D54" s="461"/>
      <c r="E54" s="1121" t="s">
        <v>490</v>
      </c>
      <c r="F54" s="1121"/>
      <c r="G54" s="1121"/>
      <c r="H54" s="1121"/>
      <c r="I54" s="1121"/>
      <c r="J54" s="1121"/>
      <c r="K54" s="1121"/>
    </row>
    <row r="55" spans="4:11" ht="15.75" thickBot="1" x14ac:dyDescent="0.25">
      <c r="D55" s="290"/>
      <c r="E55" s="462" t="s">
        <v>167</v>
      </c>
      <c r="F55" s="441" t="s">
        <v>168</v>
      </c>
      <c r="G55" s="442" t="s">
        <v>169</v>
      </c>
      <c r="H55" s="442" t="s">
        <v>170</v>
      </c>
      <c r="I55" s="442" t="s">
        <v>171</v>
      </c>
      <c r="J55" s="442" t="s">
        <v>172</v>
      </c>
      <c r="K55" s="463" t="s">
        <v>181</v>
      </c>
    </row>
    <row r="56" spans="4:11" ht="32.25" thickBot="1" x14ac:dyDescent="0.25">
      <c r="D56" s="445" t="s">
        <v>366</v>
      </c>
      <c r="E56" s="446"/>
      <c r="F56" s="446"/>
      <c r="G56" s="446"/>
      <c r="H56" s="446"/>
      <c r="I56" s="446"/>
      <c r="J56" s="446"/>
      <c r="K56" s="447"/>
    </row>
    <row r="57" spans="4:11" ht="11.25" customHeight="1" thickBot="1" x14ac:dyDescent="0.3">
      <c r="D57" s="464" t="str">
        <f>D199</f>
        <v>n/a</v>
      </c>
      <c r="E57" s="448">
        <f>E199*Input_CPI!R$23</f>
        <v>0</v>
      </c>
      <c r="F57" s="449">
        <f>F199*Input_CPI!S$23</f>
        <v>0</v>
      </c>
      <c r="G57" s="450">
        <f t="shared" ref="G57:K66" si="2">G$93*$M199</f>
        <v>0</v>
      </c>
      <c r="H57" s="451">
        <f t="shared" si="2"/>
        <v>0</v>
      </c>
      <c r="I57" s="451">
        <f t="shared" si="2"/>
        <v>0</v>
      </c>
      <c r="J57" s="451">
        <f t="shared" si="2"/>
        <v>0</v>
      </c>
      <c r="K57" s="449">
        <f t="shared" si="2"/>
        <v>0</v>
      </c>
    </row>
    <row r="58" spans="4:11" ht="11.25" hidden="1" customHeight="1" outlineLevel="1" x14ac:dyDescent="0.25">
      <c r="D58" s="465">
        <f t="shared" ref="D58:D90" si="3">D200</f>
        <v>0</v>
      </c>
      <c r="E58" s="452">
        <f>E200*Input_CPI!R$23</f>
        <v>0</v>
      </c>
      <c r="F58" s="453">
        <f>F200*Input_CPI!S$23</f>
        <v>0</v>
      </c>
      <c r="G58" s="454">
        <f t="shared" si="2"/>
        <v>0</v>
      </c>
      <c r="H58" s="455">
        <f t="shared" si="2"/>
        <v>0</v>
      </c>
      <c r="I58" s="455">
        <f t="shared" si="2"/>
        <v>0</v>
      </c>
      <c r="J58" s="455">
        <f t="shared" si="2"/>
        <v>0</v>
      </c>
      <c r="K58" s="453">
        <f t="shared" si="2"/>
        <v>0</v>
      </c>
    </row>
    <row r="59" spans="4:11" ht="11.25" hidden="1" customHeight="1" outlineLevel="1" x14ac:dyDescent="0.25">
      <c r="D59" s="465">
        <f t="shared" si="3"/>
        <v>0</v>
      </c>
      <c r="E59" s="452">
        <f>E201*Input_CPI!R$23</f>
        <v>0</v>
      </c>
      <c r="F59" s="453">
        <f>F201*Input_CPI!S$23</f>
        <v>0</v>
      </c>
      <c r="G59" s="454">
        <f t="shared" si="2"/>
        <v>0</v>
      </c>
      <c r="H59" s="455">
        <f t="shared" si="2"/>
        <v>0</v>
      </c>
      <c r="I59" s="455">
        <f t="shared" si="2"/>
        <v>0</v>
      </c>
      <c r="J59" s="455">
        <f t="shared" si="2"/>
        <v>0</v>
      </c>
      <c r="K59" s="453">
        <f t="shared" si="2"/>
        <v>0</v>
      </c>
    </row>
    <row r="60" spans="4:11" ht="11.25" hidden="1" customHeight="1" outlineLevel="1" x14ac:dyDescent="0.25">
      <c r="D60" s="465">
        <f t="shared" si="3"/>
        <v>0</v>
      </c>
      <c r="E60" s="452">
        <f>E202*Input_CPI!R$23</f>
        <v>0</v>
      </c>
      <c r="F60" s="453">
        <f>F202*Input_CPI!S$23</f>
        <v>0</v>
      </c>
      <c r="G60" s="454">
        <f t="shared" si="2"/>
        <v>0</v>
      </c>
      <c r="H60" s="455">
        <f t="shared" si="2"/>
        <v>0</v>
      </c>
      <c r="I60" s="455">
        <f t="shared" si="2"/>
        <v>0</v>
      </c>
      <c r="J60" s="455">
        <f t="shared" si="2"/>
        <v>0</v>
      </c>
      <c r="K60" s="453">
        <f t="shared" si="2"/>
        <v>0</v>
      </c>
    </row>
    <row r="61" spans="4:11" ht="11.25" hidden="1" customHeight="1" outlineLevel="1" x14ac:dyDescent="0.25">
      <c r="D61" s="465">
        <f t="shared" si="3"/>
        <v>0</v>
      </c>
      <c r="E61" s="452">
        <f>E203*Input_CPI!R$23</f>
        <v>0</v>
      </c>
      <c r="F61" s="453">
        <f>F203*Input_CPI!S$23</f>
        <v>0</v>
      </c>
      <c r="G61" s="454">
        <f t="shared" si="2"/>
        <v>0</v>
      </c>
      <c r="H61" s="455">
        <f t="shared" si="2"/>
        <v>0</v>
      </c>
      <c r="I61" s="455">
        <f t="shared" si="2"/>
        <v>0</v>
      </c>
      <c r="J61" s="455">
        <f t="shared" si="2"/>
        <v>0</v>
      </c>
      <c r="K61" s="453">
        <f t="shared" si="2"/>
        <v>0</v>
      </c>
    </row>
    <row r="62" spans="4:11" ht="11.25" hidden="1" customHeight="1" outlineLevel="1" x14ac:dyDescent="0.25">
      <c r="D62" s="465">
        <f t="shared" si="3"/>
        <v>0</v>
      </c>
      <c r="E62" s="452">
        <f>E204*Input_CPI!R$23</f>
        <v>0</v>
      </c>
      <c r="F62" s="453">
        <f>F204*Input_CPI!S$23</f>
        <v>0</v>
      </c>
      <c r="G62" s="454">
        <f t="shared" si="2"/>
        <v>0</v>
      </c>
      <c r="H62" s="455">
        <f t="shared" si="2"/>
        <v>0</v>
      </c>
      <c r="I62" s="455">
        <f t="shared" si="2"/>
        <v>0</v>
      </c>
      <c r="J62" s="455">
        <f t="shared" si="2"/>
        <v>0</v>
      </c>
      <c r="K62" s="453">
        <f t="shared" si="2"/>
        <v>0</v>
      </c>
    </row>
    <row r="63" spans="4:11" ht="11.25" hidden="1" customHeight="1" outlineLevel="1" x14ac:dyDescent="0.25">
      <c r="D63" s="465">
        <f t="shared" si="3"/>
        <v>0</v>
      </c>
      <c r="E63" s="452">
        <f>E205*Input_CPI!R$23</f>
        <v>0</v>
      </c>
      <c r="F63" s="453">
        <f>F205*Input_CPI!S$23</f>
        <v>0</v>
      </c>
      <c r="G63" s="454">
        <f t="shared" si="2"/>
        <v>0</v>
      </c>
      <c r="H63" s="455">
        <f t="shared" si="2"/>
        <v>0</v>
      </c>
      <c r="I63" s="455">
        <f t="shared" si="2"/>
        <v>0</v>
      </c>
      <c r="J63" s="455">
        <f t="shared" si="2"/>
        <v>0</v>
      </c>
      <c r="K63" s="453">
        <f t="shared" si="2"/>
        <v>0</v>
      </c>
    </row>
    <row r="64" spans="4:11" ht="11.25" hidden="1" customHeight="1" outlineLevel="1" x14ac:dyDescent="0.25">
      <c r="D64" s="465">
        <f t="shared" si="3"/>
        <v>0</v>
      </c>
      <c r="E64" s="452">
        <f>E206*Input_CPI!R$23</f>
        <v>0</v>
      </c>
      <c r="F64" s="453">
        <f>F206*Input_CPI!S$23</f>
        <v>0</v>
      </c>
      <c r="G64" s="454">
        <f t="shared" si="2"/>
        <v>0</v>
      </c>
      <c r="H64" s="455">
        <f t="shared" si="2"/>
        <v>0</v>
      </c>
      <c r="I64" s="455">
        <f t="shared" si="2"/>
        <v>0</v>
      </c>
      <c r="J64" s="455">
        <f t="shared" si="2"/>
        <v>0</v>
      </c>
      <c r="K64" s="453">
        <f t="shared" si="2"/>
        <v>0</v>
      </c>
    </row>
    <row r="65" spans="4:11" ht="11.25" hidden="1" customHeight="1" outlineLevel="1" x14ac:dyDescent="0.25">
      <c r="D65" s="465">
        <f t="shared" si="3"/>
        <v>0</v>
      </c>
      <c r="E65" s="452">
        <f>E207*Input_CPI!R$23</f>
        <v>0</v>
      </c>
      <c r="F65" s="453">
        <f>F207*Input_CPI!S$23</f>
        <v>0</v>
      </c>
      <c r="G65" s="454">
        <f t="shared" si="2"/>
        <v>0</v>
      </c>
      <c r="H65" s="455">
        <f t="shared" si="2"/>
        <v>0</v>
      </c>
      <c r="I65" s="455">
        <f t="shared" si="2"/>
        <v>0</v>
      </c>
      <c r="J65" s="455">
        <f t="shared" si="2"/>
        <v>0</v>
      </c>
      <c r="K65" s="453">
        <f t="shared" si="2"/>
        <v>0</v>
      </c>
    </row>
    <row r="66" spans="4:11" ht="11.25" hidden="1" customHeight="1" outlineLevel="1" x14ac:dyDescent="0.25">
      <c r="D66" s="465">
        <f t="shared" si="3"/>
        <v>0</v>
      </c>
      <c r="E66" s="452">
        <f>E208*Input_CPI!R$23</f>
        <v>0</v>
      </c>
      <c r="F66" s="453">
        <f>F208*Input_CPI!S$23</f>
        <v>0</v>
      </c>
      <c r="G66" s="454">
        <f t="shared" si="2"/>
        <v>0</v>
      </c>
      <c r="H66" s="455">
        <f t="shared" si="2"/>
        <v>0</v>
      </c>
      <c r="I66" s="455">
        <f t="shared" si="2"/>
        <v>0</v>
      </c>
      <c r="J66" s="455">
        <f t="shared" si="2"/>
        <v>0</v>
      </c>
      <c r="K66" s="453">
        <f t="shared" si="2"/>
        <v>0</v>
      </c>
    </row>
    <row r="67" spans="4:11" ht="11.25" hidden="1" customHeight="1" outlineLevel="1" x14ac:dyDescent="0.25">
      <c r="D67" s="465">
        <f t="shared" si="3"/>
        <v>0</v>
      </c>
      <c r="E67" s="452">
        <f>E209*Input_CPI!R$23</f>
        <v>0</v>
      </c>
      <c r="F67" s="453">
        <f>F209*Input_CPI!S$23</f>
        <v>0</v>
      </c>
      <c r="G67" s="454">
        <f t="shared" ref="G67:K76" si="4">G$93*$M209</f>
        <v>0</v>
      </c>
      <c r="H67" s="455">
        <f t="shared" si="4"/>
        <v>0</v>
      </c>
      <c r="I67" s="455">
        <f t="shared" si="4"/>
        <v>0</v>
      </c>
      <c r="J67" s="455">
        <f t="shared" si="4"/>
        <v>0</v>
      </c>
      <c r="K67" s="453">
        <f t="shared" si="4"/>
        <v>0</v>
      </c>
    </row>
    <row r="68" spans="4:11" ht="11.25" hidden="1" customHeight="1" outlineLevel="1" x14ac:dyDescent="0.25">
      <c r="D68" s="465">
        <f t="shared" si="3"/>
        <v>0</v>
      </c>
      <c r="E68" s="452">
        <f>E210*Input_CPI!R$23</f>
        <v>0</v>
      </c>
      <c r="F68" s="453">
        <f>F210*Input_CPI!S$23</f>
        <v>0</v>
      </c>
      <c r="G68" s="454">
        <f t="shared" si="4"/>
        <v>0</v>
      </c>
      <c r="H68" s="455">
        <f t="shared" si="4"/>
        <v>0</v>
      </c>
      <c r="I68" s="455">
        <f t="shared" si="4"/>
        <v>0</v>
      </c>
      <c r="J68" s="455">
        <f t="shared" si="4"/>
        <v>0</v>
      </c>
      <c r="K68" s="453">
        <f t="shared" si="4"/>
        <v>0</v>
      </c>
    </row>
    <row r="69" spans="4:11" ht="11.25" hidden="1" customHeight="1" outlineLevel="1" x14ac:dyDescent="0.25">
      <c r="D69" s="465">
        <f t="shared" si="3"/>
        <v>0</v>
      </c>
      <c r="E69" s="452">
        <f>E211*Input_CPI!R$23</f>
        <v>0</v>
      </c>
      <c r="F69" s="453">
        <f>F211*Input_CPI!S$23</f>
        <v>0</v>
      </c>
      <c r="G69" s="454">
        <f t="shared" si="4"/>
        <v>0</v>
      </c>
      <c r="H69" s="455">
        <f t="shared" si="4"/>
        <v>0</v>
      </c>
      <c r="I69" s="455">
        <f t="shared" si="4"/>
        <v>0</v>
      </c>
      <c r="J69" s="455">
        <f t="shared" si="4"/>
        <v>0</v>
      </c>
      <c r="K69" s="453">
        <f t="shared" si="4"/>
        <v>0</v>
      </c>
    </row>
    <row r="70" spans="4:11" ht="11.25" hidden="1" customHeight="1" outlineLevel="1" x14ac:dyDescent="0.25">
      <c r="D70" s="465">
        <f t="shared" si="3"/>
        <v>0</v>
      </c>
      <c r="E70" s="452">
        <f>E212*Input_CPI!R$23</f>
        <v>0</v>
      </c>
      <c r="F70" s="453">
        <f>F212*Input_CPI!S$23</f>
        <v>0</v>
      </c>
      <c r="G70" s="454">
        <f t="shared" si="4"/>
        <v>0</v>
      </c>
      <c r="H70" s="455">
        <f t="shared" si="4"/>
        <v>0</v>
      </c>
      <c r="I70" s="455">
        <f t="shared" si="4"/>
        <v>0</v>
      </c>
      <c r="J70" s="455">
        <f t="shared" si="4"/>
        <v>0</v>
      </c>
      <c r="K70" s="453">
        <f t="shared" si="4"/>
        <v>0</v>
      </c>
    </row>
    <row r="71" spans="4:11" ht="11.25" hidden="1" customHeight="1" outlineLevel="1" x14ac:dyDescent="0.25">
      <c r="D71" s="465">
        <f t="shared" si="3"/>
        <v>0</v>
      </c>
      <c r="E71" s="452">
        <f>E213*Input_CPI!R$23</f>
        <v>0</v>
      </c>
      <c r="F71" s="453">
        <f>F213*Input_CPI!S$23</f>
        <v>0</v>
      </c>
      <c r="G71" s="454">
        <f t="shared" si="4"/>
        <v>0</v>
      </c>
      <c r="H71" s="455">
        <f t="shared" si="4"/>
        <v>0</v>
      </c>
      <c r="I71" s="455">
        <f t="shared" si="4"/>
        <v>0</v>
      </c>
      <c r="J71" s="455">
        <f t="shared" si="4"/>
        <v>0</v>
      </c>
      <c r="K71" s="453">
        <f t="shared" si="4"/>
        <v>0</v>
      </c>
    </row>
    <row r="72" spans="4:11" ht="11.25" hidden="1" customHeight="1" outlineLevel="1" x14ac:dyDescent="0.25">
      <c r="D72" s="465">
        <f t="shared" si="3"/>
        <v>0</v>
      </c>
      <c r="E72" s="452">
        <f>E214*Input_CPI!R$23</f>
        <v>0</v>
      </c>
      <c r="F72" s="453">
        <f>F214*Input_CPI!S$23</f>
        <v>0</v>
      </c>
      <c r="G72" s="454">
        <f t="shared" si="4"/>
        <v>0</v>
      </c>
      <c r="H72" s="455">
        <f t="shared" si="4"/>
        <v>0</v>
      </c>
      <c r="I72" s="455">
        <f t="shared" si="4"/>
        <v>0</v>
      </c>
      <c r="J72" s="455">
        <f t="shared" si="4"/>
        <v>0</v>
      </c>
      <c r="K72" s="453">
        <f t="shared" si="4"/>
        <v>0</v>
      </c>
    </row>
    <row r="73" spans="4:11" ht="11.25" hidden="1" customHeight="1" outlineLevel="1" x14ac:dyDescent="0.25">
      <c r="D73" s="465">
        <f t="shared" si="3"/>
        <v>0</v>
      </c>
      <c r="E73" s="452">
        <f>E215*Input_CPI!R$23</f>
        <v>0</v>
      </c>
      <c r="F73" s="453">
        <f>F215*Input_CPI!S$23</f>
        <v>0</v>
      </c>
      <c r="G73" s="454">
        <f t="shared" si="4"/>
        <v>0</v>
      </c>
      <c r="H73" s="455">
        <f t="shared" si="4"/>
        <v>0</v>
      </c>
      <c r="I73" s="455">
        <f t="shared" si="4"/>
        <v>0</v>
      </c>
      <c r="J73" s="455">
        <f t="shared" si="4"/>
        <v>0</v>
      </c>
      <c r="K73" s="453">
        <f t="shared" si="4"/>
        <v>0</v>
      </c>
    </row>
    <row r="74" spans="4:11" ht="11.25" hidden="1" customHeight="1" outlineLevel="1" x14ac:dyDescent="0.25">
      <c r="D74" s="465">
        <f t="shared" si="3"/>
        <v>0</v>
      </c>
      <c r="E74" s="452">
        <f>E216*Input_CPI!R$23</f>
        <v>0</v>
      </c>
      <c r="F74" s="453">
        <f>F216*Input_CPI!S$23</f>
        <v>0</v>
      </c>
      <c r="G74" s="454">
        <f t="shared" si="4"/>
        <v>0</v>
      </c>
      <c r="H74" s="455">
        <f t="shared" si="4"/>
        <v>0</v>
      </c>
      <c r="I74" s="455">
        <f t="shared" si="4"/>
        <v>0</v>
      </c>
      <c r="J74" s="455">
        <f t="shared" si="4"/>
        <v>0</v>
      </c>
      <c r="K74" s="453">
        <f t="shared" si="4"/>
        <v>0</v>
      </c>
    </row>
    <row r="75" spans="4:11" ht="11.25" hidden="1" customHeight="1" outlineLevel="1" x14ac:dyDescent="0.25">
      <c r="D75" s="465">
        <f t="shared" si="3"/>
        <v>0</v>
      </c>
      <c r="E75" s="452">
        <f>E217*Input_CPI!R$23</f>
        <v>0</v>
      </c>
      <c r="F75" s="453">
        <f>F217*Input_CPI!S$23</f>
        <v>0</v>
      </c>
      <c r="G75" s="454">
        <f t="shared" si="4"/>
        <v>0</v>
      </c>
      <c r="H75" s="455">
        <f t="shared" si="4"/>
        <v>0</v>
      </c>
      <c r="I75" s="455">
        <f t="shared" si="4"/>
        <v>0</v>
      </c>
      <c r="J75" s="455">
        <f t="shared" si="4"/>
        <v>0</v>
      </c>
      <c r="K75" s="453">
        <f t="shared" si="4"/>
        <v>0</v>
      </c>
    </row>
    <row r="76" spans="4:11" ht="11.25" hidden="1" customHeight="1" outlineLevel="1" x14ac:dyDescent="0.25">
      <c r="D76" s="465">
        <f t="shared" si="3"/>
        <v>0</v>
      </c>
      <c r="E76" s="452">
        <f>E218*Input_CPI!R$23</f>
        <v>0</v>
      </c>
      <c r="F76" s="453">
        <f>F218*Input_CPI!S$23</f>
        <v>0</v>
      </c>
      <c r="G76" s="454">
        <f t="shared" si="4"/>
        <v>0</v>
      </c>
      <c r="H76" s="455">
        <f t="shared" si="4"/>
        <v>0</v>
      </c>
      <c r="I76" s="455">
        <f t="shared" si="4"/>
        <v>0</v>
      </c>
      <c r="J76" s="455">
        <f t="shared" si="4"/>
        <v>0</v>
      </c>
      <c r="K76" s="453">
        <f t="shared" si="4"/>
        <v>0</v>
      </c>
    </row>
    <row r="77" spans="4:11" ht="11.25" hidden="1" customHeight="1" outlineLevel="1" x14ac:dyDescent="0.25">
      <c r="D77" s="465">
        <f t="shared" si="3"/>
        <v>0</v>
      </c>
      <c r="E77" s="452">
        <f>E219*Input_CPI!R$23</f>
        <v>0</v>
      </c>
      <c r="F77" s="453">
        <f>F219*Input_CPI!S$23</f>
        <v>0</v>
      </c>
      <c r="G77" s="454">
        <f t="shared" ref="G77:K86" si="5">G$93*$M219</f>
        <v>0</v>
      </c>
      <c r="H77" s="455">
        <f t="shared" si="5"/>
        <v>0</v>
      </c>
      <c r="I77" s="455">
        <f t="shared" si="5"/>
        <v>0</v>
      </c>
      <c r="J77" s="455">
        <f t="shared" si="5"/>
        <v>0</v>
      </c>
      <c r="K77" s="453">
        <f t="shared" si="5"/>
        <v>0</v>
      </c>
    </row>
    <row r="78" spans="4:11" ht="11.25" hidden="1" customHeight="1" outlineLevel="1" x14ac:dyDescent="0.25">
      <c r="D78" s="465">
        <f t="shared" si="3"/>
        <v>0</v>
      </c>
      <c r="E78" s="452">
        <f>E220*Input_CPI!R$23</f>
        <v>0</v>
      </c>
      <c r="F78" s="453">
        <f>F220*Input_CPI!S$23</f>
        <v>0</v>
      </c>
      <c r="G78" s="454">
        <f t="shared" si="5"/>
        <v>0</v>
      </c>
      <c r="H78" s="455">
        <f t="shared" si="5"/>
        <v>0</v>
      </c>
      <c r="I78" s="455">
        <f t="shared" si="5"/>
        <v>0</v>
      </c>
      <c r="J78" s="455">
        <f t="shared" si="5"/>
        <v>0</v>
      </c>
      <c r="K78" s="453">
        <f t="shared" si="5"/>
        <v>0</v>
      </c>
    </row>
    <row r="79" spans="4:11" ht="11.25" hidden="1" customHeight="1" outlineLevel="1" x14ac:dyDescent="0.25">
      <c r="D79" s="465">
        <f t="shared" si="3"/>
        <v>0</v>
      </c>
      <c r="E79" s="452">
        <f>E221*Input_CPI!R$23</f>
        <v>0</v>
      </c>
      <c r="F79" s="453">
        <f>F221*Input_CPI!S$23</f>
        <v>0</v>
      </c>
      <c r="G79" s="454">
        <f t="shared" si="5"/>
        <v>0</v>
      </c>
      <c r="H79" s="455">
        <f t="shared" si="5"/>
        <v>0</v>
      </c>
      <c r="I79" s="455">
        <f t="shared" si="5"/>
        <v>0</v>
      </c>
      <c r="J79" s="455">
        <f t="shared" si="5"/>
        <v>0</v>
      </c>
      <c r="K79" s="453">
        <f t="shared" si="5"/>
        <v>0</v>
      </c>
    </row>
    <row r="80" spans="4:11" ht="11.25" hidden="1" customHeight="1" outlineLevel="1" x14ac:dyDescent="0.25">
      <c r="D80" s="465">
        <f t="shared" si="3"/>
        <v>0</v>
      </c>
      <c r="E80" s="452">
        <f>E222*Input_CPI!R$23</f>
        <v>0</v>
      </c>
      <c r="F80" s="453">
        <f>F222*Input_CPI!S$23</f>
        <v>0</v>
      </c>
      <c r="G80" s="454">
        <f t="shared" si="5"/>
        <v>0</v>
      </c>
      <c r="H80" s="455">
        <f t="shared" si="5"/>
        <v>0</v>
      </c>
      <c r="I80" s="455">
        <f t="shared" si="5"/>
        <v>0</v>
      </c>
      <c r="J80" s="455">
        <f t="shared" si="5"/>
        <v>0</v>
      </c>
      <c r="K80" s="453">
        <f t="shared" si="5"/>
        <v>0</v>
      </c>
    </row>
    <row r="81" spans="1:11" ht="11.25" hidden="1" customHeight="1" outlineLevel="1" x14ac:dyDescent="0.25">
      <c r="D81" s="465">
        <f t="shared" si="3"/>
        <v>0</v>
      </c>
      <c r="E81" s="452">
        <f>E223*Input_CPI!R$23</f>
        <v>0</v>
      </c>
      <c r="F81" s="453">
        <f>F223*Input_CPI!S$23</f>
        <v>0</v>
      </c>
      <c r="G81" s="454">
        <f t="shared" si="5"/>
        <v>0</v>
      </c>
      <c r="H81" s="455">
        <f t="shared" si="5"/>
        <v>0</v>
      </c>
      <c r="I81" s="455">
        <f t="shared" si="5"/>
        <v>0</v>
      </c>
      <c r="J81" s="455">
        <f t="shared" si="5"/>
        <v>0</v>
      </c>
      <c r="K81" s="453">
        <f t="shared" si="5"/>
        <v>0</v>
      </c>
    </row>
    <row r="82" spans="1:11" ht="11.25" hidden="1" customHeight="1" outlineLevel="1" x14ac:dyDescent="0.25">
      <c r="D82" s="465">
        <f t="shared" si="3"/>
        <v>0</v>
      </c>
      <c r="E82" s="452">
        <f>E224*Input_CPI!R$23</f>
        <v>0</v>
      </c>
      <c r="F82" s="453">
        <f>F224*Input_CPI!S$23</f>
        <v>0</v>
      </c>
      <c r="G82" s="454">
        <f t="shared" si="5"/>
        <v>0</v>
      </c>
      <c r="H82" s="455">
        <f t="shared" si="5"/>
        <v>0</v>
      </c>
      <c r="I82" s="455">
        <f t="shared" si="5"/>
        <v>0</v>
      </c>
      <c r="J82" s="455">
        <f t="shared" si="5"/>
        <v>0</v>
      </c>
      <c r="K82" s="453">
        <f t="shared" si="5"/>
        <v>0</v>
      </c>
    </row>
    <row r="83" spans="1:11" ht="11.25" hidden="1" customHeight="1" outlineLevel="1" x14ac:dyDescent="0.25">
      <c r="D83" s="465">
        <f t="shared" si="3"/>
        <v>0</v>
      </c>
      <c r="E83" s="452">
        <f>E225*Input_CPI!R$23</f>
        <v>0</v>
      </c>
      <c r="F83" s="453">
        <f>F225*Input_CPI!S$23</f>
        <v>0</v>
      </c>
      <c r="G83" s="454">
        <f t="shared" si="5"/>
        <v>0</v>
      </c>
      <c r="H83" s="455">
        <f t="shared" si="5"/>
        <v>0</v>
      </c>
      <c r="I83" s="455">
        <f t="shared" si="5"/>
        <v>0</v>
      </c>
      <c r="J83" s="455">
        <f t="shared" si="5"/>
        <v>0</v>
      </c>
      <c r="K83" s="453">
        <f t="shared" si="5"/>
        <v>0</v>
      </c>
    </row>
    <row r="84" spans="1:11" ht="11.25" hidden="1" customHeight="1" outlineLevel="1" x14ac:dyDescent="0.25">
      <c r="D84" s="465">
        <f t="shared" si="3"/>
        <v>0</v>
      </c>
      <c r="E84" s="452">
        <f>E226*Input_CPI!R$23</f>
        <v>0</v>
      </c>
      <c r="F84" s="453">
        <f>F226*Input_CPI!S$23</f>
        <v>0</v>
      </c>
      <c r="G84" s="454">
        <f t="shared" si="5"/>
        <v>0</v>
      </c>
      <c r="H84" s="455">
        <f t="shared" si="5"/>
        <v>0</v>
      </c>
      <c r="I84" s="455">
        <f t="shared" si="5"/>
        <v>0</v>
      </c>
      <c r="J84" s="455">
        <f t="shared" si="5"/>
        <v>0</v>
      </c>
      <c r="K84" s="453">
        <f t="shared" si="5"/>
        <v>0</v>
      </c>
    </row>
    <row r="85" spans="1:11" ht="11.25" hidden="1" customHeight="1" outlineLevel="1" x14ac:dyDescent="0.25">
      <c r="D85" s="465">
        <f t="shared" si="3"/>
        <v>0</v>
      </c>
      <c r="E85" s="452">
        <f>E227*Input_CPI!R$23</f>
        <v>0</v>
      </c>
      <c r="F85" s="453">
        <f>F227*Input_CPI!S$23</f>
        <v>0</v>
      </c>
      <c r="G85" s="454">
        <f t="shared" si="5"/>
        <v>0</v>
      </c>
      <c r="H85" s="455">
        <f t="shared" si="5"/>
        <v>0</v>
      </c>
      <c r="I85" s="455">
        <f t="shared" si="5"/>
        <v>0</v>
      </c>
      <c r="J85" s="455">
        <f t="shared" si="5"/>
        <v>0</v>
      </c>
      <c r="K85" s="453">
        <f t="shared" si="5"/>
        <v>0</v>
      </c>
    </row>
    <row r="86" spans="1:11" ht="11.25" hidden="1" customHeight="1" outlineLevel="1" x14ac:dyDescent="0.25">
      <c r="D86" s="465">
        <f t="shared" si="3"/>
        <v>0</v>
      </c>
      <c r="E86" s="452">
        <f>E228*Input_CPI!R$23</f>
        <v>0</v>
      </c>
      <c r="F86" s="453">
        <f>F228*Input_CPI!S$23</f>
        <v>0</v>
      </c>
      <c r="G86" s="454">
        <f t="shared" si="5"/>
        <v>0</v>
      </c>
      <c r="H86" s="455">
        <f t="shared" si="5"/>
        <v>0</v>
      </c>
      <c r="I86" s="455">
        <f t="shared" si="5"/>
        <v>0</v>
      </c>
      <c r="J86" s="455">
        <f t="shared" si="5"/>
        <v>0</v>
      </c>
      <c r="K86" s="453">
        <f t="shared" si="5"/>
        <v>0</v>
      </c>
    </row>
    <row r="87" spans="1:11" ht="11.25" hidden="1" customHeight="1" outlineLevel="1" x14ac:dyDescent="0.25">
      <c r="D87" s="465">
        <f t="shared" si="3"/>
        <v>0</v>
      </c>
      <c r="E87" s="452">
        <f>E229*Input_CPI!R$23</f>
        <v>0</v>
      </c>
      <c r="F87" s="453">
        <f>F229*Input_CPI!S$23</f>
        <v>0</v>
      </c>
      <c r="G87" s="454">
        <f t="shared" ref="G87:K90" si="6">G$93*$M229</f>
        <v>0</v>
      </c>
      <c r="H87" s="455">
        <f t="shared" si="6"/>
        <v>0</v>
      </c>
      <c r="I87" s="455">
        <f t="shared" si="6"/>
        <v>0</v>
      </c>
      <c r="J87" s="455">
        <f t="shared" si="6"/>
        <v>0</v>
      </c>
      <c r="K87" s="453">
        <f t="shared" si="6"/>
        <v>0</v>
      </c>
    </row>
    <row r="88" spans="1:11" ht="11.25" hidden="1" customHeight="1" outlineLevel="1" x14ac:dyDescent="0.25">
      <c r="D88" s="465">
        <f t="shared" si="3"/>
        <v>0</v>
      </c>
      <c r="E88" s="452">
        <f>E230*Input_CPI!R$23</f>
        <v>0</v>
      </c>
      <c r="F88" s="453">
        <f>F230*Input_CPI!S$23</f>
        <v>0</v>
      </c>
      <c r="G88" s="454">
        <f t="shared" si="6"/>
        <v>0</v>
      </c>
      <c r="H88" s="455">
        <f t="shared" si="6"/>
        <v>0</v>
      </c>
      <c r="I88" s="455">
        <f t="shared" si="6"/>
        <v>0</v>
      </c>
      <c r="J88" s="455">
        <f t="shared" si="6"/>
        <v>0</v>
      </c>
      <c r="K88" s="453">
        <f t="shared" si="6"/>
        <v>0</v>
      </c>
    </row>
    <row r="89" spans="1:11" ht="11.25" hidden="1" customHeight="1" outlineLevel="1" x14ac:dyDescent="0.25">
      <c r="D89" s="465">
        <f t="shared" si="3"/>
        <v>0</v>
      </c>
      <c r="E89" s="452">
        <f>E231*Input_CPI!R$23</f>
        <v>0</v>
      </c>
      <c r="F89" s="453">
        <f>F231*Input_CPI!S$23</f>
        <v>0</v>
      </c>
      <c r="G89" s="454">
        <f t="shared" si="6"/>
        <v>0</v>
      </c>
      <c r="H89" s="455">
        <f t="shared" si="6"/>
        <v>0</v>
      </c>
      <c r="I89" s="455">
        <f t="shared" si="6"/>
        <v>0</v>
      </c>
      <c r="J89" s="455">
        <f t="shared" si="6"/>
        <v>0</v>
      </c>
      <c r="K89" s="453">
        <f t="shared" si="6"/>
        <v>0</v>
      </c>
    </row>
    <row r="90" spans="1:11" ht="11.25" hidden="1" customHeight="1" outlineLevel="1" thickBot="1" x14ac:dyDescent="0.3">
      <c r="D90" s="466">
        <f t="shared" si="3"/>
        <v>0</v>
      </c>
      <c r="E90" s="456">
        <f>E232*Input_CPI!R$23</f>
        <v>0</v>
      </c>
      <c r="F90" s="457">
        <f>F232*Input_CPI!S$23</f>
        <v>0</v>
      </c>
      <c r="G90" s="458">
        <f t="shared" si="6"/>
        <v>0</v>
      </c>
      <c r="H90" s="459">
        <f t="shared" si="6"/>
        <v>0</v>
      </c>
      <c r="I90" s="459">
        <f t="shared" si="6"/>
        <v>0</v>
      </c>
      <c r="J90" s="459">
        <f t="shared" si="6"/>
        <v>0</v>
      </c>
      <c r="K90" s="457">
        <f t="shared" si="6"/>
        <v>0</v>
      </c>
    </row>
    <row r="91" spans="1:11" ht="11.25" customHeight="1" collapsed="1" thickBot="1" x14ac:dyDescent="0.25">
      <c r="D91" s="443" t="s">
        <v>179</v>
      </c>
      <c r="E91" s="411">
        <f>SUM(E57:E90)</f>
        <v>0</v>
      </c>
      <c r="F91" s="411">
        <f t="shared" ref="F91:K91" si="7">SUM(F57:F90)</f>
        <v>0</v>
      </c>
      <c r="G91" s="411">
        <f t="shared" si="7"/>
        <v>0</v>
      </c>
      <c r="H91" s="411">
        <f t="shared" si="7"/>
        <v>0</v>
      </c>
      <c r="I91" s="411">
        <f t="shared" si="7"/>
        <v>0</v>
      </c>
      <c r="J91" s="411">
        <f t="shared" si="7"/>
        <v>0</v>
      </c>
      <c r="K91" s="412">
        <f t="shared" si="7"/>
        <v>0</v>
      </c>
    </row>
    <row r="92" spans="1:11" ht="11.25" customHeight="1" x14ac:dyDescent="0.2"/>
    <row r="93" spans="1:11" ht="11.25" customHeight="1" x14ac:dyDescent="0.2">
      <c r="D93" s="6" t="s">
        <v>493</v>
      </c>
      <c r="E93" s="774">
        <v>223480729.76390213</v>
      </c>
      <c r="F93" s="774">
        <v>193243157.44050601</v>
      </c>
      <c r="G93" s="146">
        <f>WkB_1_2.16!J17</f>
        <v>188863781.64036438</v>
      </c>
      <c r="H93" s="144">
        <f>WkB_1_2.16!K17</f>
        <v>197582308.6781826</v>
      </c>
      <c r="I93" s="144">
        <f>WkB_1_2.16!L17</f>
        <v>199933918.75658357</v>
      </c>
      <c r="J93" s="144">
        <f>WkB_1_2.16!M17</f>
        <v>200339193.25304416</v>
      </c>
      <c r="K93" s="144">
        <f>WkB_1_2.16!N17</f>
        <v>202599178.91443646</v>
      </c>
    </row>
    <row r="94" spans="1:11" ht="11.25" customHeight="1" x14ac:dyDescent="0.2">
      <c r="D94" s="6" t="s">
        <v>637</v>
      </c>
      <c r="E94" s="393"/>
      <c r="F94" s="936"/>
      <c r="G94" s="937">
        <v>178934752.69442981</v>
      </c>
      <c r="H94" s="774">
        <v>186792243.73209921</v>
      </c>
      <c r="I94" s="774">
        <v>187697801.08663511</v>
      </c>
      <c r="J94" s="774">
        <v>188611946.17359775</v>
      </c>
      <c r="K94" s="774">
        <v>189432769.61795208</v>
      </c>
    </row>
    <row r="95" spans="1:11" ht="11.25" customHeight="1" x14ac:dyDescent="0.2"/>
    <row r="96" spans="1:11" ht="11.25" customHeight="1" x14ac:dyDescent="0.2">
      <c r="A96" s="750">
        <f>IF(SUM(E96:K96)=0,0,1)</f>
        <v>0</v>
      </c>
      <c r="D96" s="6" t="s">
        <v>491</v>
      </c>
      <c r="E96" s="70">
        <f t="shared" ref="E96:K96" si="8">IF(ROUND(E$93-E46,4)=0,0,1)</f>
        <v>0</v>
      </c>
      <c r="F96" s="70">
        <f t="shared" si="8"/>
        <v>0</v>
      </c>
      <c r="G96" s="70">
        <f t="shared" si="8"/>
        <v>0</v>
      </c>
      <c r="H96" s="70">
        <f t="shared" si="8"/>
        <v>0</v>
      </c>
      <c r="I96" s="70">
        <f t="shared" si="8"/>
        <v>0</v>
      </c>
      <c r="J96" s="70">
        <f t="shared" si="8"/>
        <v>0</v>
      </c>
      <c r="K96" s="70">
        <f t="shared" si="8"/>
        <v>0</v>
      </c>
    </row>
    <row r="97" spans="1:14" ht="11.25" customHeight="1" x14ac:dyDescent="0.2">
      <c r="A97" s="750">
        <f>IF(SUM(E97:K97)=0,0,1)</f>
        <v>0</v>
      </c>
      <c r="D97" s="6" t="s">
        <v>492</v>
      </c>
      <c r="E97" s="70">
        <f t="shared" ref="E97:K97" si="9">IF(E91=0,0,
IF(ROUND(E$93-E91,4)=0,0,1))</f>
        <v>0</v>
      </c>
      <c r="F97" s="70">
        <f t="shared" si="9"/>
        <v>0</v>
      </c>
      <c r="G97" s="70">
        <f t="shared" si="9"/>
        <v>0</v>
      </c>
      <c r="H97" s="70">
        <f t="shared" si="9"/>
        <v>0</v>
      </c>
      <c r="I97" s="70">
        <f t="shared" si="9"/>
        <v>0</v>
      </c>
      <c r="J97" s="70">
        <f t="shared" si="9"/>
        <v>0</v>
      </c>
      <c r="K97" s="70">
        <f t="shared" si="9"/>
        <v>0</v>
      </c>
    </row>
    <row r="98" spans="1:14" ht="11.25" customHeight="1" x14ac:dyDescent="0.2"/>
    <row r="99" spans="1:14" s="7" customFormat="1" ht="15" x14ac:dyDescent="0.2">
      <c r="C99" s="7" t="s">
        <v>638</v>
      </c>
    </row>
    <row r="100" spans="1:14" ht="11.25" customHeight="1" x14ac:dyDescent="0.2"/>
    <row r="101" spans="1:14" ht="11.25" customHeight="1" x14ac:dyDescent="0.2">
      <c r="D101"/>
      <c r="E101" s="1257" t="s">
        <v>667</v>
      </c>
      <c r="F101" s="1258"/>
      <c r="G101" s="1258"/>
      <c r="H101" s="1258"/>
      <c r="I101" s="1258"/>
      <c r="J101" s="1259"/>
    </row>
    <row r="102" spans="1:14" ht="11.25" customHeight="1" thickBot="1" x14ac:dyDescent="0.25">
      <c r="D102"/>
      <c r="E102" s="1260" t="s">
        <v>490</v>
      </c>
      <c r="F102" s="1261"/>
      <c r="G102" s="1261"/>
      <c r="H102" s="1261"/>
      <c r="I102" s="1261"/>
      <c r="J102" s="1262"/>
    </row>
    <row r="103" spans="1:14" ht="60.75" thickBot="1" x14ac:dyDescent="0.25">
      <c r="D103" s="290"/>
      <c r="E103" s="441" t="s">
        <v>658</v>
      </c>
      <c r="F103" s="441" t="s">
        <v>659</v>
      </c>
      <c r="G103" s="441" t="s">
        <v>660</v>
      </c>
      <c r="H103" s="441" t="s">
        <v>663</v>
      </c>
      <c r="I103" s="441" t="s">
        <v>662</v>
      </c>
      <c r="J103" s="441" t="s">
        <v>664</v>
      </c>
      <c r="M103" s="186" t="s">
        <v>225</v>
      </c>
      <c r="N103" s="935" t="s">
        <v>665</v>
      </c>
    </row>
    <row r="104" spans="1:14" ht="32.25" thickBot="1" x14ac:dyDescent="0.25">
      <c r="D104" s="445" t="s">
        <v>362</v>
      </c>
      <c r="E104" s="446"/>
      <c r="F104" s="446"/>
      <c r="G104" s="446"/>
      <c r="H104" s="446"/>
      <c r="I104" s="446"/>
      <c r="J104" s="446"/>
      <c r="M104" s="931"/>
    </row>
    <row r="105" spans="1:14" ht="15" x14ac:dyDescent="0.25">
      <c r="D105" s="464" t="s">
        <v>639</v>
      </c>
      <c r="E105" s="448">
        <f>E155*Input_CPI!$R$16</f>
        <v>15804835.676778765</v>
      </c>
      <c r="F105" s="449"/>
      <c r="G105" s="449"/>
      <c r="H105" s="449">
        <f>SUM(E105:G105)</f>
        <v>15804835.676778765</v>
      </c>
      <c r="I105" s="449">
        <f>$I$127*$H105/$H$124</f>
        <v>235063.60145804752</v>
      </c>
      <c r="J105" s="449">
        <f>SUM(H105:I105)</f>
        <v>16039899.278236814</v>
      </c>
      <c r="M105" s="188">
        <f>$J105/$J$124</f>
        <v>9.0652050106207471E-2</v>
      </c>
    </row>
    <row r="106" spans="1:14" ht="15" x14ac:dyDescent="0.25">
      <c r="D106" s="465" t="s">
        <v>640</v>
      </c>
      <c r="E106" s="452">
        <f>E156*Input_CPI!$R$16</f>
        <v>18872318.150750395</v>
      </c>
      <c r="F106" s="453"/>
      <c r="G106" s="453"/>
      <c r="H106" s="453">
        <f t="shared" ref="H106:H123" si="10">SUM(E106:G106)</f>
        <v>18872318.150750395</v>
      </c>
      <c r="I106" s="453">
        <f t="shared" ref="I106:I123" si="11">$I$127*$H106/$H$124</f>
        <v>280685.93455200177</v>
      </c>
      <c r="J106" s="453">
        <f t="shared" ref="J106:J123" si="12">SUM(H106:I106)</f>
        <v>19153004.085302398</v>
      </c>
      <c r="M106" s="188">
        <f t="shared" ref="M106:M124" si="13">$J106/$J$124</f>
        <v>0.1082462586520735</v>
      </c>
    </row>
    <row r="107" spans="1:14" ht="15" x14ac:dyDescent="0.25">
      <c r="D107" s="465" t="s">
        <v>641</v>
      </c>
      <c r="E107" s="452">
        <f>E157*Input_CPI!$R$16</f>
        <v>6571861.828989421</v>
      </c>
      <c r="F107" s="453"/>
      <c r="G107" s="453"/>
      <c r="H107" s="453">
        <f t="shared" si="10"/>
        <v>6571861.828989421</v>
      </c>
      <c r="I107" s="453">
        <f t="shared" si="11"/>
        <v>97742.585965422462</v>
      </c>
      <c r="J107" s="453">
        <f t="shared" si="12"/>
        <v>6669604.4149548439</v>
      </c>
      <c r="M107" s="188">
        <f t="shared" si="13"/>
        <v>3.7694333556908169E-2</v>
      </c>
    </row>
    <row r="108" spans="1:14" ht="15" x14ac:dyDescent="0.25">
      <c r="D108" s="465" t="s">
        <v>642</v>
      </c>
      <c r="E108" s="452">
        <f>E158*Input_CPI!$R$16</f>
        <v>11444881.007322554</v>
      </c>
      <c r="F108" s="453"/>
      <c r="G108" s="453"/>
      <c r="H108" s="453">
        <f t="shared" si="10"/>
        <v>11444881.007322554</v>
      </c>
      <c r="I108" s="453">
        <f t="shared" si="11"/>
        <v>170218.47002134475</v>
      </c>
      <c r="J108" s="453">
        <f t="shared" si="12"/>
        <v>11615099.477343898</v>
      </c>
      <c r="M108" s="188">
        <f t="shared" si="13"/>
        <v>6.564458800794333E-2</v>
      </c>
    </row>
    <row r="109" spans="1:14" ht="15" x14ac:dyDescent="0.25">
      <c r="D109" s="465" t="s">
        <v>643</v>
      </c>
      <c r="E109" s="452">
        <f>E159*Input_CPI!$R$16</f>
        <v>14740518.823093954</v>
      </c>
      <c r="F109" s="453"/>
      <c r="G109" s="453"/>
      <c r="H109" s="453">
        <f t="shared" si="10"/>
        <v>14740518.823093954</v>
      </c>
      <c r="I109" s="453">
        <f t="shared" si="11"/>
        <v>219234.13269063545</v>
      </c>
      <c r="J109" s="453">
        <f t="shared" si="12"/>
        <v>14959752.955784589</v>
      </c>
      <c r="M109" s="188">
        <f t="shared" si="13"/>
        <v>8.4547430816120608E-2</v>
      </c>
    </row>
    <row r="110" spans="1:14" ht="15" x14ac:dyDescent="0.25">
      <c r="D110" s="465" t="s">
        <v>644</v>
      </c>
      <c r="E110" s="452">
        <f>E160*Input_CPI!$R$16</f>
        <v>7779954.0607688753</v>
      </c>
      <c r="F110" s="453"/>
      <c r="G110" s="453"/>
      <c r="H110" s="453">
        <f t="shared" si="10"/>
        <v>7779954.0607688753</v>
      </c>
      <c r="I110" s="453">
        <f t="shared" si="11"/>
        <v>115710.4102885063</v>
      </c>
      <c r="J110" s="453">
        <f t="shared" si="12"/>
        <v>7895664.4710573815</v>
      </c>
      <c r="M110" s="188">
        <f t="shared" si="13"/>
        <v>4.4623607594796291E-2</v>
      </c>
    </row>
    <row r="111" spans="1:14" ht="15" x14ac:dyDescent="0.25">
      <c r="D111" s="465" t="s">
        <v>645</v>
      </c>
      <c r="E111" s="452">
        <f>E161*Input_CPI!$R$16</f>
        <v>2809451.8890709481</v>
      </c>
      <c r="F111" s="453"/>
      <c r="G111" s="453"/>
      <c r="H111" s="453">
        <f t="shared" si="10"/>
        <v>2809451.8890709481</v>
      </c>
      <c r="I111" s="453">
        <f t="shared" si="11"/>
        <v>41784.672278397913</v>
      </c>
      <c r="J111" s="453">
        <f t="shared" si="12"/>
        <v>2851236.5613493458</v>
      </c>
      <c r="M111" s="188">
        <f t="shared" si="13"/>
        <v>1.611421837135775E-2</v>
      </c>
    </row>
    <row r="112" spans="1:14" ht="15" x14ac:dyDescent="0.25">
      <c r="D112" s="465" t="s">
        <v>646</v>
      </c>
      <c r="E112" s="452">
        <f>E162*Input_CPI!$R$16</f>
        <v>11904681.538840571</v>
      </c>
      <c r="F112" s="453"/>
      <c r="G112" s="453"/>
      <c r="H112" s="453">
        <f t="shared" si="10"/>
        <v>11904681.538840571</v>
      </c>
      <c r="I112" s="453">
        <f t="shared" si="11"/>
        <v>177057.03330041442</v>
      </c>
      <c r="J112" s="453">
        <f t="shared" si="12"/>
        <v>12081738.572140986</v>
      </c>
      <c r="M112" s="188">
        <f t="shared" si="13"/>
        <v>6.8281873309382637E-2</v>
      </c>
    </row>
    <row r="113" spans="1:13" ht="15" x14ac:dyDescent="0.25">
      <c r="D113" s="465" t="s">
        <v>647</v>
      </c>
      <c r="E113" s="452">
        <f>E163*Input_CPI!$R$16</f>
        <v>7317488.8651160635</v>
      </c>
      <c r="F113" s="453"/>
      <c r="G113" s="453"/>
      <c r="H113" s="453">
        <f t="shared" si="10"/>
        <v>7317488.8651160635</v>
      </c>
      <c r="I113" s="453">
        <f t="shared" si="11"/>
        <v>108832.21574967472</v>
      </c>
      <c r="J113" s="453">
        <f t="shared" si="12"/>
        <v>7426321.080865738</v>
      </c>
      <c r="M113" s="188">
        <f t="shared" si="13"/>
        <v>4.1971038536435773E-2</v>
      </c>
    </row>
    <row r="114" spans="1:13" ht="15" x14ac:dyDescent="0.25">
      <c r="D114" s="465" t="s">
        <v>648</v>
      </c>
      <c r="E114" s="452">
        <f>E164*Input_CPI!$R$16</f>
        <v>-1003840.3163942468</v>
      </c>
      <c r="F114" s="453"/>
      <c r="G114" s="453"/>
      <c r="H114" s="453">
        <f t="shared" si="10"/>
        <v>-1003840.3163942468</v>
      </c>
      <c r="I114" s="453">
        <f t="shared" si="11"/>
        <v>-14930.00780812361</v>
      </c>
      <c r="J114" s="453">
        <f t="shared" si="12"/>
        <v>-1018770.3242023704</v>
      </c>
      <c r="M114" s="188">
        <f t="shared" si="13"/>
        <v>-5.7577430427893858E-3</v>
      </c>
    </row>
    <row r="115" spans="1:13" ht="15" x14ac:dyDescent="0.25">
      <c r="D115" s="465" t="s">
        <v>649</v>
      </c>
      <c r="E115" s="452">
        <f>E165*Input_CPI!$R$16</f>
        <v>2782781.3529636296</v>
      </c>
      <c r="F115" s="453"/>
      <c r="G115" s="453"/>
      <c r="H115" s="453">
        <f t="shared" si="10"/>
        <v>2782781.3529636296</v>
      </c>
      <c r="I115" s="453">
        <f t="shared" si="11"/>
        <v>41388.004296622297</v>
      </c>
      <c r="J115" s="453">
        <f t="shared" si="12"/>
        <v>2824169.3572602519</v>
      </c>
      <c r="M115" s="188">
        <f t="shared" si="13"/>
        <v>1.5961243748590093E-2</v>
      </c>
    </row>
    <row r="116" spans="1:13" ht="15" x14ac:dyDescent="0.25">
      <c r="D116" s="465" t="s">
        <v>650</v>
      </c>
      <c r="E116" s="452">
        <f>E166*Input_CPI!$R$16</f>
        <v>12696787.824290033</v>
      </c>
      <c r="F116" s="453"/>
      <c r="G116" s="453"/>
      <c r="H116" s="453">
        <f t="shared" si="10"/>
        <v>12696787.824290033</v>
      </c>
      <c r="I116" s="453">
        <f t="shared" si="11"/>
        <v>188837.94390291275</v>
      </c>
      <c r="J116" s="453">
        <f t="shared" si="12"/>
        <v>12885625.768192947</v>
      </c>
      <c r="M116" s="188">
        <f t="shared" si="13"/>
        <v>7.2825170066558517E-2</v>
      </c>
    </row>
    <row r="117" spans="1:13" ht="15" x14ac:dyDescent="0.25">
      <c r="D117" s="465" t="s">
        <v>651</v>
      </c>
      <c r="E117" s="452">
        <f>E167*Input_CPI!$R$16</f>
        <v>9017156.115557665</v>
      </c>
      <c r="F117" s="453"/>
      <c r="G117" s="453"/>
      <c r="H117" s="453">
        <f t="shared" si="10"/>
        <v>9017156.115557665</v>
      </c>
      <c r="I117" s="453">
        <f t="shared" si="11"/>
        <v>134111.18184206559</v>
      </c>
      <c r="J117" s="453">
        <f t="shared" si="12"/>
        <v>9151267.2973997314</v>
      </c>
      <c r="M117" s="188">
        <f t="shared" si="13"/>
        <v>5.1719847312555564E-2</v>
      </c>
    </row>
    <row r="118" spans="1:13" ht="15" x14ac:dyDescent="0.25">
      <c r="D118" s="465" t="s">
        <v>652</v>
      </c>
      <c r="E118" s="452">
        <f>E168*Input_CPI!$R$16</f>
        <v>5703073.1125287153</v>
      </c>
      <c r="F118" s="453"/>
      <c r="G118" s="453"/>
      <c r="H118" s="453">
        <f t="shared" si="10"/>
        <v>5703073.1125287153</v>
      </c>
      <c r="I118" s="453">
        <f t="shared" si="11"/>
        <v>84821.185909525724</v>
      </c>
      <c r="J118" s="453">
        <f t="shared" si="12"/>
        <v>5787894.2984382408</v>
      </c>
      <c r="M118" s="188">
        <f t="shared" si="13"/>
        <v>3.2711208147257885E-2</v>
      </c>
    </row>
    <row r="119" spans="1:13" ht="15" x14ac:dyDescent="0.25">
      <c r="D119" s="465" t="s">
        <v>653</v>
      </c>
      <c r="E119" s="452">
        <f>E169*Input_CPI!$R$16</f>
        <v>9615201.1255397294</v>
      </c>
      <c r="F119" s="453"/>
      <c r="G119" s="453">
        <v>-5033867.7847223561</v>
      </c>
      <c r="H119" s="453">
        <f t="shared" si="10"/>
        <v>4581333.3408173732</v>
      </c>
      <c r="I119" s="453">
        <f t="shared" si="11"/>
        <v>68137.672329906054</v>
      </c>
      <c r="J119" s="453">
        <f t="shared" si="12"/>
        <v>4649471.0131472796</v>
      </c>
      <c r="M119" s="188">
        <f t="shared" si="13"/>
        <v>2.6277227302983291E-2</v>
      </c>
    </row>
    <row r="120" spans="1:13" ht="15" x14ac:dyDescent="0.25">
      <c r="D120" s="465" t="s">
        <v>654</v>
      </c>
      <c r="E120" s="452">
        <f>E170*Input_CPI!$R$16</f>
        <v>54347717.086625755</v>
      </c>
      <c r="F120" s="453">
        <v>-20158395.161016721</v>
      </c>
      <c r="G120" s="453"/>
      <c r="H120" s="453">
        <f t="shared" si="10"/>
        <v>34189321.925609037</v>
      </c>
      <c r="I120" s="453">
        <f t="shared" si="11"/>
        <v>508494.06520879606</v>
      </c>
      <c r="J120" s="453">
        <f t="shared" si="12"/>
        <v>34697815.99081783</v>
      </c>
      <c r="M120" s="188">
        <f t="shared" si="13"/>
        <v>0.19610024347492946</v>
      </c>
    </row>
    <row r="121" spans="1:13" ht="15" x14ac:dyDescent="0.25">
      <c r="D121" s="465" t="s">
        <v>655</v>
      </c>
      <c r="E121" s="452">
        <f>E171*Input_CPI!$R$16</f>
        <v>9133542.058833139</v>
      </c>
      <c r="F121" s="453"/>
      <c r="G121" s="453"/>
      <c r="H121" s="453">
        <f t="shared" si="10"/>
        <v>9133542.058833139</v>
      </c>
      <c r="I121" s="453">
        <f t="shared" si="11"/>
        <v>135842.17731363641</v>
      </c>
      <c r="J121" s="453">
        <f t="shared" si="12"/>
        <v>9269384.236146776</v>
      </c>
      <c r="M121" s="188">
        <f t="shared" si="13"/>
        <v>5.2387404038688946E-2</v>
      </c>
    </row>
    <row r="122" spans="1:13" ht="15" x14ac:dyDescent="0.25">
      <c r="D122" s="465" t="s">
        <v>656</v>
      </c>
      <c r="E122" s="452">
        <f>E172*Input_CPI!$R$16</f>
        <v>1554696.0351524507</v>
      </c>
      <c r="F122" s="453">
        <f>-E122</f>
        <v>-1554696.0351524507</v>
      </c>
      <c r="G122" s="453"/>
      <c r="H122" s="453">
        <f t="shared" si="10"/>
        <v>0</v>
      </c>
      <c r="I122" s="453">
        <f t="shared" si="11"/>
        <v>0</v>
      </c>
      <c r="J122" s="453">
        <f t="shared" si="12"/>
        <v>0</v>
      </c>
      <c r="M122" s="188">
        <f t="shared" si="13"/>
        <v>0</v>
      </c>
    </row>
    <row r="123" spans="1:13" ht="15.75" thickBot="1" x14ac:dyDescent="0.3">
      <c r="D123" s="465" t="s">
        <v>657</v>
      </c>
      <c r="E123" s="452">
        <f>E173*Input_CPI!$R$16</f>
        <v>22387623.528073706</v>
      </c>
      <c r="F123" s="453">
        <f>-E123</f>
        <v>-22387623.528073706</v>
      </c>
      <c r="G123" s="453"/>
      <c r="H123" s="453">
        <f t="shared" si="10"/>
        <v>0</v>
      </c>
      <c r="I123" s="453">
        <f t="shared" si="11"/>
        <v>0</v>
      </c>
      <c r="J123" s="453">
        <f t="shared" si="12"/>
        <v>0</v>
      </c>
      <c r="M123" s="188">
        <f t="shared" si="13"/>
        <v>0</v>
      </c>
    </row>
    <row r="124" spans="1:13" ht="15.75" thickBot="1" x14ac:dyDescent="0.25">
      <c r="D124" s="460" t="s">
        <v>363</v>
      </c>
      <c r="E124" s="411">
        <f t="shared" ref="E124:J124" si="14">SUM(E105:E123)</f>
        <v>223480729.76390216</v>
      </c>
      <c r="F124" s="411">
        <f t="shared" si="14"/>
        <v>-44100714.724242881</v>
      </c>
      <c r="G124" s="411">
        <f t="shared" si="14"/>
        <v>-5033867.7847223561</v>
      </c>
      <c r="H124" s="411">
        <f t="shared" si="14"/>
        <v>174346147.2549369</v>
      </c>
      <c r="I124" s="411">
        <f t="shared" si="14"/>
        <v>2593031.2792997868</v>
      </c>
      <c r="J124" s="411">
        <f t="shared" si="14"/>
        <v>176939178.5342367</v>
      </c>
      <c r="M124" s="932">
        <f t="shared" si="13"/>
        <v>1</v>
      </c>
    </row>
    <row r="125" spans="1:13" ht="11.25" customHeight="1" x14ac:dyDescent="0.2"/>
    <row r="126" spans="1:13" ht="11.25" customHeight="1" x14ac:dyDescent="0.2"/>
    <row r="127" spans="1:13" ht="11.25" customHeight="1" x14ac:dyDescent="0.2">
      <c r="D127" s="6" t="s">
        <v>661</v>
      </c>
      <c r="E127" s="201">
        <v>223480729.76390213</v>
      </c>
      <c r="F127" s="201">
        <v>-44100714.724242873</v>
      </c>
      <c r="G127" s="201">
        <v>-5033867.7847223561</v>
      </c>
      <c r="I127" s="201">
        <v>2593031.2792997868</v>
      </c>
      <c r="J127" s="201">
        <v>176939178.53423667</v>
      </c>
      <c r="K127" s="935" t="s">
        <v>692</v>
      </c>
    </row>
    <row r="128" spans="1:13" ht="11.25" customHeight="1" x14ac:dyDescent="0.2">
      <c r="A128" s="750">
        <f>IF(SUM(E128:K128)=0,0,1)</f>
        <v>0</v>
      </c>
      <c r="D128" s="6" t="s">
        <v>674</v>
      </c>
      <c r="E128" s="70">
        <f>IF(ROUND(E124-E127,4)=0,0,1)</f>
        <v>0</v>
      </c>
      <c r="F128" s="70">
        <f t="shared" ref="F128:J128" si="15">IF(ROUND(F124-F127,4)=0,0,1)</f>
        <v>0</v>
      </c>
      <c r="G128" s="70">
        <f t="shared" si="15"/>
        <v>0</v>
      </c>
      <c r="I128" s="70">
        <f t="shared" si="15"/>
        <v>0</v>
      </c>
      <c r="J128" s="70">
        <f t="shared" si="15"/>
        <v>0</v>
      </c>
    </row>
    <row r="129" spans="3:15" ht="11.25" customHeight="1" x14ac:dyDescent="0.2"/>
    <row r="130" spans="3:15" s="7" customFormat="1" ht="15" x14ac:dyDescent="0.2">
      <c r="C130" s="7" t="s">
        <v>666</v>
      </c>
    </row>
    <row r="131" spans="3:15" ht="11.25" customHeight="1" x14ac:dyDescent="0.2"/>
    <row r="132" spans="3:15" ht="11.25" customHeight="1" x14ac:dyDescent="0.2">
      <c r="D132"/>
      <c r="E132" s="1121" t="s">
        <v>361</v>
      </c>
      <c r="F132" s="1121"/>
      <c r="G132" s="1121"/>
      <c r="H132" s="1121"/>
      <c r="I132" s="1121"/>
      <c r="J132" s="1121"/>
      <c r="K132" s="1121"/>
    </row>
    <row r="133" spans="3:15" ht="11.25" customHeight="1" thickBot="1" x14ac:dyDescent="0.25">
      <c r="D133"/>
      <c r="E133" s="1121" t="s">
        <v>490</v>
      </c>
      <c r="F133" s="1121"/>
      <c r="G133" s="1121"/>
      <c r="H133" s="1121"/>
      <c r="I133" s="1121"/>
      <c r="J133" s="1121"/>
      <c r="K133" s="1121"/>
    </row>
    <row r="134" spans="3:15" ht="11.25" customHeight="1" thickBot="1" x14ac:dyDescent="0.25">
      <c r="D134" s="290"/>
      <c r="E134" s="441" t="s">
        <v>167</v>
      </c>
      <c r="F134" s="441" t="s">
        <v>168</v>
      </c>
      <c r="G134" s="442" t="s">
        <v>169</v>
      </c>
      <c r="H134" s="442" t="s">
        <v>170</v>
      </c>
      <c r="I134" s="442" t="s">
        <v>171</v>
      </c>
      <c r="J134" s="442" t="s">
        <v>172</v>
      </c>
      <c r="K134" s="442" t="s">
        <v>181</v>
      </c>
      <c r="M134" s="1087" t="s">
        <v>677</v>
      </c>
      <c r="N134" s="1086"/>
      <c r="O134" s="935" t="s">
        <v>676</v>
      </c>
    </row>
    <row r="135" spans="3:15" ht="11.25" customHeight="1" thickBot="1" x14ac:dyDescent="0.25">
      <c r="D135" s="445" t="s">
        <v>362</v>
      </c>
      <c r="E135" s="446"/>
      <c r="F135" s="446"/>
      <c r="G135" s="446"/>
      <c r="H135" s="446"/>
      <c r="I135" s="446"/>
      <c r="J135" s="446"/>
      <c r="K135" s="447"/>
      <c r="M135" s="1265"/>
      <c r="N135" s="1266"/>
    </row>
    <row r="136" spans="3:15" ht="11.25" customHeight="1" x14ac:dyDescent="0.25">
      <c r="D136" s="465" t="s">
        <v>668</v>
      </c>
      <c r="E136" s="795"/>
      <c r="F136" s="795"/>
      <c r="G136" s="454">
        <v>3769251.2146845995</v>
      </c>
      <c r="H136" s="455">
        <v>5104116.2710833848</v>
      </c>
      <c r="I136" s="455">
        <v>6076339.9386985041</v>
      </c>
      <c r="J136" s="455">
        <v>7018373.8419464473</v>
      </c>
      <c r="K136" s="453">
        <v>7983707.0027344106</v>
      </c>
      <c r="M136" s="1263" t="s">
        <v>646</v>
      </c>
      <c r="N136" s="1264"/>
    </row>
    <row r="137" spans="3:15" ht="11.25" customHeight="1" x14ac:dyDescent="0.25">
      <c r="D137" s="465" t="s">
        <v>669</v>
      </c>
      <c r="E137" s="798"/>
      <c r="F137" s="798"/>
      <c r="G137" s="454">
        <v>0</v>
      </c>
      <c r="H137" s="455">
        <v>0</v>
      </c>
      <c r="I137" s="455">
        <v>0</v>
      </c>
      <c r="J137" s="455">
        <v>0</v>
      </c>
      <c r="K137" s="453">
        <v>0</v>
      </c>
      <c r="M137" s="1267"/>
      <c r="N137" s="1268"/>
    </row>
    <row r="138" spans="3:15" ht="11.25" customHeight="1" x14ac:dyDescent="0.25">
      <c r="D138" s="465" t="s">
        <v>670</v>
      </c>
      <c r="E138" s="798"/>
      <c r="F138" s="798"/>
      <c r="G138" s="454">
        <v>3722342.2312499997</v>
      </c>
      <c r="H138" s="455">
        <v>3721291.6124999993</v>
      </c>
      <c r="I138" s="455">
        <v>3722342.2312499997</v>
      </c>
      <c r="J138" s="455">
        <v>3721291.6124999993</v>
      </c>
      <c r="K138" s="453">
        <v>3722342.2312499997</v>
      </c>
      <c r="M138" s="1267" t="s">
        <v>654</v>
      </c>
      <c r="N138" s="1268"/>
    </row>
    <row r="139" spans="3:15" ht="11.25" customHeight="1" x14ac:dyDescent="0.25">
      <c r="D139" s="465" t="s">
        <v>671</v>
      </c>
      <c r="E139" s="798"/>
      <c r="F139" s="798"/>
      <c r="G139" s="454">
        <v>703914.5625</v>
      </c>
      <c r="H139" s="455">
        <v>703914.5625</v>
      </c>
      <c r="I139" s="455">
        <v>703914.5625</v>
      </c>
      <c r="J139" s="455">
        <v>703914.5625</v>
      </c>
      <c r="K139" s="453">
        <v>703914.5625</v>
      </c>
      <c r="M139" s="1267" t="s">
        <v>644</v>
      </c>
      <c r="N139" s="1268"/>
    </row>
    <row r="140" spans="3:15" ht="11.25" customHeight="1" x14ac:dyDescent="0.25">
      <c r="D140" s="465" t="s">
        <v>672</v>
      </c>
      <c r="E140" s="798"/>
      <c r="F140" s="798"/>
      <c r="G140" s="454">
        <v>756445.49999999988</v>
      </c>
      <c r="H140" s="455">
        <v>283667.0625</v>
      </c>
      <c r="I140" s="455">
        <v>756445.49999999988</v>
      </c>
      <c r="J140" s="455">
        <v>283667.0625</v>
      </c>
      <c r="K140" s="453">
        <v>756445.49999999988</v>
      </c>
      <c r="M140" s="1267" t="s">
        <v>644</v>
      </c>
      <c r="N140" s="1268"/>
    </row>
    <row r="141" spans="3:15" ht="11.25" customHeight="1" thickBot="1" x14ac:dyDescent="0.3">
      <c r="D141" s="465" t="s">
        <v>673</v>
      </c>
      <c r="E141" s="798"/>
      <c r="F141" s="798"/>
      <c r="G141" s="454">
        <v>977075.4375</v>
      </c>
      <c r="H141" s="455">
        <v>977075.4375</v>
      </c>
      <c r="I141" s="455">
        <v>977075.4375</v>
      </c>
      <c r="J141" s="455">
        <v>0</v>
      </c>
      <c r="K141" s="453">
        <v>0</v>
      </c>
      <c r="M141" s="1269" t="s">
        <v>645</v>
      </c>
      <c r="N141" s="1270"/>
    </row>
    <row r="142" spans="3:15" ht="11.25" customHeight="1" thickBot="1" x14ac:dyDescent="0.25">
      <c r="D142" s="460" t="s">
        <v>363</v>
      </c>
      <c r="E142" s="411">
        <f>SUM(E136:E141)</f>
        <v>0</v>
      </c>
      <c r="F142" s="411">
        <f t="shared" ref="F142:K142" si="16">SUM(F136:F141)</f>
        <v>0</v>
      </c>
      <c r="G142" s="411">
        <f t="shared" si="16"/>
        <v>9929028.9459345993</v>
      </c>
      <c r="H142" s="411">
        <f t="shared" si="16"/>
        <v>10790064.946083384</v>
      </c>
      <c r="I142" s="411">
        <f t="shared" si="16"/>
        <v>12236117.669948503</v>
      </c>
      <c r="J142" s="411">
        <f t="shared" si="16"/>
        <v>11727247.079446446</v>
      </c>
      <c r="K142" s="411">
        <f t="shared" si="16"/>
        <v>13166409.296484411</v>
      </c>
    </row>
    <row r="143" spans="3:15" ht="11.25" customHeight="1" x14ac:dyDescent="0.2"/>
    <row r="144" spans="3:15" ht="11.25" customHeight="1" x14ac:dyDescent="0.2"/>
    <row r="145" spans="1:11" ht="11.25" customHeight="1" x14ac:dyDescent="0.2">
      <c r="D145" s="6" t="s">
        <v>661</v>
      </c>
      <c r="E145" s="393"/>
      <c r="F145" s="936"/>
      <c r="G145" s="201">
        <v>9929028.9459345993</v>
      </c>
      <c r="H145" s="201">
        <v>10790064.946083384</v>
      </c>
      <c r="I145" s="201">
        <v>12236117.669948502</v>
      </c>
      <c r="J145" s="201">
        <v>11727247.079446446</v>
      </c>
      <c r="K145" s="201">
        <v>13166409.296484411</v>
      </c>
    </row>
    <row r="146" spans="1:11" ht="11.25" customHeight="1" x14ac:dyDescent="0.2">
      <c r="A146" s="750">
        <f>IF(SUM(E146:K146)=0,0,1)</f>
        <v>0</v>
      </c>
      <c r="D146" s="6" t="s">
        <v>675</v>
      </c>
      <c r="E146" s="70"/>
      <c r="F146" s="70"/>
      <c r="G146" s="70">
        <f t="shared" ref="G146" si="17">IF(ROUND(G142-G145,4)=0,0,1)</f>
        <v>0</v>
      </c>
      <c r="H146" s="70">
        <f t="shared" ref="H146" si="18">IF(ROUND(H142-H145,4)=0,0,1)</f>
        <v>0</v>
      </c>
      <c r="I146" s="70">
        <f t="shared" ref="I146" si="19">IF(ROUND(I142-I145,4)=0,0,1)</f>
        <v>0</v>
      </c>
      <c r="J146" s="70">
        <f t="shared" ref="J146" si="20">IF(ROUND(J142-J145,4)=0,0,1)</f>
        <v>0</v>
      </c>
      <c r="K146" s="70">
        <f t="shared" ref="K146" si="21">IF(ROUND(K142-K145,4)=0,0,1)</f>
        <v>0</v>
      </c>
    </row>
    <row r="147" spans="1:11" ht="11.25" customHeight="1" x14ac:dyDescent="0.2"/>
    <row r="148" spans="1:11" s="7" customFormat="1" ht="15" x14ac:dyDescent="0.2">
      <c r="C148" s="7" t="s">
        <v>356</v>
      </c>
    </row>
    <row r="149" spans="1:11" ht="11.25" customHeight="1" x14ac:dyDescent="0.2"/>
    <row r="150" spans="1:11" ht="18.75" x14ac:dyDescent="0.2">
      <c r="D150" s="444" t="s">
        <v>360</v>
      </c>
      <c r="E150" s="249"/>
      <c r="F150" s="249"/>
      <c r="G150" s="249"/>
      <c r="H150" s="249"/>
      <c r="I150" s="249"/>
      <c r="J150" s="249"/>
      <c r="K150" s="249"/>
    </row>
    <row r="151" spans="1:11" ht="15" x14ac:dyDescent="0.2">
      <c r="D151"/>
      <c r="E151" s="1253" t="s">
        <v>361</v>
      </c>
      <c r="F151" s="1254"/>
      <c r="G151" s="1254"/>
      <c r="H151" s="1254"/>
      <c r="I151" s="1254"/>
      <c r="J151" s="1254"/>
      <c r="K151" s="1255"/>
    </row>
    <row r="152" spans="1:11" ht="14.65" customHeight="1" x14ac:dyDescent="0.2">
      <c r="D152"/>
      <c r="E152" s="1250" t="s">
        <v>510</v>
      </c>
      <c r="F152" s="1251"/>
      <c r="G152" s="1251"/>
      <c r="H152" s="1251"/>
      <c r="I152" s="1251"/>
      <c r="J152" s="1251"/>
      <c r="K152" s="1252"/>
    </row>
    <row r="153" spans="1:11" ht="15.75" thickBot="1" x14ac:dyDescent="0.25">
      <c r="D153" s="290"/>
      <c r="E153" s="441" t="s">
        <v>167</v>
      </c>
      <c r="F153" s="441" t="s">
        <v>168</v>
      </c>
      <c r="G153" s="442" t="s">
        <v>169</v>
      </c>
      <c r="H153" s="442" t="s">
        <v>170</v>
      </c>
      <c r="I153" s="442" t="s">
        <v>171</v>
      </c>
      <c r="J153" s="442" t="s">
        <v>172</v>
      </c>
      <c r="K153" s="442" t="s">
        <v>181</v>
      </c>
    </row>
    <row r="154" spans="1:11" ht="32.25" thickBot="1" x14ac:dyDescent="0.25">
      <c r="D154" s="445" t="s">
        <v>362</v>
      </c>
      <c r="E154" s="446"/>
      <c r="F154" s="446"/>
      <c r="G154" s="446"/>
      <c r="H154" s="446"/>
      <c r="I154" s="446"/>
      <c r="J154" s="446"/>
      <c r="K154" s="447"/>
    </row>
    <row r="155" spans="1:11" ht="15" x14ac:dyDescent="0.25">
      <c r="D155" s="464" t="s">
        <v>639</v>
      </c>
      <c r="E155" s="448">
        <v>15248802.967998473</v>
      </c>
      <c r="F155" s="449">
        <v>16024577.908016333</v>
      </c>
      <c r="G155" s="794"/>
      <c r="H155" s="795"/>
      <c r="I155" s="795"/>
      <c r="J155" s="795"/>
      <c r="K155" s="796"/>
    </row>
    <row r="156" spans="1:11" ht="15" x14ac:dyDescent="0.25">
      <c r="D156" s="465" t="s">
        <v>640</v>
      </c>
      <c r="E156" s="452">
        <v>18208367.800558336</v>
      </c>
      <c r="F156" s="453">
        <v>15972017.598663941</v>
      </c>
      <c r="G156" s="797"/>
      <c r="H156" s="798"/>
      <c r="I156" s="798"/>
      <c r="J156" s="798"/>
      <c r="K156" s="799"/>
    </row>
    <row r="157" spans="1:11" ht="15" x14ac:dyDescent="0.25">
      <c r="D157" s="465" t="s">
        <v>641</v>
      </c>
      <c r="E157" s="452">
        <v>6340656.0000119209</v>
      </c>
      <c r="F157" s="453">
        <v>9735532.0000009052</v>
      </c>
      <c r="G157" s="797"/>
      <c r="H157" s="798"/>
      <c r="I157" s="798"/>
      <c r="J157" s="798"/>
      <c r="K157" s="799"/>
    </row>
    <row r="158" spans="1:11" ht="15" x14ac:dyDescent="0.25">
      <c r="D158" s="465" t="s">
        <v>642</v>
      </c>
      <c r="E158" s="452">
        <v>11042236.631998893</v>
      </c>
      <c r="F158" s="453">
        <v>11604004.692011826</v>
      </c>
      <c r="G158" s="797"/>
      <c r="H158" s="798"/>
      <c r="I158" s="798"/>
      <c r="J158" s="798"/>
      <c r="K158" s="799"/>
    </row>
    <row r="159" spans="1:11" ht="15" x14ac:dyDescent="0.25">
      <c r="D159" s="465" t="s">
        <v>643</v>
      </c>
      <c r="E159" s="452">
        <v>14221930.033077359</v>
      </c>
      <c r="F159" s="453">
        <v>12758394.782622028</v>
      </c>
      <c r="G159" s="797"/>
      <c r="H159" s="798"/>
      <c r="I159" s="798"/>
      <c r="J159" s="798"/>
      <c r="K159" s="799"/>
    </row>
    <row r="160" spans="1:11" ht="15" x14ac:dyDescent="0.25">
      <c r="D160" s="465" t="s">
        <v>644</v>
      </c>
      <c r="E160" s="452">
        <v>7506246.1261174958</v>
      </c>
      <c r="F160" s="453">
        <v>7457051.3393441513</v>
      </c>
      <c r="G160" s="797"/>
      <c r="H160" s="798"/>
      <c r="I160" s="798"/>
      <c r="J160" s="798"/>
      <c r="K160" s="799"/>
    </row>
    <row r="161" spans="4:11" ht="15" x14ac:dyDescent="0.25">
      <c r="D161" s="465" t="s">
        <v>645</v>
      </c>
      <c r="E161" s="452">
        <v>2710612.067131944</v>
      </c>
      <c r="F161" s="453">
        <v>3886157.0077284761</v>
      </c>
      <c r="G161" s="797"/>
      <c r="H161" s="798"/>
      <c r="I161" s="798"/>
      <c r="J161" s="798"/>
      <c r="K161" s="799"/>
    </row>
    <row r="162" spans="4:11" ht="15" x14ac:dyDescent="0.25">
      <c r="D162" s="465" t="s">
        <v>646</v>
      </c>
      <c r="E162" s="452">
        <v>11485860.840000039</v>
      </c>
      <c r="F162" s="453">
        <v>13445578.80000006</v>
      </c>
      <c r="G162" s="797"/>
      <c r="H162" s="798"/>
      <c r="I162" s="798"/>
      <c r="J162" s="798"/>
      <c r="K162" s="799"/>
    </row>
    <row r="163" spans="4:11" ht="15" x14ac:dyDescent="0.25">
      <c r="D163" s="465" t="s">
        <v>647</v>
      </c>
      <c r="E163" s="452">
        <v>7060051</v>
      </c>
      <c r="F163" s="453">
        <v>7456838</v>
      </c>
      <c r="G163" s="797"/>
      <c r="H163" s="798"/>
      <c r="I163" s="798"/>
      <c r="J163" s="798"/>
      <c r="K163" s="799"/>
    </row>
    <row r="164" spans="4:11" ht="15" x14ac:dyDescent="0.25">
      <c r="D164" s="465" t="s">
        <v>648</v>
      </c>
      <c r="E164" s="452">
        <v>-968524.03334502492</v>
      </c>
      <c r="F164" s="453">
        <v>-1392128.6391738649</v>
      </c>
      <c r="G164" s="797"/>
      <c r="H164" s="798"/>
      <c r="I164" s="798"/>
      <c r="J164" s="798"/>
      <c r="K164" s="799"/>
    </row>
    <row r="165" spans="4:11" ht="15" x14ac:dyDescent="0.25">
      <c r="D165" s="465" t="s">
        <v>649</v>
      </c>
      <c r="E165" s="452">
        <v>2684879.8318548054</v>
      </c>
      <c r="F165" s="453">
        <v>2037483.9491269146</v>
      </c>
      <c r="G165" s="797"/>
      <c r="H165" s="798"/>
      <c r="I165" s="798"/>
      <c r="J165" s="798"/>
      <c r="K165" s="799"/>
    </row>
    <row r="166" spans="4:11" ht="15" x14ac:dyDescent="0.25">
      <c r="D166" s="465" t="s">
        <v>650</v>
      </c>
      <c r="E166" s="452">
        <v>12250099.894650798</v>
      </c>
      <c r="F166" s="453">
        <v>17672039.051455833</v>
      </c>
      <c r="G166" s="797"/>
      <c r="H166" s="798"/>
      <c r="I166" s="798"/>
      <c r="J166" s="798"/>
      <c r="K166" s="799"/>
    </row>
    <row r="167" spans="4:11" ht="15" x14ac:dyDescent="0.25">
      <c r="D167" s="465" t="s">
        <v>651</v>
      </c>
      <c r="E167" s="452">
        <v>8699921.9574199207</v>
      </c>
      <c r="F167" s="453">
        <v>7080048.8018956864</v>
      </c>
      <c r="G167" s="797"/>
      <c r="H167" s="798"/>
      <c r="I167" s="798"/>
      <c r="J167" s="798"/>
      <c r="K167" s="799"/>
    </row>
    <row r="168" spans="4:11" ht="15" x14ac:dyDescent="0.25">
      <c r="D168" s="465" t="s">
        <v>652</v>
      </c>
      <c r="E168" s="452">
        <v>5502432.2924668826</v>
      </c>
      <c r="F168" s="453">
        <v>1674443.8745317943</v>
      </c>
      <c r="G168" s="797"/>
      <c r="H168" s="798"/>
      <c r="I168" s="798"/>
      <c r="J168" s="798"/>
      <c r="K168" s="799"/>
    </row>
    <row r="169" spans="4:11" ht="15" x14ac:dyDescent="0.25">
      <c r="D169" s="465" t="s">
        <v>653</v>
      </c>
      <c r="E169" s="452">
        <v>9276927.0405293852</v>
      </c>
      <c r="F169" s="453">
        <v>9401737.8519755434</v>
      </c>
      <c r="G169" s="797"/>
      <c r="H169" s="798"/>
      <c r="I169" s="798"/>
      <c r="J169" s="798"/>
      <c r="K169" s="799"/>
    </row>
    <row r="170" spans="4:11" ht="15" x14ac:dyDescent="0.25">
      <c r="D170" s="465" t="s">
        <v>654</v>
      </c>
      <c r="E170" s="452">
        <v>52435700.475652643</v>
      </c>
      <c r="F170" s="453">
        <v>33290313.577207331</v>
      </c>
      <c r="G170" s="797"/>
      <c r="H170" s="798"/>
      <c r="I170" s="798"/>
      <c r="J170" s="798"/>
      <c r="K170" s="799"/>
    </row>
    <row r="171" spans="4:11" ht="15" x14ac:dyDescent="0.25">
      <c r="D171" s="465" t="s">
        <v>655</v>
      </c>
      <c r="E171" s="452">
        <v>8812213.3063176442</v>
      </c>
      <c r="F171" s="453">
        <v>9401092.7405612618</v>
      </c>
      <c r="G171" s="797"/>
      <c r="H171" s="798"/>
      <c r="I171" s="798"/>
      <c r="J171" s="798"/>
      <c r="K171" s="799"/>
    </row>
    <row r="172" spans="4:11" ht="15" x14ac:dyDescent="0.25">
      <c r="D172" s="465" t="s">
        <v>656</v>
      </c>
      <c r="E172" s="452">
        <v>1500000</v>
      </c>
      <c r="F172" s="453">
        <v>0</v>
      </c>
      <c r="G172" s="797"/>
      <c r="H172" s="798"/>
      <c r="I172" s="798"/>
      <c r="J172" s="798"/>
      <c r="K172" s="799"/>
    </row>
    <row r="173" spans="4:11" ht="15.75" thickBot="1" x14ac:dyDescent="0.3">
      <c r="D173" s="465" t="s">
        <v>657</v>
      </c>
      <c r="E173" s="452">
        <v>21600000.600000001</v>
      </c>
      <c r="F173" s="453">
        <v>13600000</v>
      </c>
      <c r="G173" s="797"/>
      <c r="H173" s="798"/>
      <c r="I173" s="798"/>
      <c r="J173" s="798"/>
      <c r="K173" s="799"/>
    </row>
    <row r="174" spans="4:11" ht="15.75" hidden="1" outlineLevel="1" thickBot="1" x14ac:dyDescent="0.3">
      <c r="D174" s="465">
        <v>0</v>
      </c>
      <c r="E174" s="452">
        <v>0</v>
      </c>
      <c r="F174" s="453">
        <v>0</v>
      </c>
      <c r="G174" s="797"/>
      <c r="H174" s="798"/>
      <c r="I174" s="798"/>
      <c r="J174" s="798"/>
      <c r="K174" s="799"/>
    </row>
    <row r="175" spans="4:11" ht="15.75" hidden="1" outlineLevel="1" thickBot="1" x14ac:dyDescent="0.3">
      <c r="D175" s="465">
        <v>0</v>
      </c>
      <c r="E175" s="452">
        <v>0</v>
      </c>
      <c r="F175" s="453">
        <v>0</v>
      </c>
      <c r="G175" s="797"/>
      <c r="H175" s="798"/>
      <c r="I175" s="798"/>
      <c r="J175" s="798"/>
      <c r="K175" s="799"/>
    </row>
    <row r="176" spans="4:11" ht="15.75" hidden="1" outlineLevel="1" thickBot="1" x14ac:dyDescent="0.3">
      <c r="D176" s="465">
        <v>0</v>
      </c>
      <c r="E176" s="452">
        <v>0</v>
      </c>
      <c r="F176" s="453">
        <v>0</v>
      </c>
      <c r="G176" s="797"/>
      <c r="H176" s="798"/>
      <c r="I176" s="798"/>
      <c r="J176" s="798"/>
      <c r="K176" s="799"/>
    </row>
    <row r="177" spans="4:11" ht="15.75" hidden="1" outlineLevel="1" thickBot="1" x14ac:dyDescent="0.3">
      <c r="D177" s="465">
        <v>0</v>
      </c>
      <c r="E177" s="452">
        <v>0</v>
      </c>
      <c r="F177" s="453">
        <v>0</v>
      </c>
      <c r="G177" s="797"/>
      <c r="H177" s="798"/>
      <c r="I177" s="798"/>
      <c r="J177" s="798"/>
      <c r="K177" s="799"/>
    </row>
    <row r="178" spans="4:11" ht="15.75" hidden="1" outlineLevel="1" thickBot="1" x14ac:dyDescent="0.3">
      <c r="D178" s="465">
        <v>0</v>
      </c>
      <c r="E178" s="452">
        <v>0</v>
      </c>
      <c r="F178" s="453">
        <v>0</v>
      </c>
      <c r="G178" s="797"/>
      <c r="H178" s="798"/>
      <c r="I178" s="798"/>
      <c r="J178" s="798"/>
      <c r="K178" s="799"/>
    </row>
    <row r="179" spans="4:11" ht="15.75" hidden="1" outlineLevel="1" thickBot="1" x14ac:dyDescent="0.3">
      <c r="D179" s="465">
        <v>0</v>
      </c>
      <c r="E179" s="452">
        <v>0</v>
      </c>
      <c r="F179" s="453">
        <v>0</v>
      </c>
      <c r="G179" s="797"/>
      <c r="H179" s="798"/>
      <c r="I179" s="798"/>
      <c r="J179" s="798"/>
      <c r="K179" s="799"/>
    </row>
    <row r="180" spans="4:11" ht="15.75" hidden="1" outlineLevel="1" thickBot="1" x14ac:dyDescent="0.3">
      <c r="D180" s="465">
        <v>0</v>
      </c>
      <c r="E180" s="452">
        <v>0</v>
      </c>
      <c r="F180" s="453">
        <v>0</v>
      </c>
      <c r="G180" s="797"/>
      <c r="H180" s="798"/>
      <c r="I180" s="798"/>
      <c r="J180" s="798"/>
      <c r="K180" s="799"/>
    </row>
    <row r="181" spans="4:11" ht="15.75" hidden="1" outlineLevel="1" thickBot="1" x14ac:dyDescent="0.3">
      <c r="D181" s="465">
        <v>0</v>
      </c>
      <c r="E181" s="452">
        <v>0</v>
      </c>
      <c r="F181" s="453">
        <v>0</v>
      </c>
      <c r="G181" s="797"/>
      <c r="H181" s="798"/>
      <c r="I181" s="798"/>
      <c r="J181" s="798"/>
      <c r="K181" s="799"/>
    </row>
    <row r="182" spans="4:11" ht="15.75" hidden="1" outlineLevel="1" thickBot="1" x14ac:dyDescent="0.3">
      <c r="D182" s="465">
        <v>0</v>
      </c>
      <c r="E182" s="452">
        <v>0</v>
      </c>
      <c r="F182" s="453">
        <v>0</v>
      </c>
      <c r="G182" s="797"/>
      <c r="H182" s="798"/>
      <c r="I182" s="798"/>
      <c r="J182" s="798"/>
      <c r="K182" s="799"/>
    </row>
    <row r="183" spans="4:11" ht="15.75" hidden="1" outlineLevel="1" thickBot="1" x14ac:dyDescent="0.3">
      <c r="D183" s="465">
        <v>0</v>
      </c>
      <c r="E183" s="452">
        <v>0</v>
      </c>
      <c r="F183" s="453">
        <v>0</v>
      </c>
      <c r="G183" s="797"/>
      <c r="H183" s="798"/>
      <c r="I183" s="798"/>
      <c r="J183" s="798"/>
      <c r="K183" s="799"/>
    </row>
    <row r="184" spans="4:11" ht="15.75" hidden="1" outlineLevel="1" thickBot="1" x14ac:dyDescent="0.3">
      <c r="D184" s="465">
        <v>0</v>
      </c>
      <c r="E184" s="452">
        <v>0</v>
      </c>
      <c r="F184" s="453">
        <v>0</v>
      </c>
      <c r="G184" s="797"/>
      <c r="H184" s="798"/>
      <c r="I184" s="798"/>
      <c r="J184" s="798"/>
      <c r="K184" s="799"/>
    </row>
    <row r="185" spans="4:11" ht="15.75" hidden="1" outlineLevel="1" thickBot="1" x14ac:dyDescent="0.3">
      <c r="D185" s="465">
        <v>0</v>
      </c>
      <c r="E185" s="452">
        <v>0</v>
      </c>
      <c r="F185" s="453">
        <v>0</v>
      </c>
      <c r="G185" s="797"/>
      <c r="H185" s="798"/>
      <c r="I185" s="798"/>
      <c r="J185" s="798"/>
      <c r="K185" s="799"/>
    </row>
    <row r="186" spans="4:11" ht="15.75" hidden="1" outlineLevel="1" thickBot="1" x14ac:dyDescent="0.3">
      <c r="D186" s="465">
        <v>0</v>
      </c>
      <c r="E186" s="452">
        <v>0</v>
      </c>
      <c r="F186" s="453">
        <v>0</v>
      </c>
      <c r="G186" s="797"/>
      <c r="H186" s="798"/>
      <c r="I186" s="798"/>
      <c r="J186" s="798"/>
      <c r="K186" s="799"/>
    </row>
    <row r="187" spans="4:11" ht="15.75" hidden="1" outlineLevel="1" thickBot="1" x14ac:dyDescent="0.3">
      <c r="D187" s="465">
        <v>0</v>
      </c>
      <c r="E187" s="452">
        <v>0</v>
      </c>
      <c r="F187" s="453">
        <v>0</v>
      </c>
      <c r="G187" s="797"/>
      <c r="H187" s="798"/>
      <c r="I187" s="798"/>
      <c r="J187" s="798"/>
      <c r="K187" s="799"/>
    </row>
    <row r="188" spans="4:11" ht="15.75" hidden="1" outlineLevel="1" thickBot="1" x14ac:dyDescent="0.3">
      <c r="D188" s="466">
        <v>0</v>
      </c>
      <c r="E188" s="456">
        <v>0</v>
      </c>
      <c r="F188" s="457">
        <v>0</v>
      </c>
      <c r="G188" s="800"/>
      <c r="H188" s="801"/>
      <c r="I188" s="801"/>
      <c r="J188" s="801"/>
      <c r="K188" s="802"/>
    </row>
    <row r="189" spans="4:11" ht="15.75" collapsed="1" thickBot="1" x14ac:dyDescent="0.25">
      <c r="D189" s="460" t="s">
        <v>363</v>
      </c>
      <c r="E189" s="411">
        <f>SUM(E155:E188)</f>
        <v>215618414.83244151</v>
      </c>
      <c r="F189" s="411">
        <f t="shared" ref="F189:K189" si="22">SUM(F155:F188)</f>
        <v>191105183.3359682</v>
      </c>
      <c r="G189" s="411">
        <f t="shared" si="22"/>
        <v>0</v>
      </c>
      <c r="H189" s="411">
        <f t="shared" si="22"/>
        <v>0</v>
      </c>
      <c r="I189" s="411">
        <f t="shared" si="22"/>
        <v>0</v>
      </c>
      <c r="J189" s="411">
        <f t="shared" si="22"/>
        <v>0</v>
      </c>
      <c r="K189" s="412">
        <f t="shared" si="22"/>
        <v>0</v>
      </c>
    </row>
    <row r="190" spans="4:11" ht="11.25" customHeight="1" x14ac:dyDescent="0.2">
      <c r="D190"/>
      <c r="E190"/>
      <c r="F190"/>
      <c r="G190"/>
      <c r="H190"/>
      <c r="I190"/>
      <c r="J190"/>
      <c r="K190"/>
    </row>
    <row r="191" spans="4:11" ht="11.25" customHeight="1" x14ac:dyDescent="0.2">
      <c r="D191"/>
      <c r="E191"/>
      <c r="F191"/>
      <c r="G191"/>
      <c r="H191"/>
      <c r="I191"/>
      <c r="J191"/>
      <c r="K191"/>
    </row>
    <row r="192" spans="4:11" ht="33.6" customHeight="1" x14ac:dyDescent="0.2">
      <c r="D192" s="1246" t="s">
        <v>364</v>
      </c>
      <c r="E192" s="1247"/>
      <c r="F192" s="1248"/>
      <c r="G192"/>
      <c r="H192"/>
      <c r="I192"/>
      <c r="J192"/>
      <c r="K192"/>
    </row>
    <row r="193" spans="4:13" x14ac:dyDescent="0.2">
      <c r="D193"/>
      <c r="E193"/>
      <c r="F193"/>
      <c r="G193"/>
      <c r="H193"/>
      <c r="I193"/>
      <c r="J193"/>
      <c r="K193"/>
    </row>
    <row r="194" spans="4:13" ht="19.5" thickBot="1" x14ac:dyDescent="0.25">
      <c r="D194" s="444" t="s">
        <v>365</v>
      </c>
      <c r="E194" s="249"/>
      <c r="F194" s="249"/>
      <c r="G194" s="249"/>
      <c r="H194" s="249"/>
      <c r="I194" s="249"/>
      <c r="J194" s="249"/>
      <c r="K194" s="249"/>
    </row>
    <row r="195" spans="4:13" ht="15" x14ac:dyDescent="0.2">
      <c r="D195" s="461"/>
      <c r="E195" s="1120" t="s">
        <v>361</v>
      </c>
      <c r="F195" s="1120"/>
      <c r="G195" s="1120"/>
      <c r="H195" s="1120"/>
      <c r="I195" s="1120"/>
      <c r="J195" s="1120"/>
      <c r="K195" s="1249"/>
    </row>
    <row r="196" spans="4:13" ht="15.75" thickBot="1" x14ac:dyDescent="0.25">
      <c r="D196" s="461"/>
      <c r="E196" s="1121" t="s">
        <v>359</v>
      </c>
      <c r="F196" s="1121"/>
      <c r="G196" s="1121"/>
      <c r="H196" s="1121"/>
      <c r="I196" s="1121"/>
      <c r="J196" s="1121"/>
      <c r="K196" s="1256"/>
    </row>
    <row r="197" spans="4:13" ht="15.75" thickBot="1" x14ac:dyDescent="0.25">
      <c r="D197" s="290"/>
      <c r="E197" s="462" t="s">
        <v>167</v>
      </c>
      <c r="F197" s="441" t="s">
        <v>168</v>
      </c>
      <c r="G197" s="442" t="s">
        <v>169</v>
      </c>
      <c r="H197" s="442" t="s">
        <v>170</v>
      </c>
      <c r="I197" s="442" t="s">
        <v>171</v>
      </c>
      <c r="J197" s="442" t="s">
        <v>172</v>
      </c>
      <c r="K197" s="463" t="s">
        <v>181</v>
      </c>
      <c r="M197" s="186" t="s">
        <v>225</v>
      </c>
    </row>
    <row r="198" spans="4:13" ht="32.25" thickBot="1" x14ac:dyDescent="0.25">
      <c r="D198" s="445" t="s">
        <v>366</v>
      </c>
      <c r="E198" s="446"/>
      <c r="F198" s="446"/>
      <c r="G198" s="446"/>
      <c r="H198" s="446"/>
      <c r="I198" s="446"/>
      <c r="J198" s="446"/>
      <c r="K198" s="447"/>
      <c r="M198" s="210"/>
    </row>
    <row r="199" spans="4:13" ht="15" x14ac:dyDescent="0.25">
      <c r="D199" s="464" t="s">
        <v>714</v>
      </c>
      <c r="E199" s="448">
        <v>0</v>
      </c>
      <c r="F199" s="449">
        <v>0</v>
      </c>
      <c r="G199" s="794"/>
      <c r="H199" s="795"/>
      <c r="I199" s="795"/>
      <c r="J199" s="795"/>
      <c r="K199" s="796"/>
      <c r="M199" s="188">
        <f>IF(SUM($E$233:$F$233)=0,0,SUM($E199:$F199)/SUM($E$233:$F$233))</f>
        <v>0</v>
      </c>
    </row>
    <row r="200" spans="4:13" ht="15" x14ac:dyDescent="0.25">
      <c r="D200" s="465">
        <v>0</v>
      </c>
      <c r="E200" s="452">
        <v>0</v>
      </c>
      <c r="F200" s="453">
        <v>0</v>
      </c>
      <c r="G200" s="797"/>
      <c r="H200" s="798"/>
      <c r="I200" s="798"/>
      <c r="J200" s="798"/>
      <c r="K200" s="799"/>
      <c r="M200" s="188">
        <f t="shared" ref="M200:M232" si="23">IF(SUM($E$233:$F$233)=0,0,SUM($E200:$F200)/SUM($E$233:$F$233))</f>
        <v>0</v>
      </c>
    </row>
    <row r="201" spans="4:13" ht="15" x14ac:dyDescent="0.25">
      <c r="D201" s="465">
        <v>0</v>
      </c>
      <c r="E201" s="452">
        <v>0</v>
      </c>
      <c r="F201" s="453">
        <v>0</v>
      </c>
      <c r="G201" s="797"/>
      <c r="H201" s="798"/>
      <c r="I201" s="798"/>
      <c r="J201" s="798"/>
      <c r="K201" s="799"/>
      <c r="M201" s="188">
        <f t="shared" si="23"/>
        <v>0</v>
      </c>
    </row>
    <row r="202" spans="4:13" ht="15" x14ac:dyDescent="0.25">
      <c r="D202" s="465">
        <v>0</v>
      </c>
      <c r="E202" s="452">
        <v>0</v>
      </c>
      <c r="F202" s="453">
        <v>0</v>
      </c>
      <c r="G202" s="797"/>
      <c r="H202" s="798"/>
      <c r="I202" s="798"/>
      <c r="J202" s="798"/>
      <c r="K202" s="799"/>
      <c r="M202" s="188">
        <f t="shared" si="23"/>
        <v>0</v>
      </c>
    </row>
    <row r="203" spans="4:13" ht="15" x14ac:dyDescent="0.25">
      <c r="D203" s="465">
        <v>0</v>
      </c>
      <c r="E203" s="452">
        <v>0</v>
      </c>
      <c r="F203" s="453">
        <v>0</v>
      </c>
      <c r="G203" s="797"/>
      <c r="H203" s="798"/>
      <c r="I203" s="798"/>
      <c r="J203" s="798"/>
      <c r="K203" s="799"/>
      <c r="M203" s="188">
        <f t="shared" si="23"/>
        <v>0</v>
      </c>
    </row>
    <row r="204" spans="4:13" ht="15" x14ac:dyDescent="0.25">
      <c r="D204" s="465">
        <v>0</v>
      </c>
      <c r="E204" s="452">
        <v>0</v>
      </c>
      <c r="F204" s="453">
        <v>0</v>
      </c>
      <c r="G204" s="797"/>
      <c r="H204" s="798"/>
      <c r="I204" s="798"/>
      <c r="J204" s="798"/>
      <c r="K204" s="799"/>
      <c r="M204" s="188">
        <f t="shared" si="23"/>
        <v>0</v>
      </c>
    </row>
    <row r="205" spans="4:13" ht="15" x14ac:dyDescent="0.25">
      <c r="D205" s="465">
        <v>0</v>
      </c>
      <c r="E205" s="452">
        <v>0</v>
      </c>
      <c r="F205" s="453">
        <v>0</v>
      </c>
      <c r="G205" s="797"/>
      <c r="H205" s="798"/>
      <c r="I205" s="798"/>
      <c r="J205" s="798"/>
      <c r="K205" s="799"/>
      <c r="M205" s="188">
        <f t="shared" si="23"/>
        <v>0</v>
      </c>
    </row>
    <row r="206" spans="4:13" ht="15" x14ac:dyDescent="0.25">
      <c r="D206" s="465">
        <v>0</v>
      </c>
      <c r="E206" s="452">
        <v>0</v>
      </c>
      <c r="F206" s="453">
        <v>0</v>
      </c>
      <c r="G206" s="797"/>
      <c r="H206" s="798"/>
      <c r="I206" s="798"/>
      <c r="J206" s="798"/>
      <c r="K206" s="799"/>
      <c r="M206" s="188">
        <f t="shared" si="23"/>
        <v>0</v>
      </c>
    </row>
    <row r="207" spans="4:13" ht="15" x14ac:dyDescent="0.25">
      <c r="D207" s="465">
        <v>0</v>
      </c>
      <c r="E207" s="452">
        <v>0</v>
      </c>
      <c r="F207" s="453">
        <v>0</v>
      </c>
      <c r="G207" s="797"/>
      <c r="H207" s="798"/>
      <c r="I207" s="798"/>
      <c r="J207" s="798"/>
      <c r="K207" s="799"/>
      <c r="M207" s="188">
        <f t="shared" si="23"/>
        <v>0</v>
      </c>
    </row>
    <row r="208" spans="4:13" ht="15" x14ac:dyDescent="0.25">
      <c r="D208" s="465">
        <v>0</v>
      </c>
      <c r="E208" s="452">
        <v>0</v>
      </c>
      <c r="F208" s="453">
        <v>0</v>
      </c>
      <c r="G208" s="797"/>
      <c r="H208" s="798"/>
      <c r="I208" s="798"/>
      <c r="J208" s="798"/>
      <c r="K208" s="799"/>
      <c r="M208" s="188">
        <f t="shared" si="23"/>
        <v>0</v>
      </c>
    </row>
    <row r="209" spans="4:13" ht="15" x14ac:dyDescent="0.25">
      <c r="D209" s="465">
        <v>0</v>
      </c>
      <c r="E209" s="452">
        <v>0</v>
      </c>
      <c r="F209" s="453">
        <v>0</v>
      </c>
      <c r="G209" s="797"/>
      <c r="H209" s="798"/>
      <c r="I209" s="798"/>
      <c r="J209" s="798"/>
      <c r="K209" s="799"/>
      <c r="M209" s="188">
        <f t="shared" si="23"/>
        <v>0</v>
      </c>
    </row>
    <row r="210" spans="4:13" ht="15" x14ac:dyDescent="0.25">
      <c r="D210" s="465">
        <v>0</v>
      </c>
      <c r="E210" s="452">
        <v>0</v>
      </c>
      <c r="F210" s="453">
        <v>0</v>
      </c>
      <c r="G210" s="797"/>
      <c r="H210" s="798"/>
      <c r="I210" s="798"/>
      <c r="J210" s="798"/>
      <c r="K210" s="799"/>
      <c r="M210" s="188">
        <f t="shared" si="23"/>
        <v>0</v>
      </c>
    </row>
    <row r="211" spans="4:13" ht="15" x14ac:dyDescent="0.25">
      <c r="D211" s="465">
        <v>0</v>
      </c>
      <c r="E211" s="452">
        <v>0</v>
      </c>
      <c r="F211" s="453">
        <v>0</v>
      </c>
      <c r="G211" s="797"/>
      <c r="H211" s="798"/>
      <c r="I211" s="798"/>
      <c r="J211" s="798"/>
      <c r="K211" s="799"/>
      <c r="M211" s="188">
        <f t="shared" si="23"/>
        <v>0</v>
      </c>
    </row>
    <row r="212" spans="4:13" ht="15" x14ac:dyDescent="0.25">
      <c r="D212" s="465">
        <v>0</v>
      </c>
      <c r="E212" s="452">
        <v>0</v>
      </c>
      <c r="F212" s="453">
        <v>0</v>
      </c>
      <c r="G212" s="797"/>
      <c r="H212" s="798"/>
      <c r="I212" s="798"/>
      <c r="J212" s="798"/>
      <c r="K212" s="799"/>
      <c r="M212" s="188">
        <f t="shared" si="23"/>
        <v>0</v>
      </c>
    </row>
    <row r="213" spans="4:13" ht="15" x14ac:dyDescent="0.25">
      <c r="D213" s="465">
        <v>0</v>
      </c>
      <c r="E213" s="452">
        <v>0</v>
      </c>
      <c r="F213" s="453">
        <v>0</v>
      </c>
      <c r="G213" s="797"/>
      <c r="H213" s="798"/>
      <c r="I213" s="798"/>
      <c r="J213" s="798"/>
      <c r="K213" s="799"/>
      <c r="M213" s="188">
        <f t="shared" si="23"/>
        <v>0</v>
      </c>
    </row>
    <row r="214" spans="4:13" ht="15" x14ac:dyDescent="0.25">
      <c r="D214" s="465">
        <v>0</v>
      </c>
      <c r="E214" s="452">
        <v>0</v>
      </c>
      <c r="F214" s="453">
        <v>0</v>
      </c>
      <c r="G214" s="797"/>
      <c r="H214" s="798"/>
      <c r="I214" s="798"/>
      <c r="J214" s="798"/>
      <c r="K214" s="799"/>
      <c r="M214" s="188">
        <f t="shared" si="23"/>
        <v>0</v>
      </c>
    </row>
    <row r="215" spans="4:13" ht="15" x14ac:dyDescent="0.25">
      <c r="D215" s="465">
        <v>0</v>
      </c>
      <c r="E215" s="452">
        <v>0</v>
      </c>
      <c r="F215" s="453">
        <v>0</v>
      </c>
      <c r="G215" s="797"/>
      <c r="H215" s="798"/>
      <c r="I215" s="798"/>
      <c r="J215" s="798"/>
      <c r="K215" s="799"/>
      <c r="M215" s="188">
        <f t="shared" si="23"/>
        <v>0</v>
      </c>
    </row>
    <row r="216" spans="4:13" ht="15" x14ac:dyDescent="0.25">
      <c r="D216" s="465">
        <v>0</v>
      </c>
      <c r="E216" s="452">
        <v>0</v>
      </c>
      <c r="F216" s="453">
        <v>0</v>
      </c>
      <c r="G216" s="797"/>
      <c r="H216" s="798"/>
      <c r="I216" s="798"/>
      <c r="J216" s="798"/>
      <c r="K216" s="799"/>
      <c r="M216" s="188">
        <f t="shared" si="23"/>
        <v>0</v>
      </c>
    </row>
    <row r="217" spans="4:13" ht="15" x14ac:dyDescent="0.25">
      <c r="D217" s="465">
        <v>0</v>
      </c>
      <c r="E217" s="452">
        <v>0</v>
      </c>
      <c r="F217" s="453">
        <v>0</v>
      </c>
      <c r="G217" s="797"/>
      <c r="H217" s="798"/>
      <c r="I217" s="798"/>
      <c r="J217" s="798"/>
      <c r="K217" s="799"/>
      <c r="M217" s="188">
        <f t="shared" si="23"/>
        <v>0</v>
      </c>
    </row>
    <row r="218" spans="4:13" ht="15" x14ac:dyDescent="0.25">
      <c r="D218" s="465">
        <v>0</v>
      </c>
      <c r="E218" s="452">
        <v>0</v>
      </c>
      <c r="F218" s="453">
        <v>0</v>
      </c>
      <c r="G218" s="797"/>
      <c r="H218" s="798"/>
      <c r="I218" s="798"/>
      <c r="J218" s="798"/>
      <c r="K218" s="799"/>
      <c r="M218" s="188">
        <f t="shared" si="23"/>
        <v>0</v>
      </c>
    </row>
    <row r="219" spans="4:13" ht="15" x14ac:dyDescent="0.25">
      <c r="D219" s="465">
        <v>0</v>
      </c>
      <c r="E219" s="452">
        <v>0</v>
      </c>
      <c r="F219" s="453">
        <v>0</v>
      </c>
      <c r="G219" s="797"/>
      <c r="H219" s="798"/>
      <c r="I219" s="798"/>
      <c r="J219" s="798"/>
      <c r="K219" s="799"/>
      <c r="M219" s="188">
        <f t="shared" si="23"/>
        <v>0</v>
      </c>
    </row>
    <row r="220" spans="4:13" ht="15" x14ac:dyDescent="0.25">
      <c r="D220" s="465">
        <v>0</v>
      </c>
      <c r="E220" s="452">
        <v>0</v>
      </c>
      <c r="F220" s="453">
        <v>0</v>
      </c>
      <c r="G220" s="797"/>
      <c r="H220" s="798"/>
      <c r="I220" s="798"/>
      <c r="J220" s="798"/>
      <c r="K220" s="799"/>
      <c r="M220" s="188">
        <f t="shared" si="23"/>
        <v>0</v>
      </c>
    </row>
    <row r="221" spans="4:13" ht="15" x14ac:dyDescent="0.25">
      <c r="D221" s="465">
        <v>0</v>
      </c>
      <c r="E221" s="452">
        <v>0</v>
      </c>
      <c r="F221" s="453">
        <v>0</v>
      </c>
      <c r="G221" s="797"/>
      <c r="H221" s="798"/>
      <c r="I221" s="798"/>
      <c r="J221" s="798"/>
      <c r="K221" s="799"/>
      <c r="M221" s="188">
        <f t="shared" si="23"/>
        <v>0</v>
      </c>
    </row>
    <row r="222" spans="4:13" ht="15" x14ac:dyDescent="0.25">
      <c r="D222" s="465">
        <v>0</v>
      </c>
      <c r="E222" s="452">
        <v>0</v>
      </c>
      <c r="F222" s="453">
        <v>0</v>
      </c>
      <c r="G222" s="797"/>
      <c r="H222" s="798"/>
      <c r="I222" s="798"/>
      <c r="J222" s="798"/>
      <c r="K222" s="799"/>
      <c r="M222" s="188">
        <f t="shared" si="23"/>
        <v>0</v>
      </c>
    </row>
    <row r="223" spans="4:13" ht="15" x14ac:dyDescent="0.25">
      <c r="D223" s="465">
        <v>0</v>
      </c>
      <c r="E223" s="452">
        <v>0</v>
      </c>
      <c r="F223" s="453">
        <v>0</v>
      </c>
      <c r="G223" s="797"/>
      <c r="H223" s="798"/>
      <c r="I223" s="798"/>
      <c r="J223" s="798"/>
      <c r="K223" s="799"/>
      <c r="M223" s="188">
        <f t="shared" si="23"/>
        <v>0</v>
      </c>
    </row>
    <row r="224" spans="4:13" ht="15" x14ac:dyDescent="0.25">
      <c r="D224" s="465">
        <v>0</v>
      </c>
      <c r="E224" s="452">
        <v>0</v>
      </c>
      <c r="F224" s="453">
        <v>0</v>
      </c>
      <c r="G224" s="797"/>
      <c r="H224" s="798"/>
      <c r="I224" s="798"/>
      <c r="J224" s="798"/>
      <c r="K224" s="799"/>
      <c r="M224" s="188">
        <f t="shared" si="23"/>
        <v>0</v>
      </c>
    </row>
    <row r="225" spans="2:13" ht="15" x14ac:dyDescent="0.25">
      <c r="D225" s="465">
        <v>0</v>
      </c>
      <c r="E225" s="452">
        <v>0</v>
      </c>
      <c r="F225" s="453">
        <v>0</v>
      </c>
      <c r="G225" s="797"/>
      <c r="H225" s="798"/>
      <c r="I225" s="798"/>
      <c r="J225" s="798"/>
      <c r="K225" s="799"/>
      <c r="M225" s="188">
        <f t="shared" si="23"/>
        <v>0</v>
      </c>
    </row>
    <row r="226" spans="2:13" ht="15" x14ac:dyDescent="0.25">
      <c r="D226" s="465">
        <v>0</v>
      </c>
      <c r="E226" s="452">
        <v>0</v>
      </c>
      <c r="F226" s="453">
        <v>0</v>
      </c>
      <c r="G226" s="797"/>
      <c r="H226" s="798"/>
      <c r="I226" s="798"/>
      <c r="J226" s="798"/>
      <c r="K226" s="799"/>
      <c r="M226" s="188">
        <f t="shared" si="23"/>
        <v>0</v>
      </c>
    </row>
    <row r="227" spans="2:13" ht="15" x14ac:dyDescent="0.25">
      <c r="D227" s="465">
        <v>0</v>
      </c>
      <c r="E227" s="452">
        <v>0</v>
      </c>
      <c r="F227" s="453">
        <v>0</v>
      </c>
      <c r="G227" s="797"/>
      <c r="H227" s="798"/>
      <c r="I227" s="798"/>
      <c r="J227" s="798"/>
      <c r="K227" s="799"/>
      <c r="M227" s="188">
        <f t="shared" si="23"/>
        <v>0</v>
      </c>
    </row>
    <row r="228" spans="2:13" ht="15" x14ac:dyDescent="0.25">
      <c r="D228" s="465">
        <v>0</v>
      </c>
      <c r="E228" s="452">
        <v>0</v>
      </c>
      <c r="F228" s="453">
        <v>0</v>
      </c>
      <c r="G228" s="797"/>
      <c r="H228" s="798"/>
      <c r="I228" s="798"/>
      <c r="J228" s="798"/>
      <c r="K228" s="799"/>
      <c r="M228" s="188">
        <f t="shared" si="23"/>
        <v>0</v>
      </c>
    </row>
    <row r="229" spans="2:13" ht="15" x14ac:dyDescent="0.25">
      <c r="D229" s="465">
        <v>0</v>
      </c>
      <c r="E229" s="452">
        <v>0</v>
      </c>
      <c r="F229" s="453">
        <v>0</v>
      </c>
      <c r="G229" s="797"/>
      <c r="H229" s="798"/>
      <c r="I229" s="798"/>
      <c r="J229" s="798"/>
      <c r="K229" s="799"/>
      <c r="M229" s="188">
        <f t="shared" si="23"/>
        <v>0</v>
      </c>
    </row>
    <row r="230" spans="2:13" ht="15" x14ac:dyDescent="0.25">
      <c r="D230" s="465">
        <v>0</v>
      </c>
      <c r="E230" s="452">
        <v>0</v>
      </c>
      <c r="F230" s="453">
        <v>0</v>
      </c>
      <c r="G230" s="797"/>
      <c r="H230" s="798"/>
      <c r="I230" s="798"/>
      <c r="J230" s="798"/>
      <c r="K230" s="799"/>
      <c r="M230" s="188">
        <f t="shared" si="23"/>
        <v>0</v>
      </c>
    </row>
    <row r="231" spans="2:13" ht="15" x14ac:dyDescent="0.25">
      <c r="D231" s="465">
        <v>0</v>
      </c>
      <c r="E231" s="452">
        <v>0</v>
      </c>
      <c r="F231" s="453">
        <v>0</v>
      </c>
      <c r="G231" s="797"/>
      <c r="H231" s="798"/>
      <c r="I231" s="798"/>
      <c r="J231" s="798"/>
      <c r="K231" s="799"/>
      <c r="M231" s="188">
        <f t="shared" si="23"/>
        <v>0</v>
      </c>
    </row>
    <row r="232" spans="2:13" ht="15.75" thickBot="1" x14ac:dyDescent="0.3">
      <c r="D232" s="466">
        <v>0</v>
      </c>
      <c r="E232" s="456">
        <v>0</v>
      </c>
      <c r="F232" s="457">
        <v>0</v>
      </c>
      <c r="G232" s="800"/>
      <c r="H232" s="801"/>
      <c r="I232" s="801"/>
      <c r="J232" s="801"/>
      <c r="K232" s="802"/>
      <c r="M232" s="188">
        <f t="shared" si="23"/>
        <v>0</v>
      </c>
    </row>
    <row r="233" spans="2:13" ht="13.5" thickBot="1" x14ac:dyDescent="0.25">
      <c r="D233" s="443" t="s">
        <v>179</v>
      </c>
      <c r="E233" s="411">
        <f>SUM(E199:E232)</f>
        <v>0</v>
      </c>
      <c r="F233" s="411">
        <f t="shared" ref="F233:K233" si="24">SUM(F199:F232)</f>
        <v>0</v>
      </c>
      <c r="G233" s="411">
        <f t="shared" si="24"/>
        <v>0</v>
      </c>
      <c r="H233" s="411">
        <f t="shared" si="24"/>
        <v>0</v>
      </c>
      <c r="I233" s="411">
        <f t="shared" si="24"/>
        <v>0</v>
      </c>
      <c r="J233" s="411">
        <f t="shared" si="24"/>
        <v>0</v>
      </c>
      <c r="K233" s="412">
        <f t="shared" si="24"/>
        <v>0</v>
      </c>
      <c r="M233" s="189">
        <f>SUM(M198:M232)</f>
        <v>0</v>
      </c>
    </row>
    <row r="234" spans="2:13" ht="11.25" customHeight="1" x14ac:dyDescent="0.2"/>
    <row r="235" spans="2:13" s="47" customFormat="1" ht="15.75" x14ac:dyDescent="0.2">
      <c r="B235" s="47" t="s">
        <v>32</v>
      </c>
    </row>
  </sheetData>
  <mergeCells count="22">
    <mergeCell ref="M137:N137"/>
    <mergeCell ref="M138:N138"/>
    <mergeCell ref="M139:N139"/>
    <mergeCell ref="M140:N140"/>
    <mergeCell ref="M141:N141"/>
    <mergeCell ref="E101:J101"/>
    <mergeCell ref="E102:J102"/>
    <mergeCell ref="M136:N136"/>
    <mergeCell ref="M135:N135"/>
    <mergeCell ref="M134:N134"/>
    <mergeCell ref="E152:K152"/>
    <mergeCell ref="E151:K151"/>
    <mergeCell ref="E132:K132"/>
    <mergeCell ref="E133:K133"/>
    <mergeCell ref="E196:K196"/>
    <mergeCell ref="D192:F192"/>
    <mergeCell ref="E195:K195"/>
    <mergeCell ref="E8:K8"/>
    <mergeCell ref="E9:K9"/>
    <mergeCell ref="D50:F50"/>
    <mergeCell ref="E53:K53"/>
    <mergeCell ref="E54:K54"/>
  </mergeCells>
  <conditionalFormatting sqref="B2">
    <cfRule type="cellIs" dxfId="67" priority="18" operator="notEqual">
      <formula>"No Errors Found"</formula>
    </cfRule>
  </conditionalFormatting>
  <conditionalFormatting sqref="K199:K232">
    <cfRule type="expression" dxfId="66" priority="10">
      <formula>(dms_FRCPlength_Num)&lt;5</formula>
    </cfRule>
  </conditionalFormatting>
  <conditionalFormatting sqref="K12:K45">
    <cfRule type="expression" dxfId="65" priority="9">
      <formula>(dms_FRCPlength_Num)&lt;5</formula>
    </cfRule>
  </conditionalFormatting>
  <conditionalFormatting sqref="K57:K90">
    <cfRule type="expression" dxfId="64" priority="8">
      <formula>(dms_FRCPlength_Num)&lt;5</formula>
    </cfRule>
  </conditionalFormatting>
  <conditionalFormatting sqref="K155:K188">
    <cfRule type="expression" dxfId="63" priority="7">
      <formula>(dms_FRCPlength_Num)&lt;5</formula>
    </cfRule>
  </conditionalFormatting>
  <conditionalFormatting sqref="K141">
    <cfRule type="expression" dxfId="62" priority="2">
      <formula>(dms_FRCPlength_Num)&lt;5</formula>
    </cfRule>
  </conditionalFormatting>
  <conditionalFormatting sqref="K136:K140">
    <cfRule type="expression" dxfId="61" priority="1">
      <formula>(dms_FRCPlength_Num)&lt;5</formula>
    </cfRule>
  </conditionalFormatting>
  <dataValidations disablePrompts="1" count="1">
    <dataValidation type="list" allowBlank="1" showInputMessage="1" showErrorMessage="1" sqref="M136:M141">
      <formula1>$D$12:$D$30</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94"/>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11" width="20.6640625" style="46" customWidth="1"/>
    <col min="12" max="31" width="10.6640625" style="46" customWidth="1"/>
    <col min="32" max="16384" width="9.33203125" style="46"/>
  </cols>
  <sheetData>
    <row r="1" spans="1:13" ht="19.5" x14ac:dyDescent="0.2">
      <c r="A1" s="42">
        <f>IF(SUM($A2:$A94)&gt;0,1,0)</f>
        <v>0</v>
      </c>
      <c r="B1" s="3" t="s">
        <v>534</v>
      </c>
    </row>
    <row r="2" spans="1:13" x14ac:dyDescent="0.2">
      <c r="B2" s="9" t="str">
        <f>Title_Msg</f>
        <v>No Errors Found</v>
      </c>
    </row>
    <row r="3" spans="1:13" s="47" customFormat="1" ht="15.75" x14ac:dyDescent="0.2">
      <c r="B3" s="47" t="str">
        <f>WkB_1_2.1.1!$B$3</f>
        <v>Data required to populate TransGrid's 2023-28 regulatory submission</v>
      </c>
    </row>
    <row r="4" spans="1:13" ht="4.5" customHeight="1" x14ac:dyDescent="0.2"/>
    <row r="5" spans="1:13" s="7" customFormat="1" ht="15" x14ac:dyDescent="0.2">
      <c r="C5" s="7" t="str">
        <f>WkB_1_2.1.1!$C$5</f>
        <v>Output - RIN template</v>
      </c>
    </row>
    <row r="6" spans="1:13" ht="11.25" customHeight="1" x14ac:dyDescent="0.2"/>
    <row r="7" spans="1:13" ht="19.5" thickBot="1" x14ac:dyDescent="0.3">
      <c r="D7" s="51" t="s">
        <v>262</v>
      </c>
      <c r="E7" s="52"/>
      <c r="F7" s="52"/>
      <c r="G7" s="52"/>
      <c r="H7" s="52"/>
      <c r="I7" s="52"/>
      <c r="J7" s="52"/>
      <c r="K7" s="52"/>
    </row>
    <row r="8" spans="1:13" ht="28.15" customHeight="1" thickBot="1" x14ac:dyDescent="0.25">
      <c r="D8"/>
      <c r="E8" s="1082" t="str">
        <f>WkB_1_2.1.1!$E$8</f>
        <v>Forecast 
($0's. real June 2023)</v>
      </c>
      <c r="F8" s="1083"/>
      <c r="G8" s="1083"/>
      <c r="H8" s="1083"/>
      <c r="I8" s="1083"/>
      <c r="J8" s="1083"/>
      <c r="K8" s="1084"/>
    </row>
    <row r="9" spans="1:13" ht="18.600000000000001" customHeight="1" thickBot="1" x14ac:dyDescent="0.25">
      <c r="D9"/>
      <c r="E9" s="53" t="str">
        <f>WkB_1_2.1.1!$E$9</f>
        <v>2021-22</v>
      </c>
      <c r="F9" s="54" t="str">
        <f>WkB_1_2.1.1!$F$9</f>
        <v>2022-23</v>
      </c>
      <c r="G9" s="55" t="str">
        <f>WkB_1_2.1.1!$G$9</f>
        <v>2023-24</v>
      </c>
      <c r="H9" s="56" t="str">
        <f>WkB_1_2.1.1!$H$9</f>
        <v>2024-25</v>
      </c>
      <c r="I9" s="56" t="str">
        <f>WkB_1_2.1.1!$I$9</f>
        <v>2025-26</v>
      </c>
      <c r="J9" s="56" t="str">
        <f>WkB_1_2.1.1!$J$9</f>
        <v>2026-27</v>
      </c>
      <c r="K9" s="57" t="str">
        <f>WkB_1_2.1.1!$K$9</f>
        <v>2027-28</v>
      </c>
    </row>
    <row r="10" spans="1:13" ht="15.75" thickBot="1" x14ac:dyDescent="0.25">
      <c r="D10" s="237" t="s">
        <v>263</v>
      </c>
      <c r="E10" s="238"/>
      <c r="F10" s="239"/>
      <c r="G10" s="239"/>
      <c r="H10" s="239"/>
      <c r="I10" s="239"/>
      <c r="J10" s="239"/>
      <c r="K10" s="240"/>
    </row>
    <row r="11" spans="1:13" ht="15" x14ac:dyDescent="0.25">
      <c r="D11" s="120" t="s">
        <v>264</v>
      </c>
      <c r="E11" s="63">
        <v>6502538634.5136871</v>
      </c>
      <c r="F11" s="64">
        <v>6852835729.4458628</v>
      </c>
      <c r="G11" s="63">
        <v>6921659249.1572857</v>
      </c>
      <c r="H11" s="65">
        <v>7499647773.8193426</v>
      </c>
      <c r="I11" s="65">
        <v>8618377319.1541119</v>
      </c>
      <c r="J11" s="65">
        <v>8559002624.2749596</v>
      </c>
      <c r="K11" s="64">
        <v>8409179174.3247137</v>
      </c>
    </row>
    <row r="12" spans="1:13" ht="15" x14ac:dyDescent="0.25">
      <c r="D12" s="241" t="s">
        <v>265</v>
      </c>
      <c r="E12" s="63">
        <v>211332505.62169486</v>
      </c>
      <c r="F12" s="64">
        <v>154188803.91253191</v>
      </c>
      <c r="G12" s="63">
        <v>162655799.57399645</v>
      </c>
      <c r="H12" s="65">
        <v>176238263.29249686</v>
      </c>
      <c r="I12" s="65">
        <v>202527891.5670518</v>
      </c>
      <c r="J12" s="65">
        <v>201132613.62539268</v>
      </c>
      <c r="K12" s="64">
        <v>197611831.66121849</v>
      </c>
    </row>
    <row r="13" spans="1:13" ht="15" x14ac:dyDescent="0.25">
      <c r="D13" s="241" t="s">
        <v>266</v>
      </c>
      <c r="E13" s="63">
        <v>-298031001.79017586</v>
      </c>
      <c r="F13" s="64">
        <v>-315905662.22280526</v>
      </c>
      <c r="G13" s="63">
        <v>-308802484.26195139</v>
      </c>
      <c r="H13" s="65">
        <v>-338431371.10420614</v>
      </c>
      <c r="I13" s="65">
        <v>-370307850.51435554</v>
      </c>
      <c r="J13" s="65">
        <v>-375909943.16591638</v>
      </c>
      <c r="K13" s="64">
        <v>-382887672.79517961</v>
      </c>
    </row>
    <row r="14" spans="1:13" ht="15" x14ac:dyDescent="0.25">
      <c r="D14" s="241" t="s">
        <v>267</v>
      </c>
      <c r="E14" s="63">
        <v>595676184.85475421</v>
      </c>
      <c r="F14" s="64">
        <v>397666162.50343329</v>
      </c>
      <c r="G14" s="63">
        <v>904819549.64233601</v>
      </c>
      <c r="H14" s="65">
        <v>1487896621.7133546</v>
      </c>
      <c r="I14" s="65">
        <v>313983954.69337529</v>
      </c>
      <c r="J14" s="65">
        <v>227011788.25132051</v>
      </c>
      <c r="K14" s="64">
        <v>389450517.84864575</v>
      </c>
    </row>
    <row r="15" spans="1:13" ht="15.75" thickBot="1" x14ac:dyDescent="0.3">
      <c r="D15" s="241" t="s">
        <v>268</v>
      </c>
      <c r="E15" s="63">
        <v>-4491789.841567223</v>
      </c>
      <c r="F15" s="64">
        <v>-4469984.9077400006</v>
      </c>
      <c r="G15" s="63">
        <v>-4446076.9998271</v>
      </c>
      <c r="H15" s="65">
        <v>-4446076.9998271018</v>
      </c>
      <c r="I15" s="65">
        <v>-4446076.9998271009</v>
      </c>
      <c r="J15" s="65">
        <v>-4446076.9998271009</v>
      </c>
      <c r="K15" s="64">
        <v>-4446076.9998271018</v>
      </c>
    </row>
    <row r="16" spans="1:13" ht="13.5" thickBot="1" x14ac:dyDescent="0.25">
      <c r="D16" s="122" t="s">
        <v>269</v>
      </c>
      <c r="E16" s="67">
        <f>SUM(E11:E15)</f>
        <v>7007024533.3583937</v>
      </c>
      <c r="F16" s="67">
        <f t="shared" ref="F16:K16" si="0">SUM(F11:F15)</f>
        <v>7084315048.7312832</v>
      </c>
      <c r="G16" s="67">
        <f t="shared" si="0"/>
        <v>7675886037.1118393</v>
      </c>
      <c r="H16" s="67">
        <f t="shared" si="0"/>
        <v>8820905210.7211609</v>
      </c>
      <c r="I16" s="67">
        <f t="shared" si="0"/>
        <v>8760135237.9003563</v>
      </c>
      <c r="J16" s="67">
        <f t="shared" si="0"/>
        <v>8606791005.9859295</v>
      </c>
      <c r="K16" s="68">
        <f t="shared" si="0"/>
        <v>8608907774.0395718</v>
      </c>
      <c r="M16" s="6" t="s">
        <v>592</v>
      </c>
    </row>
    <row r="17" spans="4:11" ht="11.25" customHeight="1" x14ac:dyDescent="0.2"/>
    <row r="18" spans="4:11" ht="19.5" thickBot="1" x14ac:dyDescent="0.3">
      <c r="D18" s="51" t="s">
        <v>270</v>
      </c>
      <c r="E18" s="52"/>
      <c r="F18" s="52"/>
      <c r="G18" s="52"/>
      <c r="H18" s="52"/>
      <c r="I18" s="52"/>
      <c r="J18" s="52"/>
      <c r="K18" s="52"/>
    </row>
    <row r="19" spans="4:11" ht="29.1" customHeight="1" thickBot="1" x14ac:dyDescent="0.25">
      <c r="D19"/>
      <c r="E19" s="1082" t="str">
        <f>WkB_1_2.1.1!$E$8</f>
        <v>Forecast 
($0's. real June 2023)</v>
      </c>
      <c r="F19" s="1083"/>
      <c r="G19" s="1083"/>
      <c r="H19" s="1083"/>
      <c r="I19" s="1083"/>
      <c r="J19" s="1083"/>
      <c r="K19" s="1084"/>
    </row>
    <row r="20" spans="4:11" ht="13.5" thickBot="1" x14ac:dyDescent="0.25">
      <c r="D20"/>
      <c r="E20" s="53" t="str">
        <f>WkB_1_2.1.1!$E$9</f>
        <v>2021-22</v>
      </c>
      <c r="F20" s="54" t="str">
        <f>WkB_1_2.1.1!$F$9</f>
        <v>2022-23</v>
      </c>
      <c r="G20" s="55" t="str">
        <f>WkB_1_2.1.1!$G$9</f>
        <v>2023-24</v>
      </c>
      <c r="H20" s="56" t="str">
        <f>WkB_1_2.1.1!$H$9</f>
        <v>2024-25</v>
      </c>
      <c r="I20" s="56" t="str">
        <f>WkB_1_2.1.1!$I$9</f>
        <v>2025-26</v>
      </c>
      <c r="J20" s="56" t="str">
        <f>WkB_1_2.1.1!$J$9</f>
        <v>2026-27</v>
      </c>
      <c r="K20" s="57" t="str">
        <f>WkB_1_2.1.1!$K$9</f>
        <v>2027-28</v>
      </c>
    </row>
    <row r="21" spans="4:11" ht="15.75" thickBot="1" x14ac:dyDescent="0.25">
      <c r="D21" s="238" t="s">
        <v>271</v>
      </c>
      <c r="E21" s="239"/>
      <c r="F21" s="239"/>
      <c r="G21" s="239"/>
      <c r="H21" s="239"/>
      <c r="I21" s="239"/>
      <c r="J21" s="239"/>
      <c r="K21" s="240"/>
    </row>
    <row r="22" spans="4:11" ht="15" x14ac:dyDescent="0.25">
      <c r="D22" s="120" t="str">
        <f>$D$11</f>
        <v>Opening value</v>
      </c>
      <c r="E22" s="63">
        <v>1824255528.8833423</v>
      </c>
      <c r="F22" s="64">
        <v>1894018586.5542235</v>
      </c>
      <c r="G22" s="63">
        <v>2019587976.0131218</v>
      </c>
      <c r="H22" s="65">
        <v>2355395069.2092905</v>
      </c>
      <c r="I22" s="65">
        <v>3123948587.632349</v>
      </c>
      <c r="J22" s="65">
        <v>3065259483.5528774</v>
      </c>
      <c r="K22" s="64">
        <v>2985313017.3068328</v>
      </c>
    </row>
    <row r="23" spans="4:11" ht="15" x14ac:dyDescent="0.25">
      <c r="D23" s="241" t="str">
        <f>$D$12</f>
        <v>Inflation addition</v>
      </c>
      <c r="E23" s="63">
        <v>59288304.688708626</v>
      </c>
      <c r="F23" s="64">
        <v>42615418.197470024</v>
      </c>
      <c r="G23" s="63">
        <v>47459385.852956899</v>
      </c>
      <c r="H23" s="65">
        <v>55350697.643997826</v>
      </c>
      <c r="I23" s="65">
        <v>73411350.813211665</v>
      </c>
      <c r="J23" s="65">
        <v>72032183.939099759</v>
      </c>
      <c r="K23" s="64">
        <v>70153478.859541103</v>
      </c>
    </row>
    <row r="24" spans="4:11" ht="15" x14ac:dyDescent="0.25">
      <c r="D24" s="241" t="str">
        <f>$D$13</f>
        <v>Straight line depreciation</v>
      </c>
      <c r="E24" s="63">
        <v>-91303361.247512653</v>
      </c>
      <c r="F24" s="64">
        <v>-94617054.432450205</v>
      </c>
      <c r="G24" s="63">
        <v>-104949612.56210099</v>
      </c>
      <c r="H24" s="65">
        <v>-113974191.87507796</v>
      </c>
      <c r="I24" s="65">
        <v>-132032457.8526379</v>
      </c>
      <c r="J24" s="65">
        <v>-133475450.26294649</v>
      </c>
      <c r="K24" s="64">
        <v>-134508455.84169331</v>
      </c>
    </row>
    <row r="25" spans="4:11" ht="15" x14ac:dyDescent="0.25">
      <c r="D25" s="241" t="str">
        <f>$D$14</f>
        <v>Actual additions (recognised in RAB)</v>
      </c>
      <c r="E25" s="63">
        <v>144393532.42715505</v>
      </c>
      <c r="F25" s="64">
        <v>225030411.54683557</v>
      </c>
      <c r="G25" s="63">
        <v>448648017.54931039</v>
      </c>
      <c r="H25" s="65">
        <v>900588363.46735013</v>
      </c>
      <c r="I25" s="65">
        <v>71964186.899054945</v>
      </c>
      <c r="J25" s="65">
        <v>51650278.937343061</v>
      </c>
      <c r="K25" s="64">
        <v>92553602.507665217</v>
      </c>
    </row>
    <row r="26" spans="4:11" ht="15.75" thickBot="1" x14ac:dyDescent="0.3">
      <c r="D26" s="241" t="str">
        <f>$D$15</f>
        <v xml:space="preserve">Disposals </v>
      </c>
      <c r="E26" s="63">
        <v>0</v>
      </c>
      <c r="F26" s="64">
        <v>0</v>
      </c>
      <c r="G26" s="63">
        <v>0</v>
      </c>
      <c r="H26" s="65">
        <v>0</v>
      </c>
      <c r="I26" s="65">
        <v>0</v>
      </c>
      <c r="J26" s="65">
        <v>0</v>
      </c>
      <c r="K26" s="64">
        <v>0</v>
      </c>
    </row>
    <row r="27" spans="4:11" ht="13.5" thickBot="1" x14ac:dyDescent="0.25">
      <c r="D27" s="122" t="str">
        <f>$D$16</f>
        <v xml:space="preserve">Closing value </v>
      </c>
      <c r="E27" s="67">
        <f>SUM(E22:E26)</f>
        <v>1936634004.7516932</v>
      </c>
      <c r="F27" s="67">
        <f t="shared" ref="F27" si="1">SUM(F22:F26)</f>
        <v>2067047361.8660789</v>
      </c>
      <c r="G27" s="67">
        <f t="shared" ref="G27" si="2">SUM(G22:G26)</f>
        <v>2410745766.8532882</v>
      </c>
      <c r="H27" s="67">
        <f t="shared" ref="H27" si="3">SUM(H22:H26)</f>
        <v>3197359938.4455605</v>
      </c>
      <c r="I27" s="67">
        <f t="shared" ref="I27" si="4">SUM(I22:I26)</f>
        <v>3137291667.4919777</v>
      </c>
      <c r="J27" s="67">
        <f t="shared" ref="J27" si="5">SUM(J22:J26)</f>
        <v>3055466496.1663737</v>
      </c>
      <c r="K27" s="68">
        <f t="shared" ref="K27" si="6">SUM(K22:K26)</f>
        <v>3013511642.8323455</v>
      </c>
    </row>
    <row r="28" spans="4:11" ht="15.75" thickBot="1" x14ac:dyDescent="0.25">
      <c r="D28" s="238" t="s">
        <v>276</v>
      </c>
      <c r="E28" s="239"/>
      <c r="F28" s="239"/>
      <c r="G28" s="239"/>
      <c r="H28" s="239"/>
      <c r="I28" s="239"/>
      <c r="J28" s="239"/>
      <c r="K28" s="240"/>
    </row>
    <row r="29" spans="4:11" ht="15" x14ac:dyDescent="0.25">
      <c r="D29" s="120" t="str">
        <f>$D$11</f>
        <v>Opening value</v>
      </c>
      <c r="E29" s="63">
        <v>190493174.08954048</v>
      </c>
      <c r="F29" s="64">
        <v>185289937.01407683</v>
      </c>
      <c r="G29" s="63">
        <v>182436439.61511558</v>
      </c>
      <c r="H29" s="65">
        <v>174173956.2012032</v>
      </c>
      <c r="I29" s="65">
        <v>165911472.78729081</v>
      </c>
      <c r="J29" s="65">
        <v>161569202.20862159</v>
      </c>
      <c r="K29" s="64">
        <v>153219602.95392597</v>
      </c>
    </row>
    <row r="30" spans="4:11" ht="15" x14ac:dyDescent="0.25">
      <c r="D30" s="241" t="str">
        <f>$D$12</f>
        <v>Inflation addition</v>
      </c>
      <c r="E30" s="63">
        <v>6191028.1579100657</v>
      </c>
      <c r="F30" s="64">
        <v>4169023.5828167284</v>
      </c>
      <c r="G30" s="63">
        <v>4287172.1777755274</v>
      </c>
      <c r="H30" s="65">
        <v>4093007.6288170642</v>
      </c>
      <c r="I30" s="65">
        <v>3898843.0798585992</v>
      </c>
      <c r="J30" s="65">
        <v>3796801.724236236</v>
      </c>
      <c r="K30" s="64">
        <v>3600589.9932036367</v>
      </c>
    </row>
    <row r="31" spans="4:11" ht="15" x14ac:dyDescent="0.25">
      <c r="D31" s="241" t="str">
        <f>$D$13</f>
        <v>Straight line depreciation</v>
      </c>
      <c r="E31" s="63">
        <v>-8201710.4064072454</v>
      </c>
      <c r="F31" s="64">
        <v>-8286986.6675790595</v>
      </c>
      <c r="G31" s="63">
        <v>-8456647.9628708642</v>
      </c>
      <c r="H31" s="65">
        <v>-8456647.9628708623</v>
      </c>
      <c r="I31" s="65">
        <v>-8456647.9628708605</v>
      </c>
      <c r="J31" s="65">
        <v>-8545810.98572818</v>
      </c>
      <c r="K31" s="64">
        <v>-8545810.9857281782</v>
      </c>
    </row>
    <row r="32" spans="4:11" ht="15" x14ac:dyDescent="0.25">
      <c r="D32" s="241" t="str">
        <f>$D$14</f>
        <v>Actual additions (recognised in RAB)</v>
      </c>
      <c r="E32" s="63">
        <v>976468.75585023337</v>
      </c>
      <c r="F32" s="64">
        <v>5551637.8635766469</v>
      </c>
      <c r="G32" s="63">
        <v>0</v>
      </c>
      <c r="H32" s="65">
        <v>0</v>
      </c>
      <c r="I32" s="65">
        <v>4012336.0285792719</v>
      </c>
      <c r="J32" s="65">
        <v>0</v>
      </c>
      <c r="K32" s="64">
        <v>3357105.7836322729</v>
      </c>
    </row>
    <row r="33" spans="4:11" ht="15.75" thickBot="1" x14ac:dyDescent="0.3">
      <c r="D33" s="241" t="str">
        <f>$D$15</f>
        <v xml:space="preserve">Disposals </v>
      </c>
      <c r="E33" s="63">
        <v>0</v>
      </c>
      <c r="F33" s="64">
        <v>0</v>
      </c>
      <c r="G33" s="63">
        <v>0</v>
      </c>
      <c r="H33" s="65">
        <v>0</v>
      </c>
      <c r="I33" s="65">
        <v>0</v>
      </c>
      <c r="J33" s="65">
        <v>0</v>
      </c>
      <c r="K33" s="64">
        <v>0</v>
      </c>
    </row>
    <row r="34" spans="4:11" ht="13.5" thickBot="1" x14ac:dyDescent="0.25">
      <c r="D34" s="122" t="str">
        <f>$D$16</f>
        <v xml:space="preserve">Closing value </v>
      </c>
      <c r="E34" s="67">
        <f>SUM(E29:E33)</f>
        <v>189458960.59689355</v>
      </c>
      <c r="F34" s="67">
        <f t="shared" ref="F34" si="7">SUM(F29:F33)</f>
        <v>186723611.79289114</v>
      </c>
      <c r="G34" s="67">
        <f t="shared" ref="G34" si="8">SUM(G29:G33)</f>
        <v>178266963.83002025</v>
      </c>
      <c r="H34" s="67">
        <f t="shared" ref="H34" si="9">SUM(H29:H33)</f>
        <v>169810315.86714938</v>
      </c>
      <c r="I34" s="67">
        <f t="shared" ref="I34" si="10">SUM(I29:I33)</f>
        <v>165366003.93285781</v>
      </c>
      <c r="J34" s="67">
        <f t="shared" ref="J34" si="11">SUM(J29:J33)</f>
        <v>156820192.94712967</v>
      </c>
      <c r="K34" s="68">
        <f t="shared" ref="K34" si="12">SUM(K29:K33)</f>
        <v>151631487.74503371</v>
      </c>
    </row>
    <row r="35" spans="4:11" ht="15.75" thickBot="1" x14ac:dyDescent="0.25">
      <c r="D35" s="238" t="s">
        <v>275</v>
      </c>
      <c r="E35" s="239"/>
      <c r="F35" s="239"/>
      <c r="G35" s="239"/>
      <c r="H35" s="239"/>
      <c r="I35" s="239"/>
      <c r="J35" s="239"/>
      <c r="K35" s="240"/>
    </row>
    <row r="36" spans="4:11" ht="15" x14ac:dyDescent="0.25">
      <c r="D36" s="120" t="str">
        <f>$D$11</f>
        <v>Opening value</v>
      </c>
      <c r="E36" s="63">
        <v>3050069483.3125343</v>
      </c>
      <c r="F36" s="64">
        <v>3240156008.2789865</v>
      </c>
      <c r="G36" s="63">
        <v>3303824734.2386427</v>
      </c>
      <c r="H36" s="65">
        <v>3387226713.1911154</v>
      </c>
      <c r="I36" s="65">
        <v>3439922877.6401019</v>
      </c>
      <c r="J36" s="65">
        <v>3421333547.5676556</v>
      </c>
      <c r="K36" s="64">
        <v>3334979904.0036511</v>
      </c>
    </row>
    <row r="37" spans="4:11" ht="15" x14ac:dyDescent="0.25">
      <c r="D37" s="241" t="str">
        <f>$D$12</f>
        <v>Inflation addition</v>
      </c>
      <c r="E37" s="63">
        <v>99127258.207657367</v>
      </c>
      <c r="F37" s="64">
        <v>72903510.186277196</v>
      </c>
      <c r="G37" s="63">
        <v>77638357.286276385</v>
      </c>
      <c r="H37" s="65">
        <v>79598265.320498049</v>
      </c>
      <c r="I37" s="65">
        <v>80836600.87768057</v>
      </c>
      <c r="J37" s="65">
        <v>80399760.195752054</v>
      </c>
      <c r="K37" s="64">
        <v>78370489.404685423</v>
      </c>
    </row>
    <row r="38" spans="4:11" ht="15" x14ac:dyDescent="0.25">
      <c r="D38" s="241" t="str">
        <f>$D$13</f>
        <v>Straight line depreciation</v>
      </c>
      <c r="E38" s="63">
        <v>-134126439.3357915</v>
      </c>
      <c r="F38" s="64">
        <v>-142779420.11023074</v>
      </c>
      <c r="G38" s="63">
        <v>-149307540.46919018</v>
      </c>
      <c r="H38" s="65">
        <v>-155174276.15558732</v>
      </c>
      <c r="I38" s="65">
        <v>-160401995.55963126</v>
      </c>
      <c r="J38" s="65">
        <v>-163936391.17976266</v>
      </c>
      <c r="K38" s="64">
        <v>-165825228.10037994</v>
      </c>
    </row>
    <row r="39" spans="4:11" ht="15" x14ac:dyDescent="0.25">
      <c r="D39" s="241" t="str">
        <f>$D$14</f>
        <v>Actual additions (recognised in RAB)</v>
      </c>
      <c r="E39" s="63">
        <v>297989216.2808634</v>
      </c>
      <c r="F39" s="64">
        <v>211182993.16988599</v>
      </c>
      <c r="G39" s="63">
        <v>234669427.45588455</v>
      </c>
      <c r="H39" s="65">
        <v>209108776.16175616</v>
      </c>
      <c r="I39" s="65">
        <v>141375824.80525652</v>
      </c>
      <c r="J39" s="65">
        <v>75553476.824691862</v>
      </c>
      <c r="K39" s="64">
        <v>124188898.79690504</v>
      </c>
    </row>
    <row r="40" spans="4:11" ht="15.75" thickBot="1" x14ac:dyDescent="0.3">
      <c r="D40" s="241" t="str">
        <f>$D$15</f>
        <v xml:space="preserve">Disposals </v>
      </c>
      <c r="E40" s="63">
        <v>0</v>
      </c>
      <c r="F40" s="64">
        <v>0</v>
      </c>
      <c r="G40" s="63">
        <v>0</v>
      </c>
      <c r="H40" s="65">
        <v>0</v>
      </c>
      <c r="I40" s="65">
        <v>0</v>
      </c>
      <c r="J40" s="65">
        <v>0</v>
      </c>
      <c r="K40" s="64">
        <v>0</v>
      </c>
    </row>
    <row r="41" spans="4:11" ht="13.5" thickBot="1" x14ac:dyDescent="0.25">
      <c r="D41" s="122" t="str">
        <f>$D$16</f>
        <v xml:space="preserve">Closing value </v>
      </c>
      <c r="E41" s="67">
        <f>SUM(E36:E40)</f>
        <v>3313059518.4652634</v>
      </c>
      <c r="F41" s="67">
        <f t="shared" ref="F41" si="13">SUM(F36:F40)</f>
        <v>3381463091.524919</v>
      </c>
      <c r="G41" s="67">
        <f t="shared" ref="G41" si="14">SUM(G36:G40)</f>
        <v>3466824978.5116134</v>
      </c>
      <c r="H41" s="67">
        <f t="shared" ref="H41" si="15">SUM(H36:H40)</f>
        <v>3520759478.5177822</v>
      </c>
      <c r="I41" s="67">
        <f t="shared" ref="I41" si="16">SUM(I36:I40)</f>
        <v>3501733307.7634077</v>
      </c>
      <c r="J41" s="67">
        <f t="shared" ref="J41" si="17">SUM(J36:J40)</f>
        <v>3413350393.4083366</v>
      </c>
      <c r="K41" s="68">
        <f t="shared" ref="K41" si="18">SUM(K36:K40)</f>
        <v>3371714064.1048617</v>
      </c>
    </row>
    <row r="42" spans="4:11" ht="15.75" thickBot="1" x14ac:dyDescent="0.25">
      <c r="D42" s="238" t="s">
        <v>274</v>
      </c>
      <c r="E42" s="239"/>
      <c r="F42" s="239"/>
      <c r="G42" s="239"/>
      <c r="H42" s="239"/>
      <c r="I42" s="239"/>
      <c r="J42" s="239"/>
      <c r="K42" s="240"/>
    </row>
    <row r="43" spans="4:11" ht="15" x14ac:dyDescent="0.25">
      <c r="D43" s="120" t="str">
        <f>$D$11</f>
        <v>Opening value</v>
      </c>
      <c r="E43" s="63">
        <v>953536574.10415399</v>
      </c>
      <c r="F43" s="64">
        <v>962597862.5826838</v>
      </c>
      <c r="G43" s="63">
        <v>957485548.94973862</v>
      </c>
      <c r="H43" s="65">
        <v>1029733004.7132918</v>
      </c>
      <c r="I43" s="65">
        <v>1205072568.8155351</v>
      </c>
      <c r="J43" s="65">
        <v>1204763140.1953316</v>
      </c>
      <c r="K43" s="64">
        <v>1204453711.5751286</v>
      </c>
    </row>
    <row r="44" spans="4:11" ht="15" x14ac:dyDescent="0.25">
      <c r="D44" s="241" t="str">
        <f>$D$12</f>
        <v>Inflation addition</v>
      </c>
      <c r="E44" s="63">
        <v>30989938.658385009</v>
      </c>
      <c r="F44" s="64">
        <v>21658451.908110384</v>
      </c>
      <c r="G44" s="63">
        <v>22500468.737164166</v>
      </c>
      <c r="H44" s="65">
        <v>24198250.621737346</v>
      </c>
      <c r="I44" s="65">
        <v>28318649.498564281</v>
      </c>
      <c r="J44" s="65">
        <v>28311378.068720866</v>
      </c>
      <c r="K44" s="64">
        <v>28304106.638877451</v>
      </c>
    </row>
    <row r="45" spans="4:11" ht="15" x14ac:dyDescent="0.25">
      <c r="D45" s="241" t="str">
        <f>$D$13</f>
        <v>Straight line depreciation</v>
      </c>
      <c r="E45" s="63">
        <v>0</v>
      </c>
      <c r="F45" s="64">
        <v>0</v>
      </c>
      <c r="G45" s="63">
        <v>0</v>
      </c>
      <c r="H45" s="65">
        <v>0</v>
      </c>
      <c r="I45" s="65">
        <v>0</v>
      </c>
      <c r="J45" s="65">
        <v>0</v>
      </c>
      <c r="K45" s="64">
        <v>0</v>
      </c>
    </row>
    <row r="46" spans="4:11" ht="15" x14ac:dyDescent="0.25">
      <c r="D46" s="241" t="str">
        <f>$D$14</f>
        <v>Actual additions (recognised in RAB)</v>
      </c>
      <c r="E46" s="63">
        <v>49757.965558220872</v>
      </c>
      <c r="F46" s="64">
        <v>-3951893.7613787823</v>
      </c>
      <c r="G46" s="63">
        <v>74261937.698173046</v>
      </c>
      <c r="H46" s="65">
        <v>179776663.02911732</v>
      </c>
      <c r="I46" s="65">
        <v>0</v>
      </c>
      <c r="J46" s="65">
        <v>0</v>
      </c>
      <c r="K46" s="64">
        <v>16652379.598914014</v>
      </c>
    </row>
    <row r="47" spans="4:11" ht="15.75" thickBot="1" x14ac:dyDescent="0.3">
      <c r="D47" s="241" t="str">
        <f>$D$15</f>
        <v xml:space="preserve">Disposals </v>
      </c>
      <c r="E47" s="63">
        <v>-319956.23730302131</v>
      </c>
      <c r="F47" s="64">
        <v>-318403.04251250869</v>
      </c>
      <c r="G47" s="63">
        <v>-316700.05004683055</v>
      </c>
      <c r="H47" s="65">
        <v>-316700.05004683055</v>
      </c>
      <c r="I47" s="65">
        <v>-316700.05004683061</v>
      </c>
      <c r="J47" s="65">
        <v>-316700.05004683061</v>
      </c>
      <c r="K47" s="64">
        <v>-316700.05004683055</v>
      </c>
    </row>
    <row r="48" spans="4:11" ht="13.5" thickBot="1" x14ac:dyDescent="0.25">
      <c r="D48" s="122" t="str">
        <f>$D$16</f>
        <v xml:space="preserve">Closing value </v>
      </c>
      <c r="E48" s="67">
        <f>SUM(E43:E47)</f>
        <v>984256314.49079418</v>
      </c>
      <c r="F48" s="67">
        <f t="shared" ref="F48" si="19">SUM(F43:F47)</f>
        <v>979986017.68690288</v>
      </c>
      <c r="G48" s="67">
        <f t="shared" ref="G48" si="20">SUM(G43:G47)</f>
        <v>1053931255.335029</v>
      </c>
      <c r="H48" s="67">
        <f t="shared" ref="H48" si="21">SUM(H43:H47)</f>
        <v>1233391218.3140996</v>
      </c>
      <c r="I48" s="67">
        <f t="shared" ref="I48" si="22">SUM(I43:I47)</f>
        <v>1233074518.2640524</v>
      </c>
      <c r="J48" s="67">
        <f t="shared" ref="J48" si="23">SUM(J43:J47)</f>
        <v>1232757818.2140055</v>
      </c>
      <c r="K48" s="68">
        <f t="shared" ref="K48" si="24">SUM(K43:K47)</f>
        <v>1249093497.7628729</v>
      </c>
    </row>
    <row r="49" spans="4:11" ht="15.75" thickBot="1" x14ac:dyDescent="0.25">
      <c r="D49" s="238" t="s">
        <v>273</v>
      </c>
      <c r="E49" s="239"/>
      <c r="F49" s="239"/>
      <c r="G49" s="239"/>
      <c r="H49" s="239"/>
      <c r="I49" s="239"/>
      <c r="J49" s="239"/>
      <c r="K49" s="240"/>
    </row>
    <row r="50" spans="4:11" ht="15" x14ac:dyDescent="0.25">
      <c r="D50" s="120" t="str">
        <f>$D$11</f>
        <v>Opening value</v>
      </c>
      <c r="E50" s="63">
        <v>415008160.90960634</v>
      </c>
      <c r="F50" s="64">
        <v>481131502.90759754</v>
      </c>
      <c r="G50" s="63">
        <v>405411747.32642007</v>
      </c>
      <c r="H50" s="65">
        <v>471090043.50421196</v>
      </c>
      <c r="I50" s="65">
        <v>575763730.83426988</v>
      </c>
      <c r="J50" s="65">
        <v>595707192.51221538</v>
      </c>
      <c r="K50" s="64">
        <v>612446260.19329953</v>
      </c>
    </row>
    <row r="51" spans="4:11" ht="15" x14ac:dyDescent="0.25">
      <c r="D51" s="241" t="str">
        <f>$D$12</f>
        <v>Inflation addition</v>
      </c>
      <c r="E51" s="63">
        <v>13487765.229562208</v>
      </c>
      <c r="F51" s="64">
        <v>10825458.815420944</v>
      </c>
      <c r="G51" s="63">
        <v>9526989.056287108</v>
      </c>
      <c r="H51" s="65">
        <v>11070398.720777184</v>
      </c>
      <c r="I51" s="65">
        <v>13530182.089786856</v>
      </c>
      <c r="J51" s="65">
        <v>13998844.239818953</v>
      </c>
      <c r="K51" s="64">
        <v>14392204.609028324</v>
      </c>
    </row>
    <row r="52" spans="4:11" ht="15" x14ac:dyDescent="0.25">
      <c r="D52" s="241" t="str">
        <f>$D$13</f>
        <v>Straight line depreciation</v>
      </c>
      <c r="E52" s="63">
        <v>-39613363.700767875</v>
      </c>
      <c r="F52" s="64">
        <v>-41027569.78467913</v>
      </c>
      <c r="G52" s="63">
        <v>-30340338.076789424</v>
      </c>
      <c r="H52" s="65">
        <v>-34331781.958326943</v>
      </c>
      <c r="I52" s="65">
        <v>-39936923.47270605</v>
      </c>
      <c r="J52" s="65">
        <v>-44029993.925921559</v>
      </c>
      <c r="K52" s="64">
        <v>-42929121.255155928</v>
      </c>
    </row>
    <row r="53" spans="4:11" ht="15" x14ac:dyDescent="0.25">
      <c r="D53" s="241" t="str">
        <f>$D$14</f>
        <v>Actual additions (recognised in RAB)</v>
      </c>
      <c r="E53" s="63">
        <v>103074399.28461783</v>
      </c>
      <c r="F53" s="64">
        <v>-35990655.555632137</v>
      </c>
      <c r="G53" s="63">
        <v>97562043.919071361</v>
      </c>
      <c r="H53" s="65">
        <v>141465252.65739438</v>
      </c>
      <c r="I53" s="65">
        <v>60349047.300683796</v>
      </c>
      <c r="J53" s="65">
        <v>61162421.97621502</v>
      </c>
      <c r="K53" s="64">
        <v>119058641.7509834</v>
      </c>
    </row>
    <row r="54" spans="4:11" ht="15.75" thickBot="1" x14ac:dyDescent="0.3">
      <c r="D54" s="241" t="str">
        <f>$D$15</f>
        <v xml:space="preserve">Disposals </v>
      </c>
      <c r="E54" s="63">
        <v>0</v>
      </c>
      <c r="F54" s="64">
        <v>0</v>
      </c>
      <c r="G54" s="63">
        <v>0</v>
      </c>
      <c r="H54" s="65">
        <v>0</v>
      </c>
      <c r="I54" s="65">
        <v>0</v>
      </c>
      <c r="J54" s="65">
        <v>0</v>
      </c>
      <c r="K54" s="64">
        <v>0</v>
      </c>
    </row>
    <row r="55" spans="4:11" ht="13.5" thickBot="1" x14ac:dyDescent="0.25">
      <c r="D55" s="122" t="str">
        <f>$D$16</f>
        <v xml:space="preserve">Closing value </v>
      </c>
      <c r="E55" s="67">
        <f>SUM(E50:E54)</f>
        <v>491956961.72301853</v>
      </c>
      <c r="F55" s="67">
        <f t="shared" ref="F55" si="25">SUM(F50:F54)</f>
        <v>414938736.38270724</v>
      </c>
      <c r="G55" s="67">
        <f t="shared" ref="G55" si="26">SUM(G50:G54)</f>
        <v>482160442.22498912</v>
      </c>
      <c r="H55" s="67">
        <f t="shared" ref="H55" si="27">SUM(H50:H54)</f>
        <v>589293912.92405665</v>
      </c>
      <c r="I55" s="67">
        <f t="shared" ref="I55" si="28">SUM(I50:I54)</f>
        <v>609706036.75203443</v>
      </c>
      <c r="J55" s="67">
        <f t="shared" ref="J55" si="29">SUM(J50:J54)</f>
        <v>626838464.80232775</v>
      </c>
      <c r="K55" s="68">
        <f t="shared" ref="K55" si="30">SUM(K50:K54)</f>
        <v>702967985.29815531</v>
      </c>
    </row>
    <row r="56" spans="4:11" ht="15.75" thickBot="1" x14ac:dyDescent="0.25">
      <c r="D56" s="238" t="s">
        <v>272</v>
      </c>
      <c r="E56" s="239"/>
      <c r="F56" s="239"/>
      <c r="G56" s="239"/>
      <c r="H56" s="239"/>
      <c r="I56" s="239"/>
      <c r="J56" s="239"/>
      <c r="K56" s="240"/>
    </row>
    <row r="57" spans="4:11" ht="15" x14ac:dyDescent="0.25">
      <c r="D57" s="120" t="str">
        <f>$D$11</f>
        <v>Opening value</v>
      </c>
      <c r="E57" s="63">
        <v>69175713.21451053</v>
      </c>
      <c r="F57" s="64">
        <v>89641832.108294249</v>
      </c>
      <c r="G57" s="63">
        <v>52912803.014246784</v>
      </c>
      <c r="H57" s="65">
        <v>82028987.000230163</v>
      </c>
      <c r="I57" s="65">
        <v>107758081.444563</v>
      </c>
      <c r="J57" s="65">
        <v>110370058.23825902</v>
      </c>
      <c r="K57" s="64">
        <v>118766678.29187411</v>
      </c>
    </row>
    <row r="58" spans="4:11" ht="15" x14ac:dyDescent="0.25">
      <c r="D58" s="241" t="str">
        <f>$D$12</f>
        <v>Inflation addition</v>
      </c>
      <c r="E58" s="63">
        <v>2248210.679471592</v>
      </c>
      <c r="F58" s="64">
        <v>2016941.2224366209</v>
      </c>
      <c r="G58" s="63">
        <v>1243426.4635364034</v>
      </c>
      <c r="H58" s="65">
        <v>1927643.3566694078</v>
      </c>
      <c r="I58" s="65">
        <v>2532265.2079498428</v>
      </c>
      <c r="J58" s="65">
        <v>2593645.4577648095</v>
      </c>
      <c r="K58" s="64">
        <v>2790962.1558825471</v>
      </c>
    </row>
    <row r="59" spans="4:11" ht="15" x14ac:dyDescent="0.25">
      <c r="D59" s="241" t="str">
        <f>$D$13</f>
        <v>Straight line depreciation</v>
      </c>
      <c r="E59" s="63">
        <v>-24786127.099696595</v>
      </c>
      <c r="F59" s="64">
        <v>-29194631.227866147</v>
      </c>
      <c r="G59" s="63">
        <v>-15748345.19099994</v>
      </c>
      <c r="H59" s="65">
        <v>-26494473.152343053</v>
      </c>
      <c r="I59" s="65">
        <v>-29479825.666509509</v>
      </c>
      <c r="J59" s="65">
        <v>-25922296.811557479</v>
      </c>
      <c r="K59" s="64">
        <v>-31079056.61222228</v>
      </c>
    </row>
    <row r="60" spans="4:11" ht="15" x14ac:dyDescent="0.25">
      <c r="D60" s="241" t="str">
        <f>$D$14</f>
        <v>Actual additions (recognised in RAB)</v>
      </c>
      <c r="E60" s="63">
        <v>49192810.140709557</v>
      </c>
      <c r="F60" s="64">
        <v>-4156330.7598540569</v>
      </c>
      <c r="G60" s="63">
        <v>49678123.019896589</v>
      </c>
      <c r="H60" s="65">
        <v>56957566.397736579</v>
      </c>
      <c r="I60" s="65">
        <v>36282559.659800753</v>
      </c>
      <c r="J60" s="65">
        <v>38645610.513070591</v>
      </c>
      <c r="K60" s="64">
        <v>33639889.410545811</v>
      </c>
    </row>
    <row r="61" spans="4:11" ht="15.75" thickBot="1" x14ac:dyDescent="0.3">
      <c r="D61" s="241" t="str">
        <f>$D$15</f>
        <v xml:space="preserve">Disposals </v>
      </c>
      <c r="E61" s="63">
        <v>-4171833.6042642011</v>
      </c>
      <c r="F61" s="64">
        <v>-4151581.8652274916</v>
      </c>
      <c r="G61" s="63">
        <v>-4129376.94978027</v>
      </c>
      <c r="H61" s="65">
        <v>-4129376.94978027</v>
      </c>
      <c r="I61" s="65">
        <v>-4129376.9497802705</v>
      </c>
      <c r="J61" s="65">
        <v>-4129376.9497802709</v>
      </c>
      <c r="K61" s="64">
        <v>-4129376.9497802705</v>
      </c>
    </row>
    <row r="62" spans="4:11" ht="13.5" thickBot="1" x14ac:dyDescent="0.25">
      <c r="D62" s="122" t="str">
        <f>$D$16</f>
        <v xml:space="preserve">Closing value </v>
      </c>
      <c r="E62" s="67">
        <f>SUM(E57:E61)</f>
        <v>91658773.330730885</v>
      </c>
      <c r="F62" s="67">
        <f t="shared" ref="F62" si="31">SUM(F57:F61)</f>
        <v>54156229.477783181</v>
      </c>
      <c r="G62" s="67">
        <f t="shared" ref="G62" si="32">SUM(G57:G61)</f>
        <v>83956630.356899574</v>
      </c>
      <c r="H62" s="67">
        <f t="shared" ref="H62" si="33">SUM(H57:H61)</f>
        <v>110290346.65251283</v>
      </c>
      <c r="I62" s="67">
        <f t="shared" ref="I62" si="34">SUM(I57:I61)</f>
        <v>112963703.69602382</v>
      </c>
      <c r="J62" s="67">
        <f t="shared" ref="J62" si="35">SUM(J57:J61)</f>
        <v>121557640.44775666</v>
      </c>
      <c r="K62" s="68">
        <f t="shared" ref="K62" si="36">SUM(K57:K61)</f>
        <v>119989096.29629992</v>
      </c>
    </row>
    <row r="63" spans="4:11" ht="11.25" customHeight="1" x14ac:dyDescent="0.2"/>
    <row r="64" spans="4:11" ht="19.5" thickBot="1" x14ac:dyDescent="0.3">
      <c r="D64" s="51" t="s">
        <v>277</v>
      </c>
      <c r="E64" s="52"/>
      <c r="F64" s="52"/>
      <c r="G64" s="52"/>
      <c r="H64" s="52"/>
      <c r="I64" s="52"/>
      <c r="J64" s="52"/>
      <c r="K64" s="52"/>
    </row>
    <row r="65" spans="4:11" ht="26.1" customHeight="1" thickBot="1" x14ac:dyDescent="0.25">
      <c r="D65"/>
      <c r="E65" s="1082" t="str">
        <f>WkB_1_2.1.1!$E$8</f>
        <v>Forecast 
($0's. real June 2023)</v>
      </c>
      <c r="F65" s="1083"/>
      <c r="G65" s="1083"/>
      <c r="H65" s="1083"/>
      <c r="I65" s="1083"/>
      <c r="J65" s="1083"/>
      <c r="K65" s="1084"/>
    </row>
    <row r="66" spans="4:11" ht="13.5" thickBot="1" x14ac:dyDescent="0.25">
      <c r="D66"/>
      <c r="E66" s="1049" t="str">
        <f>WkB_1_2.1.1!$E$9</f>
        <v>2021-22</v>
      </c>
      <c r="F66" s="1050" t="str">
        <f>WkB_1_2.1.1!$F$9</f>
        <v>2022-23</v>
      </c>
      <c r="G66" s="1051" t="str">
        <f>WkB_1_2.1.1!$G$9</f>
        <v>2023-24</v>
      </c>
      <c r="H66" s="1052" t="str">
        <f>WkB_1_2.1.1!$H$9</f>
        <v>2024-25</v>
      </c>
      <c r="I66" s="1052" t="str">
        <f>WkB_1_2.1.1!$I$9</f>
        <v>2025-26</v>
      </c>
      <c r="J66" s="1052" t="str">
        <f>WkB_1_2.1.1!$J$9</f>
        <v>2026-27</v>
      </c>
      <c r="K66" s="1053" t="str">
        <f>WkB_1_2.1.1!$K$9</f>
        <v>2027-28</v>
      </c>
    </row>
    <row r="67" spans="4:11" ht="15" x14ac:dyDescent="0.25">
      <c r="D67" s="242" t="str">
        <f>$D$21</f>
        <v>For overhead assets:</v>
      </c>
      <c r="E67" s="1054">
        <v>1880444766.8175178</v>
      </c>
      <c r="F67" s="1055">
        <v>1980532974.2101512</v>
      </c>
      <c r="G67" s="1056">
        <v>2215166871.4332051</v>
      </c>
      <c r="H67" s="1057">
        <v>2776377503.8274255</v>
      </c>
      <c r="I67" s="1057">
        <v>3130620127.5621634</v>
      </c>
      <c r="J67" s="1057">
        <v>3060362989.8596258</v>
      </c>
      <c r="K67" s="1055">
        <v>2999412330.0695891</v>
      </c>
    </row>
    <row r="68" spans="4:11" ht="15" x14ac:dyDescent="0.25">
      <c r="D68" s="243" t="str">
        <f>$D$28</f>
        <v>For underground assets:</v>
      </c>
      <c r="E68" s="1058">
        <v>189976067.34321702</v>
      </c>
      <c r="F68" s="64">
        <v>186006774.40348399</v>
      </c>
      <c r="G68" s="63">
        <v>180351701.72256792</v>
      </c>
      <c r="H68" s="65">
        <v>171992136.03417629</v>
      </c>
      <c r="I68" s="65">
        <v>165638738.36007431</v>
      </c>
      <c r="J68" s="65">
        <v>159194697.57787561</v>
      </c>
      <c r="K68" s="64">
        <v>152425545.34947985</v>
      </c>
    </row>
    <row r="69" spans="4:11" ht="15" x14ac:dyDescent="0.25">
      <c r="D69" s="243" t="str">
        <f>$D$35</f>
        <v>For switchyards, substations</v>
      </c>
      <c r="E69" s="1058">
        <v>3181564500.8888988</v>
      </c>
      <c r="F69" s="64">
        <v>3310809549.9019527</v>
      </c>
      <c r="G69" s="63">
        <v>3385324856.3751278</v>
      </c>
      <c r="H69" s="65">
        <v>3453993095.8544488</v>
      </c>
      <c r="I69" s="65">
        <v>3470828092.7017546</v>
      </c>
      <c r="J69" s="65">
        <v>3417341970.4879961</v>
      </c>
      <c r="K69" s="64">
        <v>3353346984.0542564</v>
      </c>
    </row>
    <row r="70" spans="4:11" ht="15" x14ac:dyDescent="0.25">
      <c r="D70" s="243" t="str">
        <f>$D$42</f>
        <v>For easements:</v>
      </c>
      <c r="E70" s="1058">
        <v>968896444.29747415</v>
      </c>
      <c r="F70" s="64">
        <v>971291940.13479328</v>
      </c>
      <c r="G70" s="63">
        <v>1005708402.1423838</v>
      </c>
      <c r="H70" s="65">
        <v>1131562111.5136957</v>
      </c>
      <c r="I70" s="65">
        <v>1219073543.5397937</v>
      </c>
      <c r="J70" s="65">
        <v>1218760479.2046685</v>
      </c>
      <c r="K70" s="64">
        <v>1226773604.6690006</v>
      </c>
    </row>
    <row r="71" spans="4:11" ht="15" x14ac:dyDescent="0.25">
      <c r="D71" s="243" t="str">
        <f>$D$49</f>
        <v>For “other” assets with long lives:</v>
      </c>
      <c r="E71" s="1058">
        <v>453482561.31631243</v>
      </c>
      <c r="F71" s="64">
        <v>448035119.64515239</v>
      </c>
      <c r="G71" s="63">
        <v>443786094.77570462</v>
      </c>
      <c r="H71" s="65">
        <v>530191978.21413434</v>
      </c>
      <c r="I71" s="65">
        <v>592734883.79315209</v>
      </c>
      <c r="J71" s="65">
        <v>611272828.65727162</v>
      </c>
      <c r="K71" s="64">
        <v>657707122.74572742</v>
      </c>
    </row>
    <row r="72" spans="4:11" ht="15.75" thickBot="1" x14ac:dyDescent="0.3">
      <c r="D72" s="244" t="str">
        <f>$D$56</f>
        <v>For “other” assets with short lives:</v>
      </c>
      <c r="E72" s="1059">
        <v>80417243.272620708</v>
      </c>
      <c r="F72" s="1060">
        <v>71899030.793038711</v>
      </c>
      <c r="G72" s="1061">
        <v>68434716.685573176</v>
      </c>
      <c r="H72" s="1062">
        <v>96159666.826371491</v>
      </c>
      <c r="I72" s="1062">
        <v>110360892.57029341</v>
      </c>
      <c r="J72" s="1062">
        <v>115963849.34300783</v>
      </c>
      <c r="K72" s="1060">
        <v>119377887.29408702</v>
      </c>
    </row>
    <row r="73" spans="4:11" ht="11.25" customHeight="1" x14ac:dyDescent="0.2"/>
    <row r="74" spans="4:11" ht="19.5" thickBot="1" x14ac:dyDescent="0.3">
      <c r="D74" s="51" t="s">
        <v>278</v>
      </c>
      <c r="E74" s="52"/>
      <c r="F74" s="52"/>
      <c r="G74" s="52"/>
      <c r="H74" s="52"/>
      <c r="I74" s="52"/>
      <c r="J74" s="52"/>
      <c r="K74" s="52"/>
    </row>
    <row r="75" spans="4:11" ht="32.1" customHeight="1" thickBot="1" x14ac:dyDescent="0.25">
      <c r="D75"/>
      <c r="E75" s="1082" t="s">
        <v>286</v>
      </c>
      <c r="F75" s="1083"/>
      <c r="G75" s="1083"/>
      <c r="H75" s="1083"/>
      <c r="I75" s="1083"/>
      <c r="J75" s="1083"/>
      <c r="K75" s="1084"/>
    </row>
    <row r="76" spans="4:11" ht="13.5" thickBot="1" x14ac:dyDescent="0.25">
      <c r="D76"/>
      <c r="E76" s="53" t="str">
        <f>WkB_1_2.1.1!$E$9</f>
        <v>2021-22</v>
      </c>
      <c r="F76" s="54" t="str">
        <f>WkB_1_2.1.1!$F$9</f>
        <v>2022-23</v>
      </c>
      <c r="G76" s="55" t="str">
        <f>WkB_1_2.1.1!$G$9</f>
        <v>2023-24</v>
      </c>
      <c r="H76" s="56" t="str">
        <f>WkB_1_2.1.1!$H$9</f>
        <v>2024-25</v>
      </c>
      <c r="I76" s="56" t="str">
        <f>WkB_1_2.1.1!$I$9</f>
        <v>2025-26</v>
      </c>
      <c r="J76" s="56" t="str">
        <f>WkB_1_2.1.1!$J$9</f>
        <v>2026-27</v>
      </c>
      <c r="K76" s="57" t="str">
        <f>WkB_1_2.1.1!$K$9</f>
        <v>2027-28</v>
      </c>
    </row>
    <row r="77" spans="4:11" ht="15.75" thickBot="1" x14ac:dyDescent="0.25">
      <c r="D77" s="238" t="s">
        <v>279</v>
      </c>
      <c r="E77" s="239"/>
      <c r="F77" s="239"/>
      <c r="G77" s="239"/>
      <c r="H77" s="239"/>
      <c r="I77" s="239"/>
      <c r="J77" s="239"/>
      <c r="K77" s="240"/>
    </row>
    <row r="78" spans="4:11" ht="15" x14ac:dyDescent="0.25">
      <c r="D78" s="242" t="s">
        <v>280</v>
      </c>
      <c r="E78" s="63">
        <v>40.1</v>
      </c>
      <c r="F78" s="64">
        <v>40.1</v>
      </c>
      <c r="G78" s="63">
        <v>40.1</v>
      </c>
      <c r="H78" s="65">
        <v>40.1</v>
      </c>
      <c r="I78" s="65">
        <v>40.1</v>
      </c>
      <c r="J78" s="65">
        <v>40.1</v>
      </c>
      <c r="K78" s="124">
        <v>40.1</v>
      </c>
    </row>
    <row r="79" spans="4:11" ht="15" x14ac:dyDescent="0.25">
      <c r="D79" s="243" t="s">
        <v>281</v>
      </c>
      <c r="E79" s="63">
        <v>45</v>
      </c>
      <c r="F79" s="64">
        <v>45</v>
      </c>
      <c r="G79" s="63">
        <v>0</v>
      </c>
      <c r="H79" s="65">
        <v>0</v>
      </c>
      <c r="I79" s="65">
        <v>45</v>
      </c>
      <c r="J79" s="65">
        <v>0</v>
      </c>
      <c r="K79" s="124">
        <v>45</v>
      </c>
    </row>
    <row r="80" spans="4:11" ht="15" x14ac:dyDescent="0.25">
      <c r="D80" s="243" t="s">
        <v>282</v>
      </c>
      <c r="E80" s="63">
        <v>40</v>
      </c>
      <c r="F80" s="64">
        <v>40</v>
      </c>
      <c r="G80" s="63">
        <v>40</v>
      </c>
      <c r="H80" s="65">
        <v>40</v>
      </c>
      <c r="I80" s="65">
        <v>40</v>
      </c>
      <c r="J80" s="65">
        <v>40</v>
      </c>
      <c r="K80" s="124">
        <v>40</v>
      </c>
    </row>
    <row r="81" spans="1:11" ht="15" x14ac:dyDescent="0.25">
      <c r="D81" s="243" t="s">
        <v>283</v>
      </c>
      <c r="E81" s="63">
        <v>13.3</v>
      </c>
      <c r="F81" s="64">
        <v>13.3</v>
      </c>
      <c r="G81" s="63">
        <v>13.3</v>
      </c>
      <c r="H81" s="65">
        <v>13.3</v>
      </c>
      <c r="I81" s="65">
        <v>13.3</v>
      </c>
      <c r="J81" s="65">
        <v>13.3</v>
      </c>
      <c r="K81" s="124">
        <v>13.3</v>
      </c>
    </row>
    <row r="82" spans="1:11" ht="15.75" thickBot="1" x14ac:dyDescent="0.3">
      <c r="D82" s="243" t="s">
        <v>284</v>
      </c>
      <c r="E82" s="63">
        <v>5</v>
      </c>
      <c r="F82" s="64">
        <v>5</v>
      </c>
      <c r="G82" s="63">
        <v>5</v>
      </c>
      <c r="H82" s="65">
        <v>5</v>
      </c>
      <c r="I82" s="65">
        <v>5</v>
      </c>
      <c r="J82" s="65">
        <v>5</v>
      </c>
      <c r="K82" s="124">
        <v>5</v>
      </c>
    </row>
    <row r="83" spans="1:11" ht="15.75" thickBot="1" x14ac:dyDescent="0.25">
      <c r="D83" s="238" t="s">
        <v>285</v>
      </c>
      <c r="E83" s="239"/>
      <c r="F83" s="239"/>
      <c r="G83" s="239"/>
      <c r="H83" s="239"/>
      <c r="I83" s="239"/>
      <c r="J83" s="239"/>
      <c r="K83" s="240"/>
    </row>
    <row r="84" spans="1:11" ht="15" x14ac:dyDescent="0.25">
      <c r="D84" s="242" t="s">
        <v>280</v>
      </c>
      <c r="E84" s="63">
        <v>19.980157400098342</v>
      </c>
      <c r="F84" s="64">
        <v>20.017729339761015</v>
      </c>
      <c r="G84" s="63">
        <v>19.243405732613709</v>
      </c>
      <c r="H84" s="65">
        <v>20.666038779997969</v>
      </c>
      <c r="I84" s="65">
        <v>23.660459241916136</v>
      </c>
      <c r="J84" s="65">
        <v>22.96496829577514</v>
      </c>
      <c r="K84" s="124">
        <v>22.194240493105724</v>
      </c>
    </row>
    <row r="85" spans="1:11" ht="15" x14ac:dyDescent="0.25">
      <c r="D85" s="243" t="s">
        <v>281</v>
      </c>
      <c r="E85" s="63">
        <v>23.226030260800918</v>
      </c>
      <c r="F85" s="64">
        <v>22.359145060409151</v>
      </c>
      <c r="G85" s="63">
        <v>21.573138720697322</v>
      </c>
      <c r="H85" s="65">
        <v>20.596098710259501</v>
      </c>
      <c r="I85" s="65">
        <v>19.619058699821675</v>
      </c>
      <c r="J85" s="65">
        <v>18.906245700782303</v>
      </c>
      <c r="K85" s="124">
        <v>17.929205690344475</v>
      </c>
    </row>
    <row r="86" spans="1:11" ht="15" x14ac:dyDescent="0.25">
      <c r="D86" s="243" t="s">
        <v>282</v>
      </c>
      <c r="E86" s="63">
        <v>22.740255377066635</v>
      </c>
      <c r="F86" s="64">
        <v>22.69343863266479</v>
      </c>
      <c r="G86" s="63">
        <v>22.127648234352851</v>
      </c>
      <c r="H86" s="65">
        <v>21.828532390219578</v>
      </c>
      <c r="I86" s="65">
        <v>21.445636418913949</v>
      </c>
      <c r="J86" s="65">
        <v>20.869884489625186</v>
      </c>
      <c r="K86" s="124">
        <v>20.111414542935943</v>
      </c>
    </row>
    <row r="87" spans="1:11" ht="15" x14ac:dyDescent="0.25">
      <c r="D87" s="243" t="s">
        <v>283</v>
      </c>
      <c r="E87" s="63">
        <v>10.476468598943082</v>
      </c>
      <c r="F87" s="64">
        <v>11.727029054674007</v>
      </c>
      <c r="G87" s="63">
        <v>13.3</v>
      </c>
      <c r="H87" s="65">
        <v>13.3</v>
      </c>
      <c r="I87" s="65">
        <v>13.3</v>
      </c>
      <c r="J87" s="65">
        <v>13.3</v>
      </c>
      <c r="K87" s="124">
        <v>13.3</v>
      </c>
    </row>
    <row r="88" spans="1:11" ht="15.75" thickBot="1" x14ac:dyDescent="0.3">
      <c r="D88" s="245" t="s">
        <v>284</v>
      </c>
      <c r="E88" s="195">
        <v>2.7909044820220141</v>
      </c>
      <c r="F88" s="194">
        <v>3.0704903038039237</v>
      </c>
      <c r="G88" s="195">
        <v>3.3598960635232995</v>
      </c>
      <c r="H88" s="125">
        <v>3.0960791908774334</v>
      </c>
      <c r="I88" s="125">
        <v>3.6553161020548819</v>
      </c>
      <c r="J88" s="125">
        <v>4.2577268148959098</v>
      </c>
      <c r="K88" s="126">
        <v>3.8214376894943274</v>
      </c>
    </row>
    <row r="89" spans="1:11" ht="11.25" customHeight="1" x14ac:dyDescent="0.2"/>
    <row r="90" spans="1:11" ht="11.25" customHeight="1" x14ac:dyDescent="0.2">
      <c r="D90" s="6" t="s">
        <v>182</v>
      </c>
      <c r="E90" s="141">
        <v>7007024533.3583946</v>
      </c>
      <c r="F90" s="141">
        <v>7084315048.7312822</v>
      </c>
      <c r="G90" s="143">
        <v>7675886037.1118393</v>
      </c>
      <c r="H90" s="141">
        <v>8820905210.7211647</v>
      </c>
      <c r="I90" s="141">
        <v>8760135237.9003525</v>
      </c>
      <c r="J90" s="141">
        <v>8606791005.9859333</v>
      </c>
      <c r="K90" s="141">
        <v>8608907774.0395699</v>
      </c>
    </row>
    <row r="91" spans="1:11" ht="11.25" customHeight="1" x14ac:dyDescent="0.2">
      <c r="D91" s="6" t="s">
        <v>532</v>
      </c>
      <c r="E91" s="144">
        <f>E27+E34+E41+E48+E55+E62</f>
        <v>7007024533.3583937</v>
      </c>
      <c r="F91" s="144">
        <f t="shared" ref="F91:K91" si="37">F27+F34+F41+F48+F55+F62</f>
        <v>7084315048.7312832</v>
      </c>
      <c r="G91" s="144">
        <f t="shared" si="37"/>
        <v>7675886037.1118383</v>
      </c>
      <c r="H91" s="144">
        <f t="shared" si="37"/>
        <v>8820905210.7211609</v>
      </c>
      <c r="I91" s="144">
        <f t="shared" si="37"/>
        <v>8760135237.9003544</v>
      </c>
      <c r="J91" s="144">
        <f t="shared" si="37"/>
        <v>8606791005.9859295</v>
      </c>
      <c r="K91" s="144">
        <f t="shared" si="37"/>
        <v>8608907774.0395679</v>
      </c>
    </row>
    <row r="92" spans="1:11" ht="11.25" customHeight="1" x14ac:dyDescent="0.2">
      <c r="A92" s="42">
        <f>IF(SUM($E92:$K92)&gt;0,1,0)</f>
        <v>0</v>
      </c>
      <c r="D92" s="6" t="s">
        <v>183</v>
      </c>
      <c r="E92" s="70">
        <f>IF(OR(ROUND(E16-E90,3)&lt;&gt;0,ROUND(E90-E91,3)&lt;&gt;0),1,0)</f>
        <v>0</v>
      </c>
      <c r="F92" s="70">
        <f t="shared" ref="F92:K92" si="38">IF(OR(ROUND(F16-F90,3)&lt;&gt;0,ROUND(F90-F91,3)&lt;&gt;0),1,0)</f>
        <v>0</v>
      </c>
      <c r="G92" s="70">
        <f t="shared" si="38"/>
        <v>0</v>
      </c>
      <c r="H92" s="70">
        <f t="shared" si="38"/>
        <v>0</v>
      </c>
      <c r="I92" s="70">
        <f t="shared" si="38"/>
        <v>0</v>
      </c>
      <c r="J92" s="70">
        <f t="shared" si="38"/>
        <v>0</v>
      </c>
      <c r="K92" s="70">
        <f t="shared" si="38"/>
        <v>0</v>
      </c>
    </row>
    <row r="93" spans="1:11" ht="11.25" customHeight="1" x14ac:dyDescent="0.2"/>
    <row r="94" spans="1:11" s="47" customFormat="1" ht="15.75" x14ac:dyDescent="0.2">
      <c r="B94" s="47" t="s">
        <v>32</v>
      </c>
    </row>
  </sheetData>
  <mergeCells count="4">
    <mergeCell ref="E8:K8"/>
    <mergeCell ref="E19:K19"/>
    <mergeCell ref="E65:K65"/>
    <mergeCell ref="E75:K75"/>
  </mergeCells>
  <conditionalFormatting sqref="B2">
    <cfRule type="cellIs" dxfId="60" priority="22" operator="notEqual">
      <formula>"No Errors Found"</formula>
    </cfRule>
  </conditionalFormatting>
  <conditionalFormatting sqref="K11:K15">
    <cfRule type="expression" dxfId="59" priority="19">
      <formula>(dms_FRCPlength_Num)&lt;5</formula>
    </cfRule>
  </conditionalFormatting>
  <conditionalFormatting sqref="K12:K13">
    <cfRule type="expression" dxfId="58" priority="20">
      <formula>(dms_FRCPlength_Num)&lt;5</formula>
    </cfRule>
  </conditionalFormatting>
  <conditionalFormatting sqref="K22:K26">
    <cfRule type="expression" dxfId="57" priority="17">
      <formula>(dms_FRCPlength_Num)&lt;5</formula>
    </cfRule>
  </conditionalFormatting>
  <conditionalFormatting sqref="K23:K24">
    <cfRule type="expression" dxfId="56" priority="18">
      <formula>(dms_FRCPlength_Num)&lt;5</formula>
    </cfRule>
  </conditionalFormatting>
  <conditionalFormatting sqref="K29:K33">
    <cfRule type="expression" dxfId="55" priority="15">
      <formula>(dms_FRCPlength_Num)&lt;5</formula>
    </cfRule>
  </conditionalFormatting>
  <conditionalFormatting sqref="K30:K31">
    <cfRule type="expression" dxfId="54" priority="16">
      <formula>(dms_FRCPlength_Num)&lt;5</formula>
    </cfRule>
  </conditionalFormatting>
  <conditionalFormatting sqref="K36:K40">
    <cfRule type="expression" dxfId="53" priority="13">
      <formula>(dms_FRCPlength_Num)&lt;5</formula>
    </cfRule>
  </conditionalFormatting>
  <conditionalFormatting sqref="K37:K38">
    <cfRule type="expression" dxfId="52" priority="14">
      <formula>(dms_FRCPlength_Num)&lt;5</formula>
    </cfRule>
  </conditionalFormatting>
  <conditionalFormatting sqref="K43:K47">
    <cfRule type="expression" dxfId="51" priority="11">
      <formula>(dms_FRCPlength_Num)&lt;5</formula>
    </cfRule>
  </conditionalFormatting>
  <conditionalFormatting sqref="K44:K45">
    <cfRule type="expression" dxfId="50" priority="12">
      <formula>(dms_FRCPlength_Num)&lt;5</formula>
    </cfRule>
  </conditionalFormatting>
  <conditionalFormatting sqref="K50:K54">
    <cfRule type="expression" dxfId="49" priority="9">
      <formula>(dms_FRCPlength_Num)&lt;5</formula>
    </cfRule>
  </conditionalFormatting>
  <conditionalFormatting sqref="K51:K52">
    <cfRule type="expression" dxfId="48" priority="10">
      <formula>(dms_FRCPlength_Num)&lt;5</formula>
    </cfRule>
  </conditionalFormatting>
  <conditionalFormatting sqref="K57:K61">
    <cfRule type="expression" dxfId="47" priority="7">
      <formula>(dms_FRCPlength_Num)&lt;5</formula>
    </cfRule>
  </conditionalFormatting>
  <conditionalFormatting sqref="K58:K59">
    <cfRule type="expression" dxfId="46" priority="8">
      <formula>(dms_FRCPlength_Num)&lt;5</formula>
    </cfRule>
  </conditionalFormatting>
  <conditionalFormatting sqref="K67:K72">
    <cfRule type="expression" dxfId="45" priority="5">
      <formula>(dms_FRCPlength_Num)&lt;5</formula>
    </cfRule>
  </conditionalFormatting>
  <conditionalFormatting sqref="K68:K69">
    <cfRule type="expression" dxfId="44" priority="6">
      <formula>(dms_FRCPlength_Num)&lt;5</formula>
    </cfRule>
  </conditionalFormatting>
  <conditionalFormatting sqref="K78:K82">
    <cfRule type="expression" dxfId="43" priority="3">
      <formula>(dms_FRCPlength_Num)&lt;5</formula>
    </cfRule>
  </conditionalFormatting>
  <conditionalFormatting sqref="K79:K80">
    <cfRule type="expression" dxfId="42" priority="4">
      <formula>(dms_FRCPlength_Num)&lt;5</formula>
    </cfRule>
  </conditionalFormatting>
  <conditionalFormatting sqref="K84:K88">
    <cfRule type="expression" dxfId="41" priority="1">
      <formula>(dms_FRCPlength_Num)&lt;5</formula>
    </cfRule>
  </conditionalFormatting>
  <conditionalFormatting sqref="K85:K86">
    <cfRule type="expression" dxfId="40" priority="2">
      <formula>(dms_FRCPlength_Num)&lt;5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59"/>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79" style="46" customWidth="1"/>
    <col min="5" max="5" width="24.6640625" style="46" customWidth="1"/>
    <col min="6" max="6" width="73.6640625" style="46" customWidth="1"/>
    <col min="7" max="8" width="24.6640625" style="46" customWidth="1"/>
    <col min="9" max="11" width="15.6640625" style="46" customWidth="1"/>
    <col min="12" max="23" width="17.6640625" style="46" customWidth="1"/>
    <col min="24" max="32" width="10.6640625" style="46" customWidth="1"/>
    <col min="33" max="16384" width="9.33203125" style="46"/>
  </cols>
  <sheetData>
    <row r="1" spans="1:23" ht="19.5" x14ac:dyDescent="0.2">
      <c r="A1" s="42">
        <f>IF(SUM($A2:$A59)&gt;0,1,0)</f>
        <v>0</v>
      </c>
      <c r="B1" s="3" t="s">
        <v>543</v>
      </c>
    </row>
    <row r="2" spans="1:23" x14ac:dyDescent="0.2">
      <c r="B2" s="9" t="str">
        <f>Title_Msg</f>
        <v>No Errors Found</v>
      </c>
    </row>
    <row r="3" spans="1:23" s="47" customFormat="1" ht="15.75" x14ac:dyDescent="0.2">
      <c r="B3" s="47" t="str">
        <f>WkB_1_2.1.1!$B$3</f>
        <v>Data required to populate TransGrid's 2023-28 regulatory submission</v>
      </c>
    </row>
    <row r="4" spans="1:23" ht="4.5" customHeight="1" x14ac:dyDescent="0.2"/>
    <row r="5" spans="1:23" s="7" customFormat="1" ht="15" x14ac:dyDescent="0.2">
      <c r="C5" s="7" t="str">
        <f>WkB_1_2.1.1!$C$5</f>
        <v>Output - RIN template</v>
      </c>
    </row>
    <row r="6" spans="1:23" ht="11.25" customHeight="1" x14ac:dyDescent="0.2"/>
    <row r="7" spans="1:23" ht="18.75" x14ac:dyDescent="0.25">
      <c r="D7" s="818" t="s">
        <v>542</v>
      </c>
      <c r="E7" s="52"/>
      <c r="F7" s="52"/>
      <c r="G7" s="52"/>
      <c r="H7" s="52"/>
    </row>
    <row r="8" spans="1:23" ht="48" customHeight="1" thickBot="1" x14ac:dyDescent="0.25">
      <c r="D8" s="819" t="s">
        <v>544</v>
      </c>
      <c r="E8" s="820" t="s">
        <v>545</v>
      </c>
      <c r="F8" s="820" t="s">
        <v>546</v>
      </c>
      <c r="G8" s="820" t="s">
        <v>924</v>
      </c>
      <c r="H8" s="821" t="s">
        <v>925</v>
      </c>
      <c r="J8" s="835" t="s">
        <v>547</v>
      </c>
      <c r="K8" s="835" t="s">
        <v>547</v>
      </c>
      <c r="L8" s="836" t="s">
        <v>549</v>
      </c>
      <c r="M8" s="836" t="s">
        <v>550</v>
      </c>
      <c r="N8" s="836" t="s">
        <v>551</v>
      </c>
      <c r="O8" s="836" t="s">
        <v>552</v>
      </c>
      <c r="P8" s="836" t="s">
        <v>553</v>
      </c>
      <c r="Q8" s="836" t="s">
        <v>548</v>
      </c>
      <c r="R8" s="836" t="s">
        <v>554</v>
      </c>
      <c r="S8" s="836" t="s">
        <v>555</v>
      </c>
      <c r="T8" s="836" t="s">
        <v>556</v>
      </c>
      <c r="U8" s="836" t="s">
        <v>557</v>
      </c>
      <c r="V8" s="836" t="s">
        <v>558</v>
      </c>
      <c r="W8" s="836" t="s">
        <v>559</v>
      </c>
    </row>
    <row r="9" spans="1:23" ht="11.25" customHeight="1" x14ac:dyDescent="0.25">
      <c r="D9" s="822" t="str">
        <f>D38</f>
        <v>Renewable Energy Zone in Central West NSW area</v>
      </c>
      <c r="E9" s="843">
        <f>W9</f>
        <v>739081566.87561488</v>
      </c>
      <c r="F9" s="823" t="str">
        <f t="shared" ref="F9:F24" si="0">F38</f>
        <v>(a) New generation of more than 900 MW is reasonably anticipated to connect in central western NSW (west of Wollar and Mount Piper)
(b) Successful completion of a RIT-T demonstrating that increasing capacity of the network in the Central West Orana region is the option or part of the option that maximises positive net economic benefits</v>
      </c>
      <c r="G9" s="846">
        <v>797626727.57838333</v>
      </c>
      <c r="H9" s="847">
        <f t="shared" ref="H9:H28" si="1">+G9*0.05</f>
        <v>39881336.378919169</v>
      </c>
      <c r="J9" s="834">
        <v>1</v>
      </c>
      <c r="K9" s="834">
        <v>1903</v>
      </c>
      <c r="L9" s="837">
        <v>21275029.687499996</v>
      </c>
      <c r="M9" s="837">
        <v>63825089.062499993</v>
      </c>
      <c r="N9" s="837">
        <v>404225564.06249994</v>
      </c>
      <c r="O9" s="837">
        <v>205658620.31249994</v>
      </c>
      <c r="P9" s="837">
        <v>0</v>
      </c>
      <c r="Q9" s="838">
        <f>SUM(L9:P9)</f>
        <v>694984303.12499988</v>
      </c>
      <c r="R9" s="838">
        <f>L9*Input_CPI!T$22</f>
        <v>21523554.801468123</v>
      </c>
      <c r="S9" s="838">
        <f>M9*Input_CPI!U$22</f>
        <v>66088045.233141534</v>
      </c>
      <c r="T9" s="838">
        <f>N9*Input_CPI!V$22</f>
        <v>428393530.80569649</v>
      </c>
      <c r="U9" s="838">
        <f>O9*Input_CPI!W$22</f>
        <v>223076436.03530872</v>
      </c>
      <c r="V9" s="838">
        <f>P9*Input_CPI!X$22</f>
        <v>0</v>
      </c>
      <c r="W9" s="838">
        <f>SUM(R9:V9)</f>
        <v>739081566.87561488</v>
      </c>
    </row>
    <row r="10" spans="1:23" ht="11.25" customHeight="1" x14ac:dyDescent="0.25">
      <c r="D10" s="826" t="str">
        <f t="shared" ref="D10:D24" si="2">D39</f>
        <v>Improving stability of the South-Western NSW</v>
      </c>
      <c r="E10" s="844">
        <f t="shared" ref="E10:E24" si="3">W10</f>
        <v>129983643.43232054</v>
      </c>
      <c r="F10" s="827" t="str">
        <f t="shared" si="0"/>
        <v>(a) One or more of the following: 
  (i) New generation of more than 400 MW is committed in South Western NSW (west of Wagga) 
  (ii) New generation is committed in North West Victoria: 
    (A) exceeding 800 MW for connection to the Ballarat - Waubra - Ararat - Horsham 220 kV Lines or connection point(s); and/or 
    (B) exceeding 200 MW for connection to the Redcliffs – Weman – Kerang 220 kV Lines or connection point(s); and/or 
     (C) exceeding 500 MW for connection to the Ballarat – Terang – Moorabool 220 kV Lines or connection point(s); and/or 
    (D) exceeding 1,500 MW in the North West Victoria zone 
(b) Successful completion of a RIT-T demonstrating that increasing capacity of the network in South Western NSW at 330/220/132 kV or other voltages is the option that maximises positive net economic benefits 
(c) Where the optimal solution involves works in NSW and Victoria, successful completion of joint planning obligations under the NER demonstrating that strengthening the high voltage interconnection between New South Wales and Victoria is the option that maximises the positive net economic benefit</v>
      </c>
      <c r="G10" s="848">
        <f>+$G$9</f>
        <v>797626727.57838333</v>
      </c>
      <c r="H10" s="849">
        <f t="shared" si="1"/>
        <v>39881336.378919169</v>
      </c>
      <c r="J10" s="827">
        <v>26</v>
      </c>
      <c r="K10" s="827" t="s">
        <v>914</v>
      </c>
      <c r="L10" s="839">
        <v>69340837.499999985</v>
      </c>
      <c r="M10" s="839">
        <v>57784031.25</v>
      </c>
      <c r="N10" s="839">
        <v>0</v>
      </c>
      <c r="O10" s="839">
        <v>0</v>
      </c>
      <c r="P10" s="839">
        <v>0</v>
      </c>
      <c r="Q10" s="840">
        <f t="shared" ref="Q10:Q28" si="4">SUM(L10:P10)</f>
        <v>127124868.74999999</v>
      </c>
      <c r="R10" s="840">
        <f>L10*Input_CPI!T$22</f>
        <v>70150845.278859064</v>
      </c>
      <c r="S10" s="840">
        <f>M10*Input_CPI!U$22</f>
        <v>59832798.153461479</v>
      </c>
      <c r="T10" s="840">
        <f>N10*Input_CPI!V$22</f>
        <v>0</v>
      </c>
      <c r="U10" s="840">
        <f>O10*Input_CPI!W$22</f>
        <v>0</v>
      </c>
      <c r="V10" s="840">
        <f>P10*Input_CPI!X$22</f>
        <v>0</v>
      </c>
      <c r="W10" s="840">
        <f t="shared" ref="W10:W28" si="5">SUM(R10:V10)</f>
        <v>129983643.43232054</v>
      </c>
    </row>
    <row r="11" spans="1:23" ht="11.25" customHeight="1" x14ac:dyDescent="0.25">
      <c r="D11" s="826" t="str">
        <f t="shared" si="2"/>
        <v>Renewable Energy Zone in New England area</v>
      </c>
      <c r="E11" s="844">
        <f t="shared" si="3"/>
        <v>2137730479.2057357</v>
      </c>
      <c r="F11" s="827" t="str">
        <f t="shared" si="0"/>
        <v>(a) New generation of more than 1,100 MW is reasonably anticipated in the New England area of northern NSW (near Armidale and Tamworth)
(b) Successful completion of a RIT-T demonstrating that increasing capacity of the network in Northern NSW is the option or part of the option that maximises positive net economic benefits</v>
      </c>
      <c r="G11" s="848">
        <f t="shared" ref="G11:G28" si="6">+$G$9</f>
        <v>797626727.57838333</v>
      </c>
      <c r="H11" s="849">
        <f t="shared" si="1"/>
        <v>39881336.378919169</v>
      </c>
      <c r="J11" s="827">
        <v>4</v>
      </c>
      <c r="K11" s="827" t="s">
        <v>913</v>
      </c>
      <c r="L11" s="839">
        <v>42024750</v>
      </c>
      <c r="M11" s="839">
        <v>147086625</v>
      </c>
      <c r="N11" s="839">
        <v>919291406.24999988</v>
      </c>
      <c r="O11" s="839">
        <v>893025937.5</v>
      </c>
      <c r="P11" s="839">
        <v>0</v>
      </c>
      <c r="Q11" s="840">
        <f t="shared" si="4"/>
        <v>2001428718.75</v>
      </c>
      <c r="R11" s="840">
        <f>L11*Input_CPI!T$22</f>
        <v>42515663.805369139</v>
      </c>
      <c r="S11" s="840">
        <f>M11*Input_CPI!U$22</f>
        <v>152301668.02699286</v>
      </c>
      <c r="T11" s="840">
        <f>N11*Input_CPI!V$22</f>
        <v>974254293.58020651</v>
      </c>
      <c r="U11" s="840">
        <f>O11*Input_CPI!W$22</f>
        <v>968658853.79316711</v>
      </c>
      <c r="V11" s="840">
        <f>P11*Input_CPI!X$22</f>
        <v>0</v>
      </c>
      <c r="W11" s="840">
        <f t="shared" si="5"/>
        <v>2137730479.2057357</v>
      </c>
    </row>
    <row r="12" spans="1:23" ht="11.25" customHeight="1" x14ac:dyDescent="0.25">
      <c r="D12" s="826" t="str">
        <f t="shared" si="2"/>
        <v>Meeting NSW system inertia requirement</v>
      </c>
      <c r="E12" s="844">
        <f t="shared" si="3"/>
        <v>116102268.56362249</v>
      </c>
      <c r="F12" s="827" t="str">
        <f t="shared" si="0"/>
        <v>(a) Notice by AEMO of the existence of an inertia shortfall in the New South Wales region, in line with NER 5.20B, and 
(b) Successful completion by TransGrid of a RIT–T that demonstrates that transmission investment in the 2023-2028 period is the preferred option (or part of the preferred option) (unless exempt under NER 5.16.3(a)(10))</v>
      </c>
      <c r="G12" s="848">
        <f t="shared" si="6"/>
        <v>797626727.57838333</v>
      </c>
      <c r="H12" s="849">
        <f t="shared" si="1"/>
        <v>39881336.378919169</v>
      </c>
      <c r="J12" s="827">
        <v>5</v>
      </c>
      <c r="K12" s="827" t="s">
        <v>912</v>
      </c>
      <c r="L12" s="839">
        <v>0</v>
      </c>
      <c r="M12" s="839">
        <v>0</v>
      </c>
      <c r="N12" s="839">
        <v>0</v>
      </c>
      <c r="O12" s="839">
        <v>21012375</v>
      </c>
      <c r="P12" s="839">
        <v>84049500</v>
      </c>
      <c r="Q12" s="840">
        <f t="shared" si="4"/>
        <v>105061875</v>
      </c>
      <c r="R12" s="840">
        <f>L12*Input_CPI!T$22</f>
        <v>0</v>
      </c>
      <c r="S12" s="840">
        <f>M12*Input_CPI!U$22</f>
        <v>0</v>
      </c>
      <c r="T12" s="840">
        <f>N12*Input_CPI!V$22</f>
        <v>0</v>
      </c>
      <c r="U12" s="840">
        <f>O12*Input_CPI!W$22</f>
        <v>22791973.03042746</v>
      </c>
      <c r="V12" s="840">
        <f>P12*Input_CPI!X$22</f>
        <v>93310295.533195034</v>
      </c>
      <c r="W12" s="840">
        <f t="shared" si="5"/>
        <v>116102268.56362249</v>
      </c>
    </row>
    <row r="13" spans="1:23" ht="11.25" customHeight="1" x14ac:dyDescent="0.25">
      <c r="D13" s="826" t="str">
        <f t="shared" si="2"/>
        <v>Meeting NSW system strength requirement</v>
      </c>
      <c r="E13" s="844">
        <f t="shared" si="3"/>
        <v>312244243.16017675</v>
      </c>
      <c r="F13" s="827" t="str">
        <f t="shared" si="0"/>
        <v>(a) Notice by AEMO of the existence of a system strength shortfall in the New South Wales region, in line with NER 5.20C
(b) Identification by TransGrid that the requirements under the system strength standards set out in S5.1a and Schedule 5.1 of the NER are anticipated not to be met going forward, and
(c) Successful completion by TransGrid of a RIT–T that demonstrates that transmission investment in the 2023-2028 period is the preferred option (or part of the preferred option) to meet the declared system strength shortfall (unless exempt under NER 5.16.3(a)(11)), or to enable the system strength standard to continue to be met.</v>
      </c>
      <c r="G13" s="848">
        <f t="shared" si="6"/>
        <v>797626727.57838333</v>
      </c>
      <c r="H13" s="849">
        <f t="shared" si="1"/>
        <v>39881336.378919169</v>
      </c>
      <c r="J13" s="827">
        <v>6</v>
      </c>
      <c r="K13" s="827" t="s">
        <v>919</v>
      </c>
      <c r="L13" s="839">
        <v>0</v>
      </c>
      <c r="M13" s="839">
        <v>0</v>
      </c>
      <c r="N13" s="839">
        <v>0</v>
      </c>
      <c r="O13" s="839">
        <v>105061874.99999999</v>
      </c>
      <c r="P13" s="839">
        <v>178605187.5</v>
      </c>
      <c r="Q13" s="840">
        <f t="shared" si="4"/>
        <v>283667062.5</v>
      </c>
      <c r="R13" s="840">
        <f>L13*Input_CPI!T$22</f>
        <v>0</v>
      </c>
      <c r="S13" s="840">
        <f>M13*Input_CPI!U$22</f>
        <v>0</v>
      </c>
      <c r="T13" s="840">
        <f>N13*Input_CPI!V$22</f>
        <v>0</v>
      </c>
      <c r="U13" s="840">
        <f>O13*Input_CPI!W$22</f>
        <v>113959865.15213729</v>
      </c>
      <c r="V13" s="840">
        <f>P13*Input_CPI!X$22</f>
        <v>198284378.00803944</v>
      </c>
      <c r="W13" s="840">
        <f t="shared" si="5"/>
        <v>312244243.16017675</v>
      </c>
    </row>
    <row r="14" spans="1:23" ht="11.25" customHeight="1" x14ac:dyDescent="0.25">
      <c r="D14" s="826" t="str">
        <f t="shared" si="2"/>
        <v>Improve capacity of Southern NSW lines for renewables</v>
      </c>
      <c r="E14" s="844">
        <f t="shared" si="3"/>
        <v>302180458.42799532</v>
      </c>
      <c r="F14" s="827" t="str">
        <f t="shared" si="0"/>
        <v>(a) New generation of more than 1,000 MW is committed in Southern and/or South western NSW
(b) Successful completion of a RIT-T demonstrating that increasing capacity of the network in southern NSW is the option or part of the option that maximises positive net economic benefits</v>
      </c>
      <c r="G14" s="848">
        <f t="shared" si="6"/>
        <v>797626727.57838333</v>
      </c>
      <c r="H14" s="849">
        <f t="shared" si="1"/>
        <v>39881336.378919169</v>
      </c>
      <c r="J14" s="827">
        <v>9</v>
      </c>
      <c r="K14" s="827" t="s">
        <v>920</v>
      </c>
      <c r="L14" s="839">
        <v>0</v>
      </c>
      <c r="M14" s="839">
        <v>0</v>
      </c>
      <c r="N14" s="839">
        <v>39398203.124999993</v>
      </c>
      <c r="O14" s="839">
        <v>78796406.249999985</v>
      </c>
      <c r="P14" s="839">
        <v>157592812.49999997</v>
      </c>
      <c r="Q14" s="840">
        <f t="shared" si="4"/>
        <v>275787421.87499994</v>
      </c>
      <c r="R14" s="840">
        <f>L14*Input_CPI!T$22</f>
        <v>0</v>
      </c>
      <c r="S14" s="840">
        <f>M14*Input_CPI!U$22</f>
        <v>0</v>
      </c>
      <c r="T14" s="840">
        <f>N14*Input_CPI!V$22</f>
        <v>41753755.439151704</v>
      </c>
      <c r="U14" s="840">
        <f>O14*Input_CPI!W$22</f>
        <v>85469898.86410296</v>
      </c>
      <c r="V14" s="840">
        <f>P14*Input_CPI!X$22</f>
        <v>174956804.12474066</v>
      </c>
      <c r="W14" s="840">
        <f t="shared" si="5"/>
        <v>302180458.42799532</v>
      </c>
    </row>
    <row r="15" spans="1:23" ht="11.25" customHeight="1" x14ac:dyDescent="0.25">
      <c r="D15" s="826" t="str">
        <f t="shared" si="2"/>
        <v>Renewable Energy Zone in South Western NSW</v>
      </c>
      <c r="E15" s="844">
        <f t="shared" si="3"/>
        <v>1141033411.0241103</v>
      </c>
      <c r="F15" s="827" t="str">
        <f t="shared" si="0"/>
        <v>(a) New generation of more than 1,000 MW is reasonably anticipated in south western NSW
(b) Successful completion of a RIT-T demonstrating that increasing capacity of the network in South Western  NSW is the option or part of the option that maximises positive net economic benefits</v>
      </c>
      <c r="G15" s="848">
        <f t="shared" si="6"/>
        <v>797626727.57838333</v>
      </c>
      <c r="H15" s="849">
        <f t="shared" si="1"/>
        <v>39881336.378919169</v>
      </c>
      <c r="J15" s="827">
        <v>10</v>
      </c>
      <c r="K15" s="827" t="s">
        <v>916</v>
      </c>
      <c r="L15" s="839">
        <v>0</v>
      </c>
      <c r="M15" s="839">
        <v>0</v>
      </c>
      <c r="N15" s="839">
        <v>148767614.99999997</v>
      </c>
      <c r="O15" s="839">
        <v>297535229.99999994</v>
      </c>
      <c r="P15" s="839">
        <v>595070459.99999988</v>
      </c>
      <c r="Q15" s="840">
        <f t="shared" si="4"/>
        <v>1041373304.9999998</v>
      </c>
      <c r="R15" s="840">
        <f>L15*Input_CPI!T$22</f>
        <v>0</v>
      </c>
      <c r="S15" s="840">
        <f>M15*Input_CPI!U$22</f>
        <v>0</v>
      </c>
      <c r="T15" s="840">
        <f>N15*Input_CPI!V$22</f>
        <v>157662180.53823683</v>
      </c>
      <c r="U15" s="840">
        <f>O15*Input_CPI!W$22</f>
        <v>322734338.11085278</v>
      </c>
      <c r="V15" s="840">
        <f>P15*Input_CPI!X$22</f>
        <v>660636892.37502062</v>
      </c>
      <c r="W15" s="840">
        <f t="shared" si="5"/>
        <v>1141033411.0241103</v>
      </c>
    </row>
    <row r="16" spans="1:23" ht="11.25" customHeight="1" x14ac:dyDescent="0.25">
      <c r="D16" s="826" t="str">
        <f t="shared" si="2"/>
        <v>Renewable energy zone in Hunter region</v>
      </c>
      <c r="E16" s="844">
        <f t="shared" si="3"/>
        <v>259103072.59415466</v>
      </c>
      <c r="F16" s="827" t="str">
        <f t="shared" si="0"/>
        <v>(a) New generation of more than 1,000 MW is reasonably anticipated in the Hunter region of NSW
(b) Successful completion of a RIT-T demonstrating that increasing capacity of the network in the Hunter region of NSW is the option or part of the option that maximises positive net economic benefits</v>
      </c>
      <c r="G16" s="848">
        <f t="shared" si="6"/>
        <v>797626727.57838333</v>
      </c>
      <c r="H16" s="849">
        <f t="shared" si="1"/>
        <v>39881336.378919169</v>
      </c>
      <c r="J16" s="827">
        <v>11</v>
      </c>
      <c r="K16" s="827" t="s">
        <v>915</v>
      </c>
      <c r="L16" s="839">
        <v>0</v>
      </c>
      <c r="M16" s="839">
        <v>0</v>
      </c>
      <c r="N16" s="839">
        <v>26265468.749999996</v>
      </c>
      <c r="O16" s="839">
        <v>78796406.249999985</v>
      </c>
      <c r="P16" s="839">
        <v>131327343.74999999</v>
      </c>
      <c r="Q16" s="840">
        <f t="shared" si="4"/>
        <v>236389218.74999997</v>
      </c>
      <c r="R16" s="840">
        <f>L16*Input_CPI!T$22</f>
        <v>0</v>
      </c>
      <c r="S16" s="840">
        <f>M16*Input_CPI!U$22</f>
        <v>0</v>
      </c>
      <c r="T16" s="840">
        <f>N16*Input_CPI!V$22</f>
        <v>27835836.959434472</v>
      </c>
      <c r="U16" s="840">
        <f>O16*Input_CPI!W$22</f>
        <v>85469898.86410296</v>
      </c>
      <c r="V16" s="840">
        <f>P16*Input_CPI!X$22</f>
        <v>145797336.77061722</v>
      </c>
      <c r="W16" s="840">
        <f t="shared" si="5"/>
        <v>259103072.59415466</v>
      </c>
    </row>
    <row r="17" spans="1:23" ht="11.25" customHeight="1" x14ac:dyDescent="0.25">
      <c r="D17" s="826" t="str">
        <f t="shared" si="2"/>
        <v>Renewable energy zone in Illawarra region</v>
      </c>
      <c r="E17" s="844">
        <f t="shared" si="3"/>
        <v>259103072.59415466</v>
      </c>
      <c r="F17" s="827" t="str">
        <f t="shared" si="0"/>
        <v>(a) New generation of more than 1,000 MW is reasonably anticipated in the Hunter region of NSW
(b) Successful completion of a RIT-T demonstrating that increasing capacity of the network in the Illawarra region is the option or part of the option that maximises positive net economic benefits</v>
      </c>
      <c r="G17" s="848">
        <f t="shared" si="6"/>
        <v>797626727.57838333</v>
      </c>
      <c r="H17" s="849">
        <f t="shared" si="1"/>
        <v>39881336.378919169</v>
      </c>
      <c r="J17" s="827">
        <v>12</v>
      </c>
      <c r="K17" s="827" t="s">
        <v>918</v>
      </c>
      <c r="L17" s="839">
        <v>0</v>
      </c>
      <c r="M17" s="839">
        <v>0</v>
      </c>
      <c r="N17" s="839">
        <v>26265468.749999996</v>
      </c>
      <c r="O17" s="839">
        <v>78796406.249999985</v>
      </c>
      <c r="P17" s="839">
        <v>131327343.74999999</v>
      </c>
      <c r="Q17" s="840">
        <f t="shared" si="4"/>
        <v>236389218.74999997</v>
      </c>
      <c r="R17" s="840">
        <f>L17*Input_CPI!T$22</f>
        <v>0</v>
      </c>
      <c r="S17" s="840">
        <f>M17*Input_CPI!U$22</f>
        <v>0</v>
      </c>
      <c r="T17" s="840">
        <f>N17*Input_CPI!V$22</f>
        <v>27835836.959434472</v>
      </c>
      <c r="U17" s="840">
        <f>O17*Input_CPI!W$22</f>
        <v>85469898.86410296</v>
      </c>
      <c r="V17" s="840">
        <f>P17*Input_CPI!X$22</f>
        <v>145797336.77061722</v>
      </c>
      <c r="W17" s="840">
        <f t="shared" si="5"/>
        <v>259103072.59415466</v>
      </c>
    </row>
    <row r="18" spans="1:23" ht="11.25" customHeight="1" x14ac:dyDescent="0.25">
      <c r="D18" s="826" t="str">
        <f t="shared" si="2"/>
        <v>Supply to ACT -Network Capability</v>
      </c>
      <c r="E18" s="844">
        <f t="shared" si="3"/>
        <v>78354588.624044001</v>
      </c>
      <c r="F18" s="827" t="str">
        <f t="shared" si="0"/>
        <v>(a) One or more of the following: 
  (i) Combined demand between Canberra to Williamsdale exceeds 890 MW
  (ii) The ACT Utilities (Technical Regulation) (Electricity Transmission Supply Code) makes a change to the agreed maximum demand under a special contingency event, and
(b) Successful completion of a RIT–T that demonstrates that transmission investment is the preferred option (or part of the preferred option)</v>
      </c>
      <c r="G18" s="848">
        <f t="shared" si="6"/>
        <v>797626727.57838333</v>
      </c>
      <c r="H18" s="849">
        <f t="shared" si="1"/>
        <v>39881336.378919169</v>
      </c>
      <c r="J18" s="827">
        <v>14</v>
      </c>
      <c r="K18" s="827" t="s">
        <v>917</v>
      </c>
      <c r="L18" s="839">
        <v>0</v>
      </c>
      <c r="M18" s="839">
        <v>0</v>
      </c>
      <c r="N18" s="839">
        <v>8404950</v>
      </c>
      <c r="O18" s="839">
        <v>21012375</v>
      </c>
      <c r="P18" s="839">
        <v>42024750</v>
      </c>
      <c r="Q18" s="840">
        <f t="shared" si="4"/>
        <v>71442075</v>
      </c>
      <c r="R18" s="840">
        <f>L18*Input_CPI!T$22</f>
        <v>0</v>
      </c>
      <c r="S18" s="840">
        <f>M18*Input_CPI!U$22</f>
        <v>0</v>
      </c>
      <c r="T18" s="840">
        <f>N18*Input_CPI!V$22</f>
        <v>8907467.8270190321</v>
      </c>
      <c r="U18" s="840">
        <f>O18*Input_CPI!W$22</f>
        <v>22791973.03042746</v>
      </c>
      <c r="V18" s="840">
        <f>P18*Input_CPI!X$22</f>
        <v>46655147.766597517</v>
      </c>
      <c r="W18" s="840">
        <f t="shared" si="5"/>
        <v>78354588.624044001</v>
      </c>
    </row>
    <row r="19" spans="1:23" ht="11.25" customHeight="1" x14ac:dyDescent="0.25">
      <c r="D19" s="826" t="str">
        <f t="shared" si="2"/>
        <v>Supply to Bathurst Orange and Parkes Stage 1 and Stage 2</v>
      </c>
      <c r="E19" s="844">
        <f t="shared" si="3"/>
        <v>227480451.88053584</v>
      </c>
      <c r="F19" s="827" t="str">
        <f t="shared" si="0"/>
        <v>(a) Successful completion of a RIT-T demonstrating that increasing capacity of the network in the Bathurst, Orange and Parkes areas is the option or part of the option that maximises positive net economic benefits.</v>
      </c>
      <c r="G19" s="848">
        <f t="shared" si="6"/>
        <v>797626727.57838333</v>
      </c>
      <c r="H19" s="849">
        <f t="shared" si="1"/>
        <v>39881336.378919169</v>
      </c>
      <c r="I19" s="827">
        <v>15</v>
      </c>
      <c r="J19" s="827">
        <v>27</v>
      </c>
      <c r="K19" s="827" t="s">
        <v>921</v>
      </c>
      <c r="L19" s="839">
        <v>4769809.125</v>
      </c>
      <c r="M19" s="839">
        <v>18603306.206250001</v>
      </c>
      <c r="N19" s="839">
        <v>99391685.606249988</v>
      </c>
      <c r="O19" s="839">
        <v>36636126.431249999</v>
      </c>
      <c r="P19" s="839">
        <v>52530937.499999993</v>
      </c>
      <c r="Q19" s="840">
        <f t="shared" si="4"/>
        <v>211931864.86874998</v>
      </c>
      <c r="R19" s="840">
        <f>L19*Input_CPI!T$22</f>
        <v>4825527.8419093965</v>
      </c>
      <c r="S19" s="840">
        <f>M19*Input_CPI!U$22</f>
        <v>19262897.398242589</v>
      </c>
      <c r="T19" s="840">
        <f>N19*Input_CPI!V$22</f>
        <v>105334147.35493517</v>
      </c>
      <c r="U19" s="840">
        <f>O19*Input_CPI!W$22</f>
        <v>39738944.577201799</v>
      </c>
      <c r="V19" s="840">
        <f>P19*Input_CPI!X$22</f>
        <v>58318934.708246887</v>
      </c>
      <c r="W19" s="840">
        <f t="shared" si="5"/>
        <v>227480451.88053584</v>
      </c>
    </row>
    <row r="20" spans="1:23" ht="11.25" customHeight="1" x14ac:dyDescent="0.25">
      <c r="D20" s="826" t="str">
        <f t="shared" si="2"/>
        <v>Line 86 refurbishment</v>
      </c>
      <c r="E20" s="844">
        <f t="shared" si="3"/>
        <v>354284025.93724167</v>
      </c>
      <c r="F20" s="827" t="str">
        <f t="shared" si="0"/>
        <v>(a) Successful completion of a RIT–T that demonstrates that transmission investment is the preferred option (or part of the preferred option)</v>
      </c>
      <c r="G20" s="848">
        <f t="shared" si="6"/>
        <v>797626727.57838333</v>
      </c>
      <c r="H20" s="849">
        <f t="shared" si="1"/>
        <v>39881336.378919169</v>
      </c>
      <c r="J20" s="827">
        <v>16</v>
      </c>
      <c r="K20" s="827">
        <v>1555</v>
      </c>
      <c r="L20" s="839">
        <v>33998022.75</v>
      </c>
      <c r="M20" s="839">
        <v>37149879</v>
      </c>
      <c r="N20" s="839">
        <v>21590215.3125</v>
      </c>
      <c r="O20" s="839">
        <v>238353875.81249997</v>
      </c>
      <c r="P20" s="839">
        <v>0</v>
      </c>
      <c r="Q20" s="840">
        <f t="shared" si="4"/>
        <v>331091992.875</v>
      </c>
      <c r="R20" s="840">
        <f>L20*Input_CPI!T$22</f>
        <v>34395172.018543631</v>
      </c>
      <c r="S20" s="840">
        <f>M20*Input_CPI!U$22</f>
        <v>38467049.867389053</v>
      </c>
      <c r="T20" s="840">
        <f>N20*Input_CPI!V$22</f>
        <v>22881057.980655137</v>
      </c>
      <c r="U20" s="840">
        <f>O20*Input_CPI!W$22</f>
        <v>258540746.07065389</v>
      </c>
      <c r="V20" s="840">
        <f>P20*Input_CPI!X$22</f>
        <v>0</v>
      </c>
      <c r="W20" s="840">
        <f t="shared" si="5"/>
        <v>354284025.93724167</v>
      </c>
    </row>
    <row r="21" spans="1:23" ht="11.25" customHeight="1" x14ac:dyDescent="0.25">
      <c r="D21" s="826" t="str">
        <f t="shared" si="2"/>
        <v xml:space="preserve">Moree Special Activation Precinct </v>
      </c>
      <c r="E21" s="844">
        <f t="shared" si="3"/>
        <v>46119546.913726218</v>
      </c>
      <c r="F21" s="827" t="str">
        <f t="shared" si="0"/>
        <v>(a) Moree total demand forecast exceeds 50 MW 
(b) Successful completion of a RIT–T that demonstrates that transmission investment is the preferred option (or part of the preferred option)</v>
      </c>
      <c r="G21" s="848">
        <f t="shared" si="6"/>
        <v>797626727.57838333</v>
      </c>
      <c r="H21" s="849">
        <f t="shared" si="1"/>
        <v>39881336.378919169</v>
      </c>
      <c r="J21" s="827">
        <v>17</v>
      </c>
      <c r="K21" s="827" t="s">
        <v>922</v>
      </c>
      <c r="L21" s="839">
        <v>0</v>
      </c>
      <c r="M21" s="839">
        <v>0</v>
      </c>
      <c r="N21" s="839">
        <v>0</v>
      </c>
      <c r="O21" s="839">
        <v>21012375</v>
      </c>
      <c r="P21" s="839">
        <v>21012375</v>
      </c>
      <c r="Q21" s="840">
        <f t="shared" si="4"/>
        <v>42024750</v>
      </c>
      <c r="R21" s="840">
        <f>L21*Input_CPI!T$22</f>
        <v>0</v>
      </c>
      <c r="S21" s="840">
        <f>M21*Input_CPI!U$22</f>
        <v>0</v>
      </c>
      <c r="T21" s="840">
        <f>N21*Input_CPI!V$22</f>
        <v>0</v>
      </c>
      <c r="U21" s="840">
        <f>O21*Input_CPI!W$22</f>
        <v>22791973.03042746</v>
      </c>
      <c r="V21" s="840">
        <f>P21*Input_CPI!X$22</f>
        <v>23327573.883298758</v>
      </c>
      <c r="W21" s="840">
        <f t="shared" si="5"/>
        <v>46119546.913726218</v>
      </c>
    </row>
    <row r="22" spans="1:23" ht="11.25" customHeight="1" x14ac:dyDescent="0.25">
      <c r="D22" s="826" t="str">
        <f t="shared" si="2"/>
        <v>Supply to North West Slopes Area</v>
      </c>
      <c r="E22" s="844">
        <f t="shared" si="3"/>
        <v>176612010.89946529</v>
      </c>
      <c r="F22" s="827" t="str">
        <f t="shared" si="0"/>
        <v>(a) Successful completion of a RIT–T that demonstrates that transmission investment is the preferred option (or part of the preferred option)</v>
      </c>
      <c r="G22" s="848">
        <f t="shared" si="6"/>
        <v>797626727.57838333</v>
      </c>
      <c r="H22" s="849">
        <f t="shared" si="1"/>
        <v>39881336.378919169</v>
      </c>
      <c r="J22" s="827">
        <v>28</v>
      </c>
      <c r="K22" s="827">
        <v>1693</v>
      </c>
      <c r="L22" s="839">
        <v>6921476.3249999993</v>
      </c>
      <c r="M22" s="839">
        <v>29478260.887499999</v>
      </c>
      <c r="N22" s="839">
        <v>84937272.84375</v>
      </c>
      <c r="O22" s="839">
        <v>32717318.493749991</v>
      </c>
      <c r="P22" s="839">
        <v>12234455.34375</v>
      </c>
      <c r="Q22" s="840">
        <f t="shared" si="4"/>
        <v>166288783.89375001</v>
      </c>
      <c r="R22" s="840">
        <f>L22*Input_CPI!T$22</f>
        <v>7002329.828744296</v>
      </c>
      <c r="S22" s="840">
        <f>M22*Input_CPI!U$22</f>
        <v>30523430.010724038</v>
      </c>
      <c r="T22" s="840">
        <f>N22*Input_CPI!V$22</f>
        <v>90015529.5594192</v>
      </c>
      <c r="U22" s="840">
        <f>O22*Input_CPI!W$22</f>
        <v>35488241.607027069</v>
      </c>
      <c r="V22" s="840">
        <f>P22*Input_CPI!X$22</f>
        <v>13582479.893550701</v>
      </c>
      <c r="W22" s="840">
        <f t="shared" si="5"/>
        <v>176612010.89946529</v>
      </c>
    </row>
    <row r="23" spans="1:23" ht="11.25" customHeight="1" x14ac:dyDescent="0.25">
      <c r="D23" s="826" t="str">
        <f t="shared" si="2"/>
        <v>Strategic Easement  acquisition for supply to Sydney from the south</v>
      </c>
      <c r="E23" s="844">
        <f t="shared" si="3"/>
        <v>267115042.81503117</v>
      </c>
      <c r="F23" s="827" t="str">
        <f t="shared" si="0"/>
        <v>(a) Inclusion of Southern 500 kV Ring (supply to Sydney, Newcastle and Wollongong future ISP project, southern section) in optimal development path in 2022 (or subsequent) ISP, and
(b) Rezoning of land along the proposed easement between South Creek and Greendale from rural to residential, commercial or industrial .</v>
      </c>
      <c r="G23" s="848">
        <f t="shared" si="6"/>
        <v>797626727.57838333</v>
      </c>
      <c r="H23" s="849">
        <f t="shared" si="1"/>
        <v>39881336.378919169</v>
      </c>
      <c r="J23" s="827">
        <v>29</v>
      </c>
      <c r="K23" s="827">
        <v>2153</v>
      </c>
      <c r="L23" s="839">
        <v>2947298.5389551152</v>
      </c>
      <c r="M23" s="839">
        <v>2079897.3866676919</v>
      </c>
      <c r="N23" s="839">
        <v>247200001.50780499</v>
      </c>
      <c r="O23" s="839">
        <v>0</v>
      </c>
      <c r="P23" s="839">
        <v>0</v>
      </c>
      <c r="Q23" s="840">
        <f t="shared" si="4"/>
        <v>252227197.43342781</v>
      </c>
      <c r="R23" s="840">
        <f>L23*Input_CPI!T$22</f>
        <v>2981727.5252386113</v>
      </c>
      <c r="S23" s="840">
        <f>M23*Input_CPI!U$22</f>
        <v>2153641.3750364645</v>
      </c>
      <c r="T23" s="840">
        <f>N23*Input_CPI!V$22</f>
        <v>261979673.91475609</v>
      </c>
      <c r="U23" s="840">
        <f>O23*Input_CPI!W$22</f>
        <v>0</v>
      </c>
      <c r="V23" s="840">
        <f>P23*Input_CPI!X$22</f>
        <v>0</v>
      </c>
      <c r="W23" s="840">
        <f t="shared" si="5"/>
        <v>267115042.81503117</v>
      </c>
    </row>
    <row r="24" spans="1:23" ht="11.25" customHeight="1" x14ac:dyDescent="0.25">
      <c r="D24" s="826" t="str">
        <f t="shared" si="2"/>
        <v>Manage fault levels in Southern NSW</v>
      </c>
      <c r="E24" s="844">
        <f t="shared" si="3"/>
        <v>53881475.97916618</v>
      </c>
      <c r="F24" s="827" t="str">
        <f t="shared" si="0"/>
        <v>(a) Successful completion of a RIT–T that demonstrates that transmission investment in the HumeLink Project is the preferred option (or part of the preferred option)
(b) Contingent Project Application approval for the HumeLink Project</v>
      </c>
      <c r="G24" s="848">
        <f t="shared" si="6"/>
        <v>797626727.57838333</v>
      </c>
      <c r="H24" s="849">
        <f t="shared" si="1"/>
        <v>39881336.378919169</v>
      </c>
      <c r="J24" s="827">
        <v>30</v>
      </c>
      <c r="K24" s="827" t="s">
        <v>923</v>
      </c>
      <c r="L24" s="839">
        <v>2416423.1249999995</v>
      </c>
      <c r="M24" s="839">
        <v>11766929.999999998</v>
      </c>
      <c r="N24" s="839">
        <v>31833748.125</v>
      </c>
      <c r="O24" s="839">
        <v>5084994.75</v>
      </c>
      <c r="P24" s="839">
        <v>0</v>
      </c>
      <c r="Q24" s="840">
        <f t="shared" si="4"/>
        <v>51102096</v>
      </c>
      <c r="R24" s="840">
        <f>L24*Input_CPI!T$22</f>
        <v>2444650.6688087247</v>
      </c>
      <c r="S24" s="840">
        <f>M24*Input_CPI!U$22</f>
        <v>12184133.442159427</v>
      </c>
      <c r="T24" s="840">
        <f>N24*Input_CPI!V$22</f>
        <v>33737034.394834585</v>
      </c>
      <c r="U24" s="840">
        <f>O24*Input_CPI!W$22</f>
        <v>5515657.4733634461</v>
      </c>
      <c r="V24" s="840">
        <f>P24*Input_CPI!X$22</f>
        <v>0</v>
      </c>
      <c r="W24" s="840">
        <f t="shared" si="5"/>
        <v>53881475.97916618</v>
      </c>
    </row>
    <row r="25" spans="1:23" ht="11.25" customHeight="1" x14ac:dyDescent="0.25">
      <c r="D25" s="826"/>
      <c r="E25" s="844"/>
      <c r="F25" s="827"/>
      <c r="G25" s="848">
        <f t="shared" si="6"/>
        <v>797626727.57838333</v>
      </c>
      <c r="H25" s="849">
        <f t="shared" si="1"/>
        <v>39881336.378919169</v>
      </c>
      <c r="J25" s="827"/>
      <c r="K25" s="827"/>
      <c r="L25" s="839"/>
      <c r="M25" s="839"/>
      <c r="N25" s="839"/>
      <c r="O25" s="839"/>
      <c r="P25" s="839"/>
      <c r="Q25" s="840">
        <f t="shared" si="4"/>
        <v>0</v>
      </c>
      <c r="R25" s="840">
        <f>L25*Input_CPI!T$22</f>
        <v>0</v>
      </c>
      <c r="S25" s="840">
        <f>M25*Input_CPI!U$22</f>
        <v>0</v>
      </c>
      <c r="T25" s="840">
        <f>N25*Input_CPI!V$22</f>
        <v>0</v>
      </c>
      <c r="U25" s="840">
        <f>O25*Input_CPI!W$22</f>
        <v>0</v>
      </c>
      <c r="V25" s="840">
        <f>P25*Input_CPI!X$22</f>
        <v>0</v>
      </c>
      <c r="W25" s="840">
        <f t="shared" si="5"/>
        <v>0</v>
      </c>
    </row>
    <row r="26" spans="1:23" ht="11.25" customHeight="1" x14ac:dyDescent="0.25">
      <c r="D26" s="826"/>
      <c r="E26" s="844"/>
      <c r="F26" s="827"/>
      <c r="G26" s="848">
        <f t="shared" si="6"/>
        <v>797626727.57838333</v>
      </c>
      <c r="H26" s="849">
        <f t="shared" si="1"/>
        <v>39881336.378919169</v>
      </c>
      <c r="J26" s="827"/>
      <c r="K26" s="827"/>
      <c r="L26" s="839"/>
      <c r="M26" s="839"/>
      <c r="N26" s="839"/>
      <c r="O26" s="839"/>
      <c r="P26" s="839"/>
      <c r="Q26" s="840">
        <f t="shared" si="4"/>
        <v>0</v>
      </c>
      <c r="R26" s="840">
        <f>L26*Input_CPI!T$22</f>
        <v>0</v>
      </c>
      <c r="S26" s="840">
        <f>M26*Input_CPI!U$22</f>
        <v>0</v>
      </c>
      <c r="T26" s="840">
        <f>N26*Input_CPI!V$22</f>
        <v>0</v>
      </c>
      <c r="U26" s="840">
        <f>O26*Input_CPI!W$22</f>
        <v>0</v>
      </c>
      <c r="V26" s="840">
        <f>P26*Input_CPI!X$22</f>
        <v>0</v>
      </c>
      <c r="W26" s="840">
        <f t="shared" si="5"/>
        <v>0</v>
      </c>
    </row>
    <row r="27" spans="1:23" ht="11.25" customHeight="1" x14ac:dyDescent="0.25">
      <c r="D27" s="826"/>
      <c r="E27" s="844"/>
      <c r="F27" s="827"/>
      <c r="G27" s="848">
        <f t="shared" si="6"/>
        <v>797626727.57838333</v>
      </c>
      <c r="H27" s="849">
        <f t="shared" si="1"/>
        <v>39881336.378919169</v>
      </c>
      <c r="J27" s="827"/>
      <c r="K27" s="827"/>
      <c r="L27" s="839"/>
      <c r="M27" s="839"/>
      <c r="N27" s="839"/>
      <c r="O27" s="839"/>
      <c r="P27" s="839"/>
      <c r="Q27" s="840">
        <f t="shared" si="4"/>
        <v>0</v>
      </c>
      <c r="R27" s="840">
        <f>L27*Input_CPI!T$22</f>
        <v>0</v>
      </c>
      <c r="S27" s="840">
        <f>M27*Input_CPI!U$22</f>
        <v>0</v>
      </c>
      <c r="T27" s="840">
        <f>N27*Input_CPI!V$22</f>
        <v>0</v>
      </c>
      <c r="U27" s="840">
        <f>O27*Input_CPI!W$22</f>
        <v>0</v>
      </c>
      <c r="V27" s="840">
        <f>P27*Input_CPI!X$22</f>
        <v>0</v>
      </c>
      <c r="W27" s="840">
        <f t="shared" si="5"/>
        <v>0</v>
      </c>
    </row>
    <row r="28" spans="1:23" ht="11.25" customHeight="1" thickBot="1" x14ac:dyDescent="0.3">
      <c r="D28" s="830"/>
      <c r="E28" s="845"/>
      <c r="F28" s="831"/>
      <c r="G28" s="850">
        <f t="shared" si="6"/>
        <v>797626727.57838333</v>
      </c>
      <c r="H28" s="851">
        <f t="shared" si="1"/>
        <v>39881336.378919169</v>
      </c>
      <c r="J28" s="831"/>
      <c r="K28" s="831"/>
      <c r="L28" s="841"/>
      <c r="M28" s="841"/>
      <c r="N28" s="841"/>
      <c r="O28" s="841"/>
      <c r="P28" s="841"/>
      <c r="Q28" s="842">
        <f t="shared" si="4"/>
        <v>0</v>
      </c>
      <c r="R28" s="842">
        <f>L28*Input_CPI!T$22</f>
        <v>0</v>
      </c>
      <c r="S28" s="842">
        <f>M28*Input_CPI!U$22</f>
        <v>0</v>
      </c>
      <c r="T28" s="842">
        <f>N28*Input_CPI!V$22</f>
        <v>0</v>
      </c>
      <c r="U28" s="842">
        <f>O28*Input_CPI!W$22</f>
        <v>0</v>
      </c>
      <c r="V28" s="842">
        <f>P28*Input_CPI!X$22</f>
        <v>0</v>
      </c>
      <c r="W28" s="842">
        <f t="shared" si="5"/>
        <v>0</v>
      </c>
    </row>
    <row r="29" spans="1:23" ht="11.25" customHeight="1" x14ac:dyDescent="0.2"/>
    <row r="30" spans="1:23" ht="11.25" customHeight="1" x14ac:dyDescent="0.2">
      <c r="D30" s="6" t="s">
        <v>179</v>
      </c>
      <c r="L30" s="144">
        <f>SUM(L9:L28)</f>
        <v>183693647.05145511</v>
      </c>
      <c r="M30" s="144">
        <f t="shared" ref="M30:P30" si="7">SUM(M9:M28)</f>
        <v>367774018.79291767</v>
      </c>
      <c r="N30" s="144">
        <f t="shared" si="7"/>
        <v>2057571599.3328047</v>
      </c>
      <c r="O30" s="144">
        <f t="shared" si="7"/>
        <v>2113500322.0500002</v>
      </c>
      <c r="P30" s="144">
        <f t="shared" si="7"/>
        <v>1405775165.3437498</v>
      </c>
    </row>
    <row r="31" spans="1:23" ht="11.25" customHeight="1" x14ac:dyDescent="0.2">
      <c r="D31" s="6" t="s">
        <v>561</v>
      </c>
      <c r="L31" s="143">
        <v>183693647.05145505</v>
      </c>
      <c r="M31" s="141">
        <v>367774018.79291767</v>
      </c>
      <c r="N31" s="141">
        <v>2057571599.3328049</v>
      </c>
      <c r="O31" s="141">
        <v>2113500322.0499997</v>
      </c>
      <c r="P31" s="141">
        <v>1405775165.34375</v>
      </c>
      <c r="Q31" s="70"/>
      <c r="R31" s="70"/>
    </row>
    <row r="32" spans="1:23" ht="11.25" customHeight="1" x14ac:dyDescent="0.2">
      <c r="A32" s="750">
        <f>IF(SUM(L32:P32)=0,0,1)</f>
        <v>0</v>
      </c>
      <c r="D32" s="6" t="s">
        <v>560</v>
      </c>
      <c r="L32" s="70">
        <f>IF(ROUND(L31-L30,4)&lt;&gt;0,1,0)</f>
        <v>0</v>
      </c>
      <c r="M32" s="70">
        <f t="shared" ref="M32:P32" si="8">IF(ROUND(M31-M30,4)&lt;&gt;0,1,0)</f>
        <v>0</v>
      </c>
      <c r="N32" s="70">
        <f t="shared" si="8"/>
        <v>0</v>
      </c>
      <c r="O32" s="70">
        <f t="shared" si="8"/>
        <v>0</v>
      </c>
      <c r="P32" s="70">
        <f t="shared" si="8"/>
        <v>0</v>
      </c>
    </row>
    <row r="33" spans="3:13" ht="11.25" customHeight="1" x14ac:dyDescent="0.2">
      <c r="L33" s="858"/>
      <c r="M33" s="858">
        <f>M31-M30</f>
        <v>0</v>
      </c>
    </row>
    <row r="34" spans="3:13" s="7" customFormat="1" ht="15" x14ac:dyDescent="0.2">
      <c r="C34" s="7" t="s">
        <v>379</v>
      </c>
    </row>
    <row r="35" spans="3:13" ht="11.25" customHeight="1" x14ac:dyDescent="0.2"/>
    <row r="36" spans="3:13" ht="18.75" x14ac:dyDescent="0.25">
      <c r="D36" s="818" t="s">
        <v>542</v>
      </c>
      <c r="E36" s="52"/>
      <c r="F36" s="52"/>
      <c r="G36" s="52"/>
      <c r="H36" s="52"/>
    </row>
    <row r="37" spans="3:13" ht="45.75" thickBot="1" x14ac:dyDescent="0.25">
      <c r="D37" s="819" t="s">
        <v>544</v>
      </c>
      <c r="E37" s="820" t="s">
        <v>545</v>
      </c>
      <c r="F37" s="820" t="s">
        <v>546</v>
      </c>
      <c r="G37" s="820" t="s">
        <v>924</v>
      </c>
      <c r="H37" s="821" t="s">
        <v>925</v>
      </c>
    </row>
    <row r="38" spans="3:13" ht="63.75" x14ac:dyDescent="0.25">
      <c r="D38" s="822" t="s">
        <v>823</v>
      </c>
      <c r="E38" s="823"/>
      <c r="F38" s="823" t="s">
        <v>824</v>
      </c>
      <c r="G38" s="824"/>
      <c r="H38" s="825">
        <f t="shared" ref="H38:H57" si="9">+G38*0.05</f>
        <v>0</v>
      </c>
    </row>
    <row r="39" spans="3:13" ht="255" x14ac:dyDescent="0.25">
      <c r="D39" s="826" t="s">
        <v>825</v>
      </c>
      <c r="E39" s="827"/>
      <c r="F39" s="827" t="s">
        <v>826</v>
      </c>
      <c r="G39" s="828">
        <f>+$G$38</f>
        <v>0</v>
      </c>
      <c r="H39" s="829">
        <f t="shared" si="9"/>
        <v>0</v>
      </c>
    </row>
    <row r="40" spans="3:13" ht="76.5" x14ac:dyDescent="0.25">
      <c r="D40" s="826" t="s">
        <v>827</v>
      </c>
      <c r="E40" s="827"/>
      <c r="F40" s="827" t="s">
        <v>828</v>
      </c>
      <c r="G40" s="828">
        <f t="shared" ref="G40:G57" si="10">+$G$38</f>
        <v>0</v>
      </c>
      <c r="H40" s="829">
        <f t="shared" si="9"/>
        <v>0</v>
      </c>
    </row>
    <row r="41" spans="3:13" ht="76.5" x14ac:dyDescent="0.25">
      <c r="D41" s="826" t="s">
        <v>829</v>
      </c>
      <c r="E41" s="827"/>
      <c r="F41" s="827" t="s">
        <v>933</v>
      </c>
      <c r="G41" s="828">
        <f t="shared" si="10"/>
        <v>0</v>
      </c>
      <c r="H41" s="829">
        <f t="shared" si="9"/>
        <v>0</v>
      </c>
    </row>
    <row r="42" spans="3:13" ht="127.5" x14ac:dyDescent="0.25">
      <c r="D42" s="826" t="s">
        <v>830</v>
      </c>
      <c r="E42" s="827"/>
      <c r="F42" s="827" t="s">
        <v>934</v>
      </c>
      <c r="G42" s="828">
        <f t="shared" si="10"/>
        <v>0</v>
      </c>
      <c r="H42" s="829">
        <f t="shared" si="9"/>
        <v>0</v>
      </c>
    </row>
    <row r="43" spans="3:13" ht="63.75" x14ac:dyDescent="0.25">
      <c r="D43" s="826" t="s">
        <v>831</v>
      </c>
      <c r="E43" s="827"/>
      <c r="F43" s="827" t="s">
        <v>832</v>
      </c>
      <c r="G43" s="828">
        <f t="shared" si="10"/>
        <v>0</v>
      </c>
      <c r="H43" s="829">
        <f t="shared" si="9"/>
        <v>0</v>
      </c>
    </row>
    <row r="44" spans="3:13" ht="63.75" x14ac:dyDescent="0.25">
      <c r="D44" s="826" t="s">
        <v>833</v>
      </c>
      <c r="E44" s="827"/>
      <c r="F44" s="827" t="s">
        <v>834</v>
      </c>
      <c r="G44" s="828">
        <f t="shared" si="10"/>
        <v>0</v>
      </c>
      <c r="H44" s="829">
        <f t="shared" si="9"/>
        <v>0</v>
      </c>
    </row>
    <row r="45" spans="3:13" ht="63.75" x14ac:dyDescent="0.25">
      <c r="D45" s="826" t="s">
        <v>835</v>
      </c>
      <c r="E45" s="827"/>
      <c r="F45" s="827" t="s">
        <v>836</v>
      </c>
      <c r="G45" s="828">
        <f t="shared" si="10"/>
        <v>0</v>
      </c>
      <c r="H45" s="829">
        <f t="shared" si="9"/>
        <v>0</v>
      </c>
    </row>
    <row r="46" spans="3:13" ht="63.75" x14ac:dyDescent="0.25">
      <c r="D46" s="826" t="s">
        <v>837</v>
      </c>
      <c r="E46" s="827"/>
      <c r="F46" s="827" t="s">
        <v>838</v>
      </c>
      <c r="G46" s="828">
        <f t="shared" si="10"/>
        <v>0</v>
      </c>
      <c r="H46" s="829">
        <f t="shared" si="9"/>
        <v>0</v>
      </c>
    </row>
    <row r="47" spans="3:13" ht="114.75" x14ac:dyDescent="0.25">
      <c r="D47" s="826" t="s">
        <v>839</v>
      </c>
      <c r="E47" s="827"/>
      <c r="F47" s="827" t="s">
        <v>840</v>
      </c>
      <c r="G47" s="828">
        <f t="shared" si="10"/>
        <v>0</v>
      </c>
      <c r="H47" s="829">
        <f t="shared" si="9"/>
        <v>0</v>
      </c>
    </row>
    <row r="48" spans="3:13" ht="51" x14ac:dyDescent="0.25">
      <c r="D48" s="826" t="s">
        <v>841</v>
      </c>
      <c r="E48" s="827"/>
      <c r="F48" s="827" t="s">
        <v>842</v>
      </c>
      <c r="G48" s="828">
        <f t="shared" si="10"/>
        <v>0</v>
      </c>
      <c r="H48" s="829">
        <f t="shared" si="9"/>
        <v>0</v>
      </c>
    </row>
    <row r="49" spans="2:8" ht="38.25" x14ac:dyDescent="0.25">
      <c r="D49" s="826" t="s">
        <v>843</v>
      </c>
      <c r="E49" s="827"/>
      <c r="F49" s="827" t="s">
        <v>844</v>
      </c>
      <c r="G49" s="828">
        <f t="shared" si="10"/>
        <v>0</v>
      </c>
      <c r="H49" s="829">
        <f t="shared" si="9"/>
        <v>0</v>
      </c>
    </row>
    <row r="50" spans="2:8" ht="51" x14ac:dyDescent="0.25">
      <c r="D50" s="826" t="s">
        <v>845</v>
      </c>
      <c r="E50" s="827"/>
      <c r="F50" s="827" t="s">
        <v>846</v>
      </c>
      <c r="G50" s="828">
        <f t="shared" si="10"/>
        <v>0</v>
      </c>
      <c r="H50" s="829">
        <f t="shared" si="9"/>
        <v>0</v>
      </c>
    </row>
    <row r="51" spans="2:8" ht="38.25" x14ac:dyDescent="0.25">
      <c r="D51" s="826" t="s">
        <v>847</v>
      </c>
      <c r="E51" s="827"/>
      <c r="F51" s="827" t="s">
        <v>844</v>
      </c>
      <c r="G51" s="828">
        <f t="shared" si="10"/>
        <v>0</v>
      </c>
      <c r="H51" s="829">
        <f t="shared" si="9"/>
        <v>0</v>
      </c>
    </row>
    <row r="52" spans="2:8" ht="76.5" x14ac:dyDescent="0.25">
      <c r="D52" s="826" t="s">
        <v>848</v>
      </c>
      <c r="E52" s="827"/>
      <c r="F52" s="827" t="s">
        <v>849</v>
      </c>
      <c r="G52" s="828">
        <f t="shared" si="10"/>
        <v>0</v>
      </c>
      <c r="H52" s="829">
        <f t="shared" si="9"/>
        <v>0</v>
      </c>
    </row>
    <row r="53" spans="2:8" ht="51" x14ac:dyDescent="0.25">
      <c r="D53" s="826" t="s">
        <v>850</v>
      </c>
      <c r="E53" s="827"/>
      <c r="F53" s="827" t="s">
        <v>851</v>
      </c>
      <c r="G53" s="828">
        <f t="shared" si="10"/>
        <v>0</v>
      </c>
      <c r="H53" s="829">
        <f t="shared" si="9"/>
        <v>0</v>
      </c>
    </row>
    <row r="54" spans="2:8" ht="15" x14ac:dyDescent="0.25">
      <c r="D54" s="826"/>
      <c r="E54" s="827"/>
      <c r="F54" s="827"/>
      <c r="G54" s="828">
        <f t="shared" si="10"/>
        <v>0</v>
      </c>
      <c r="H54" s="829">
        <f t="shared" si="9"/>
        <v>0</v>
      </c>
    </row>
    <row r="55" spans="2:8" ht="15" x14ac:dyDescent="0.25">
      <c r="D55" s="826"/>
      <c r="E55" s="827"/>
      <c r="F55" s="827"/>
      <c r="G55" s="828">
        <f t="shared" si="10"/>
        <v>0</v>
      </c>
      <c r="H55" s="829">
        <f t="shared" si="9"/>
        <v>0</v>
      </c>
    </row>
    <row r="56" spans="2:8" ht="15" x14ac:dyDescent="0.25">
      <c r="D56" s="826"/>
      <c r="E56" s="827"/>
      <c r="F56" s="827"/>
      <c r="G56" s="828">
        <f t="shared" si="10"/>
        <v>0</v>
      </c>
      <c r="H56" s="829">
        <f t="shared" si="9"/>
        <v>0</v>
      </c>
    </row>
    <row r="57" spans="2:8" ht="15.75" thickBot="1" x14ac:dyDescent="0.3">
      <c r="D57" s="830"/>
      <c r="E57" s="831"/>
      <c r="F57" s="831"/>
      <c r="G57" s="832">
        <f t="shared" si="10"/>
        <v>0</v>
      </c>
      <c r="H57" s="833">
        <f t="shared" si="9"/>
        <v>0</v>
      </c>
    </row>
    <row r="59" spans="2:8" s="47" customFormat="1" ht="15.75" x14ac:dyDescent="0.2">
      <c r="B59" s="47" t="s">
        <v>32</v>
      </c>
    </row>
  </sheetData>
  <conditionalFormatting sqref="B2">
    <cfRule type="cellIs" dxfId="39" priority="5" operator="notEqual">
      <formula>"No Errors Found"</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8"/>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F70" sqref="F70"/>
    </sheetView>
  </sheetViews>
  <sheetFormatPr defaultColWidth="9.33203125" defaultRowHeight="11.25" outlineLevelRow="1" x14ac:dyDescent="0.2"/>
  <cols>
    <col min="1" max="3" width="3.6640625" style="46" customWidth="1"/>
    <col min="4" max="4" width="44.5" style="46" customWidth="1"/>
    <col min="5" max="5" width="37.1640625" style="46" customWidth="1"/>
    <col min="6" max="21" width="14.6640625" style="46" customWidth="1"/>
    <col min="22" max="31" width="10.6640625" style="46" customWidth="1"/>
    <col min="32" max="16384" width="9.33203125" style="46"/>
  </cols>
  <sheetData>
    <row r="1" spans="1:21" ht="19.5" x14ac:dyDescent="0.2">
      <c r="A1" s="42">
        <f>IF(SUM($A2:$A68)&gt;0,1,0)</f>
        <v>0</v>
      </c>
      <c r="B1" s="3" t="s">
        <v>487</v>
      </c>
    </row>
    <row r="2" spans="1:21" x14ac:dyDescent="0.2">
      <c r="B2" s="9" t="str">
        <f>Title_Msg</f>
        <v>No Errors Found</v>
      </c>
    </row>
    <row r="3" spans="1:21" s="47" customFormat="1" ht="15.75" x14ac:dyDescent="0.2">
      <c r="B3" s="47" t="str">
        <f>WkB_1_2.1.1!$B$3</f>
        <v>Data required to populate TransGrid's 2023-28 regulatory submission</v>
      </c>
    </row>
    <row r="4" spans="1:21" ht="4.5" customHeight="1" x14ac:dyDescent="0.2"/>
    <row r="5" spans="1:21" s="7" customFormat="1" ht="15" x14ac:dyDescent="0.2">
      <c r="C5" s="7" t="str">
        <f>WkB_1_2.1.1!$C$5</f>
        <v>Output - RIN template</v>
      </c>
    </row>
    <row r="6" spans="1:21" ht="11.25" customHeight="1" x14ac:dyDescent="0.2"/>
    <row r="7" spans="1:21" ht="16.5" thickBot="1" x14ac:dyDescent="0.25">
      <c r="D7" s="249" t="s">
        <v>367</v>
      </c>
      <c r="E7" s="249"/>
      <c r="F7" s="249"/>
      <c r="G7" s="249"/>
      <c r="H7" s="249"/>
      <c r="I7" s="249"/>
      <c r="J7" s="249"/>
      <c r="K7" s="249"/>
      <c r="L7" s="249"/>
      <c r="M7" s="249"/>
      <c r="N7" s="249"/>
      <c r="O7" s="249"/>
      <c r="P7" s="249"/>
      <c r="Q7" s="249"/>
      <c r="R7" s="249"/>
      <c r="S7" s="249"/>
      <c r="T7" s="249"/>
      <c r="U7" s="249"/>
    </row>
    <row r="8" spans="1:21" ht="12.75" thickBot="1" x14ac:dyDescent="0.25">
      <c r="D8" s="1271" t="s">
        <v>368</v>
      </c>
      <c r="E8" s="1273" t="s">
        <v>369</v>
      </c>
      <c r="F8" s="1275" t="s">
        <v>370</v>
      </c>
      <c r="G8" s="1276"/>
      <c r="H8" s="1276"/>
      <c r="I8" s="1276"/>
      <c r="J8" s="1276"/>
      <c r="K8" s="1276"/>
      <c r="L8" s="1276"/>
      <c r="M8" s="1277"/>
      <c r="N8" s="1278" t="s">
        <v>494</v>
      </c>
      <c r="O8" s="1279"/>
      <c r="P8" s="1279"/>
      <c r="Q8" s="1279"/>
      <c r="R8" s="1279"/>
      <c r="S8" s="1279"/>
      <c r="T8" s="1279"/>
      <c r="U8" s="1280"/>
    </row>
    <row r="9" spans="1:21" ht="36.75" thickBot="1" x14ac:dyDescent="0.25">
      <c r="D9" s="1272"/>
      <c r="E9" s="1274"/>
      <c r="F9" s="467" t="s">
        <v>371</v>
      </c>
      <c r="G9" s="468" t="s">
        <v>372</v>
      </c>
      <c r="H9" s="468" t="s">
        <v>373</v>
      </c>
      <c r="I9" s="468" t="s">
        <v>374</v>
      </c>
      <c r="J9" s="468" t="s">
        <v>375</v>
      </c>
      <c r="K9" s="468" t="s">
        <v>348</v>
      </c>
      <c r="L9" s="468" t="s">
        <v>347</v>
      </c>
      <c r="M9" s="469" t="s">
        <v>349</v>
      </c>
      <c r="N9" s="470" t="s">
        <v>167</v>
      </c>
      <c r="O9" s="471" t="s">
        <v>168</v>
      </c>
      <c r="P9" s="471" t="s">
        <v>169</v>
      </c>
      <c r="Q9" s="471" t="s">
        <v>170</v>
      </c>
      <c r="R9" s="471" t="s">
        <v>171</v>
      </c>
      <c r="S9" s="471" t="s">
        <v>172</v>
      </c>
      <c r="T9" s="472" t="s">
        <v>181</v>
      </c>
      <c r="U9" s="473" t="s">
        <v>376</v>
      </c>
    </row>
    <row r="10" spans="1:21" ht="11.25" customHeight="1" x14ac:dyDescent="0.2">
      <c r="D10" s="474" t="s">
        <v>938</v>
      </c>
      <c r="E10" s="475" t="str">
        <f>E52</f>
        <v>TransGrid provides access to radio communications sites to customers.</v>
      </c>
      <c r="F10" s="476">
        <f t="shared" ref="F10:H10" si="0">F52</f>
        <v>0</v>
      </c>
      <c r="G10" s="477">
        <f t="shared" si="0"/>
        <v>0</v>
      </c>
      <c r="H10" s="477">
        <f t="shared" si="0"/>
        <v>0</v>
      </c>
      <c r="I10" s="976" t="s">
        <v>701</v>
      </c>
      <c r="J10" s="977" t="s">
        <v>701</v>
      </c>
      <c r="K10" s="978" t="s">
        <v>701</v>
      </c>
      <c r="L10" s="979" t="s">
        <v>701</v>
      </c>
      <c r="M10" s="979" t="s">
        <v>701</v>
      </c>
      <c r="N10" s="979" t="s">
        <v>701</v>
      </c>
      <c r="O10" s="980" t="s">
        <v>701</v>
      </c>
      <c r="P10" s="981" t="s">
        <v>701</v>
      </c>
      <c r="Q10" s="979" t="s">
        <v>701</v>
      </c>
      <c r="R10" s="979" t="s">
        <v>701</v>
      </c>
      <c r="S10" s="979" t="s">
        <v>701</v>
      </c>
      <c r="T10" s="982" t="s">
        <v>701</v>
      </c>
      <c r="U10" s="1077" t="s">
        <v>701</v>
      </c>
    </row>
    <row r="11" spans="1:21" ht="11.25" customHeight="1" x14ac:dyDescent="0.2">
      <c r="D11" s="1305" t="s">
        <v>939</v>
      </c>
      <c r="E11" s="478" t="str">
        <f t="shared" ref="D11:E11" si="1">E53</f>
        <v>TransGrid provides both dark fibre and bandwidth backhaul service.</v>
      </c>
      <c r="F11" s="479">
        <f t="shared" ref="F11:H11" si="2">F53</f>
        <v>0</v>
      </c>
      <c r="G11" s="480">
        <f t="shared" si="2"/>
        <v>0</v>
      </c>
      <c r="H11" s="480">
        <f t="shared" si="2"/>
        <v>0</v>
      </c>
      <c r="I11" s="983" t="s">
        <v>701</v>
      </c>
      <c r="J11" s="984" t="s">
        <v>701</v>
      </c>
      <c r="K11" s="985" t="s">
        <v>701</v>
      </c>
      <c r="L11" s="986" t="s">
        <v>701</v>
      </c>
      <c r="M11" s="986" t="s">
        <v>701</v>
      </c>
      <c r="N11" s="986" t="s">
        <v>701</v>
      </c>
      <c r="O11" s="987" t="s">
        <v>701</v>
      </c>
      <c r="P11" s="988" t="s">
        <v>701</v>
      </c>
      <c r="Q11" s="986" t="s">
        <v>701</v>
      </c>
      <c r="R11" s="986" t="s">
        <v>701</v>
      </c>
      <c r="S11" s="986" t="s">
        <v>701</v>
      </c>
      <c r="T11" s="989" t="s">
        <v>701</v>
      </c>
      <c r="U11" s="1078" t="s">
        <v>701</v>
      </c>
    </row>
    <row r="12" spans="1:21" ht="11.25" customHeight="1" x14ac:dyDescent="0.2">
      <c r="D12" s="1306" t="s">
        <v>940</v>
      </c>
      <c r="E12" s="478" t="str">
        <f t="shared" ref="D12:E12" si="3">E54</f>
        <v>Office accommodation, land used for operational purposes, surplus land for agriculture and grazing purposes.</v>
      </c>
      <c r="F12" s="479">
        <f t="shared" ref="F12:M12" si="4">F54</f>
        <v>0</v>
      </c>
      <c r="G12" s="480">
        <f t="shared" si="4"/>
        <v>0</v>
      </c>
      <c r="H12" s="480">
        <f t="shared" si="4"/>
        <v>0</v>
      </c>
      <c r="I12" s="480">
        <f t="shared" si="4"/>
        <v>170620.28</v>
      </c>
      <c r="J12" s="481">
        <f t="shared" si="4"/>
        <v>221423.26</v>
      </c>
      <c r="K12" s="482">
        <f t="shared" si="4"/>
        <v>240474.88</v>
      </c>
      <c r="L12" s="483">
        <f t="shared" si="4"/>
        <v>229446.71000000002</v>
      </c>
      <c r="M12" s="483">
        <f t="shared" si="4"/>
        <v>246487.37</v>
      </c>
      <c r="N12" s="483">
        <f>N54*Input_CPI!R$16</f>
        <v>266442.55611775047</v>
      </c>
      <c r="O12" s="484">
        <f>O54*Input_CPI!S$16</f>
        <v>260736.67983672468</v>
      </c>
      <c r="P12" s="485">
        <f>P54*Input_CPI!T$16</f>
        <v>256194.69732235302</v>
      </c>
      <c r="Q12" s="483">
        <f>Q54*Input_CPI!U$16</f>
        <v>251860.406192822</v>
      </c>
      <c r="R12" s="483">
        <f>R54*Input_CPI!V$16</f>
        <v>247518.79052812359</v>
      </c>
      <c r="S12" s="483">
        <f>S54*Input_CPI!W$16</f>
        <v>247100.73173452067</v>
      </c>
      <c r="T12" s="486">
        <f>T54*Input_CPI!X$16</f>
        <v>247303.50516912894</v>
      </c>
      <c r="U12" s="487">
        <f t="shared" ref="U12:U24" si="5">SUM(P12:T12)</f>
        <v>1249978.1309469482</v>
      </c>
    </row>
    <row r="13" spans="1:21" ht="11.25" customHeight="1" x14ac:dyDescent="0.2">
      <c r="D13" s="1306" t="s">
        <v>941</v>
      </c>
      <c r="E13" s="478" t="str">
        <f t="shared" ref="D13:E13" si="6">E55</f>
        <v xml:space="preserve">Prescribed assets such as fleet and tools have been used to provide operation and maintenance services </v>
      </c>
      <c r="F13" s="479">
        <f t="shared" ref="F13:M13" si="7">F55</f>
        <v>0</v>
      </c>
      <c r="G13" s="480">
        <f t="shared" si="7"/>
        <v>0</v>
      </c>
      <c r="H13" s="480">
        <f t="shared" si="7"/>
        <v>0</v>
      </c>
      <c r="I13" s="480">
        <f t="shared" si="7"/>
        <v>468251.38</v>
      </c>
      <c r="J13" s="481">
        <f t="shared" si="7"/>
        <v>373628.06999999995</v>
      </c>
      <c r="K13" s="482">
        <f t="shared" si="7"/>
        <v>1612251.51</v>
      </c>
      <c r="L13" s="483">
        <f t="shared" si="7"/>
        <v>341000.16000000003</v>
      </c>
      <c r="M13" s="483">
        <f t="shared" si="7"/>
        <v>276511.05</v>
      </c>
      <c r="N13" s="483">
        <f>N55*Input_CPI!R$16</f>
        <v>326799.28041828342</v>
      </c>
      <c r="O13" s="484">
        <f>O55*Input_CPI!S$16</f>
        <v>325898.82377905812</v>
      </c>
      <c r="P13" s="485">
        <f>P55*Input_CPI!T$16</f>
        <v>326129.88533615723</v>
      </c>
      <c r="Q13" s="483">
        <f>Q55*Input_CPI!U$16</f>
        <v>325850.70364001096</v>
      </c>
      <c r="R13" s="483">
        <f>R55*Input_CPI!V$16</f>
        <v>318369.17488561047</v>
      </c>
      <c r="S13" s="483">
        <f>S55*Input_CPI!W$16</f>
        <v>317840.51735190238</v>
      </c>
      <c r="T13" s="486">
        <f>T55*Input_CPI!X$16</f>
        <v>318089.09491917089</v>
      </c>
      <c r="U13" s="487">
        <f t="shared" si="5"/>
        <v>1606279.3761328519</v>
      </c>
    </row>
    <row r="14" spans="1:21" ht="11.25" customHeight="1" x14ac:dyDescent="0.2">
      <c r="D14" s="488" t="s">
        <v>942</v>
      </c>
      <c r="E14" s="489" t="str">
        <f t="shared" ref="D14:H14" si="8">E56</f>
        <v xml:space="preserve">Recovery of costs for prescribed assets such as fleet and IT used to provide operations and maintenance services to TransGrid services (unregulated business) </v>
      </c>
      <c r="F14" s="490">
        <f t="shared" si="8"/>
        <v>0</v>
      </c>
      <c r="G14" s="491">
        <f t="shared" si="8"/>
        <v>0</v>
      </c>
      <c r="H14" s="491">
        <f t="shared" si="8"/>
        <v>0</v>
      </c>
      <c r="I14" s="983" t="s">
        <v>701</v>
      </c>
      <c r="J14" s="984" t="s">
        <v>701</v>
      </c>
      <c r="K14" s="985" t="s">
        <v>701</v>
      </c>
      <c r="L14" s="986" t="s">
        <v>701</v>
      </c>
      <c r="M14" s="986" t="s">
        <v>701</v>
      </c>
      <c r="N14" s="986" t="s">
        <v>701</v>
      </c>
      <c r="O14" s="987" t="s">
        <v>701</v>
      </c>
      <c r="P14" s="988" t="s">
        <v>701</v>
      </c>
      <c r="Q14" s="986" t="s">
        <v>701</v>
      </c>
      <c r="R14" s="986" t="s">
        <v>701</v>
      </c>
      <c r="S14" s="986" t="s">
        <v>701</v>
      </c>
      <c r="T14" s="989" t="s">
        <v>701</v>
      </c>
      <c r="U14" s="1078" t="s">
        <v>701</v>
      </c>
    </row>
    <row r="15" spans="1:21" ht="11.25" hidden="1" customHeight="1" outlineLevel="1" x14ac:dyDescent="0.2">
      <c r="D15" s="488"/>
      <c r="E15" s="489"/>
      <c r="F15" s="490"/>
      <c r="G15" s="491"/>
      <c r="H15" s="491"/>
      <c r="I15" s="491"/>
      <c r="J15" s="492"/>
      <c r="K15" s="493"/>
      <c r="L15" s="494"/>
      <c r="M15" s="494"/>
      <c r="N15" s="494"/>
      <c r="O15" s="495"/>
      <c r="P15" s="496"/>
      <c r="Q15" s="494"/>
      <c r="R15" s="494"/>
      <c r="S15" s="494"/>
      <c r="T15" s="497"/>
      <c r="U15" s="487">
        <f t="shared" si="5"/>
        <v>0</v>
      </c>
    </row>
    <row r="16" spans="1:21" ht="11.25" hidden="1" customHeight="1" outlineLevel="1" x14ac:dyDescent="0.2">
      <c r="D16" s="488"/>
      <c r="E16" s="489"/>
      <c r="F16" s="490"/>
      <c r="G16" s="491"/>
      <c r="H16" s="491"/>
      <c r="I16" s="491"/>
      <c r="J16" s="492"/>
      <c r="K16" s="493"/>
      <c r="L16" s="494"/>
      <c r="M16" s="494"/>
      <c r="N16" s="494"/>
      <c r="O16" s="495"/>
      <c r="P16" s="496"/>
      <c r="Q16" s="494"/>
      <c r="R16" s="494"/>
      <c r="S16" s="494"/>
      <c r="T16" s="497"/>
      <c r="U16" s="487">
        <f t="shared" si="5"/>
        <v>0</v>
      </c>
    </row>
    <row r="17" spans="1:21" ht="11.25" hidden="1" customHeight="1" outlineLevel="1" x14ac:dyDescent="0.2">
      <c r="D17" s="488"/>
      <c r="E17" s="489"/>
      <c r="F17" s="490"/>
      <c r="G17" s="491"/>
      <c r="H17" s="491"/>
      <c r="I17" s="491"/>
      <c r="J17" s="492"/>
      <c r="K17" s="493"/>
      <c r="L17" s="494"/>
      <c r="M17" s="494"/>
      <c r="N17" s="494"/>
      <c r="O17" s="495"/>
      <c r="P17" s="496"/>
      <c r="Q17" s="494"/>
      <c r="R17" s="494"/>
      <c r="S17" s="494"/>
      <c r="T17" s="497"/>
      <c r="U17" s="487">
        <f t="shared" si="5"/>
        <v>0</v>
      </c>
    </row>
    <row r="18" spans="1:21" ht="11.25" hidden="1" customHeight="1" outlineLevel="1" x14ac:dyDescent="0.2">
      <c r="D18" s="488"/>
      <c r="E18" s="489"/>
      <c r="F18" s="490"/>
      <c r="G18" s="491"/>
      <c r="H18" s="491"/>
      <c r="I18" s="491"/>
      <c r="J18" s="492"/>
      <c r="K18" s="493"/>
      <c r="L18" s="494"/>
      <c r="M18" s="494"/>
      <c r="N18" s="494"/>
      <c r="O18" s="495"/>
      <c r="P18" s="496"/>
      <c r="Q18" s="494"/>
      <c r="R18" s="494"/>
      <c r="S18" s="494"/>
      <c r="T18" s="497"/>
      <c r="U18" s="487">
        <f t="shared" si="5"/>
        <v>0</v>
      </c>
    </row>
    <row r="19" spans="1:21" ht="11.25" hidden="1" customHeight="1" outlineLevel="1" x14ac:dyDescent="0.2">
      <c r="D19" s="488"/>
      <c r="E19" s="489"/>
      <c r="F19" s="490"/>
      <c r="G19" s="491"/>
      <c r="H19" s="491"/>
      <c r="I19" s="491"/>
      <c r="J19" s="492"/>
      <c r="K19" s="493"/>
      <c r="L19" s="494"/>
      <c r="M19" s="494"/>
      <c r="N19" s="494"/>
      <c r="O19" s="495"/>
      <c r="P19" s="496"/>
      <c r="Q19" s="494"/>
      <c r="R19" s="494"/>
      <c r="S19" s="494"/>
      <c r="T19" s="497"/>
      <c r="U19" s="487">
        <f t="shared" si="5"/>
        <v>0</v>
      </c>
    </row>
    <row r="20" spans="1:21" ht="11.25" hidden="1" customHeight="1" outlineLevel="1" x14ac:dyDescent="0.2">
      <c r="D20" s="488"/>
      <c r="E20" s="489"/>
      <c r="F20" s="490"/>
      <c r="G20" s="491"/>
      <c r="H20" s="491"/>
      <c r="I20" s="491"/>
      <c r="J20" s="492"/>
      <c r="K20" s="493"/>
      <c r="L20" s="494"/>
      <c r="M20" s="494"/>
      <c r="N20" s="494"/>
      <c r="O20" s="495"/>
      <c r="P20" s="496"/>
      <c r="Q20" s="494"/>
      <c r="R20" s="494"/>
      <c r="S20" s="494"/>
      <c r="T20" s="497"/>
      <c r="U20" s="487">
        <f t="shared" si="5"/>
        <v>0</v>
      </c>
    </row>
    <row r="21" spans="1:21" ht="11.25" hidden="1" customHeight="1" outlineLevel="1" x14ac:dyDescent="0.2">
      <c r="D21" s="488"/>
      <c r="E21" s="489"/>
      <c r="F21" s="490"/>
      <c r="G21" s="491"/>
      <c r="H21" s="491"/>
      <c r="I21" s="491"/>
      <c r="J21" s="492"/>
      <c r="K21" s="493"/>
      <c r="L21" s="494"/>
      <c r="M21" s="494"/>
      <c r="N21" s="494"/>
      <c r="O21" s="495"/>
      <c r="P21" s="496"/>
      <c r="Q21" s="494"/>
      <c r="R21" s="494"/>
      <c r="S21" s="494"/>
      <c r="T21" s="497"/>
      <c r="U21" s="487">
        <f t="shared" si="5"/>
        <v>0</v>
      </c>
    </row>
    <row r="22" spans="1:21" ht="11.25" hidden="1" customHeight="1" outlineLevel="1" x14ac:dyDescent="0.2">
      <c r="D22" s="488"/>
      <c r="E22" s="489"/>
      <c r="F22" s="490"/>
      <c r="G22" s="491"/>
      <c r="H22" s="491"/>
      <c r="I22" s="491"/>
      <c r="J22" s="492"/>
      <c r="K22" s="493"/>
      <c r="L22" s="494"/>
      <c r="M22" s="494"/>
      <c r="N22" s="494"/>
      <c r="O22" s="495"/>
      <c r="P22" s="496"/>
      <c r="Q22" s="494"/>
      <c r="R22" s="494"/>
      <c r="S22" s="494"/>
      <c r="T22" s="497"/>
      <c r="U22" s="487">
        <f t="shared" si="5"/>
        <v>0</v>
      </c>
    </row>
    <row r="23" spans="1:21" ht="11.25" hidden="1" customHeight="1" outlineLevel="1" x14ac:dyDescent="0.2">
      <c r="D23" s="488"/>
      <c r="E23" s="489"/>
      <c r="F23" s="490"/>
      <c r="G23" s="491"/>
      <c r="H23" s="491"/>
      <c r="I23" s="491"/>
      <c r="J23" s="492"/>
      <c r="K23" s="493"/>
      <c r="L23" s="494"/>
      <c r="M23" s="494"/>
      <c r="N23" s="494"/>
      <c r="O23" s="495"/>
      <c r="P23" s="496"/>
      <c r="Q23" s="494"/>
      <c r="R23" s="494"/>
      <c r="S23" s="494"/>
      <c r="T23" s="497"/>
      <c r="U23" s="487">
        <f t="shared" si="5"/>
        <v>0</v>
      </c>
    </row>
    <row r="24" spans="1:21" ht="11.25" hidden="1" customHeight="1" outlineLevel="1" thickBot="1" x14ac:dyDescent="0.25">
      <c r="D24" s="498"/>
      <c r="E24" s="499"/>
      <c r="F24" s="500"/>
      <c r="G24" s="501"/>
      <c r="H24" s="501"/>
      <c r="I24" s="501"/>
      <c r="J24" s="502"/>
      <c r="K24" s="503"/>
      <c r="L24" s="504"/>
      <c r="M24" s="504"/>
      <c r="N24" s="504"/>
      <c r="O24" s="505"/>
      <c r="P24" s="506"/>
      <c r="Q24" s="504"/>
      <c r="R24" s="504"/>
      <c r="S24" s="504"/>
      <c r="T24" s="507"/>
      <c r="U24" s="508">
        <f t="shared" si="5"/>
        <v>0</v>
      </c>
    </row>
    <row r="25" spans="1:21" ht="11.25" customHeight="1" collapsed="1" x14ac:dyDescent="0.2"/>
    <row r="26" spans="1:21" ht="11.25" customHeight="1" x14ac:dyDescent="0.2">
      <c r="D26" s="6" t="s">
        <v>182</v>
      </c>
      <c r="P26" s="141">
        <v>17900453.302776217</v>
      </c>
      <c r="Q26" s="141">
        <v>19105291.003889162</v>
      </c>
      <c r="R26" s="141">
        <v>20463649.79673006</v>
      </c>
      <c r="S26" s="141">
        <v>22967259.484315049</v>
      </c>
      <c r="T26" s="141">
        <v>25731546.408865213</v>
      </c>
    </row>
    <row r="27" spans="1:21" ht="11.25" customHeight="1" x14ac:dyDescent="0.2">
      <c r="A27" s="42">
        <f>IF(SUM($F27:$T27)&gt;0,1,0)</f>
        <v>0</v>
      </c>
      <c r="D27" s="6" t="s">
        <v>183</v>
      </c>
      <c r="E27" s="70"/>
      <c r="P27" s="70">
        <v>0</v>
      </c>
      <c r="Q27" s="70">
        <v>0</v>
      </c>
      <c r="R27" s="70">
        <v>0</v>
      </c>
      <c r="S27" s="70">
        <v>0</v>
      </c>
      <c r="T27" s="70">
        <v>0</v>
      </c>
    </row>
    <row r="28" spans="1:21" ht="11.25" customHeight="1" x14ac:dyDescent="0.2"/>
    <row r="29" spans="1:21" ht="11.25" customHeight="1" x14ac:dyDescent="0.2">
      <c r="D29" s="249" t="s">
        <v>512</v>
      </c>
      <c r="E29" s="249"/>
      <c r="F29" s="249"/>
      <c r="G29" s="249"/>
      <c r="H29" s="249"/>
      <c r="I29" s="249"/>
      <c r="J29" s="249"/>
      <c r="K29" s="249"/>
    </row>
    <row r="30" spans="1:21" ht="11.25" customHeight="1" thickBot="1" x14ac:dyDescent="0.25">
      <c r="D30" s="751" t="s">
        <v>513</v>
      </c>
      <c r="E30" s="1281" t="s">
        <v>514</v>
      </c>
      <c r="F30" s="1282"/>
      <c r="G30" s="1282"/>
      <c r="H30" s="1282"/>
      <c r="I30" s="1282"/>
      <c r="J30" s="1282"/>
      <c r="K30" s="1283"/>
    </row>
    <row r="31" spans="1:21" ht="11.25" customHeight="1" x14ac:dyDescent="0.2">
      <c r="D31" s="1307" t="s">
        <v>939</v>
      </c>
      <c r="E31" s="754" t="s">
        <v>702</v>
      </c>
      <c r="F31" s="755"/>
      <c r="G31" s="755"/>
      <c r="H31" s="755"/>
      <c r="I31" s="755"/>
      <c r="J31" s="755"/>
      <c r="K31" s="756"/>
    </row>
    <row r="32" spans="1:21" ht="11.25" customHeight="1" x14ac:dyDescent="0.2">
      <c r="D32" s="1308" t="s">
        <v>938</v>
      </c>
      <c r="E32" s="757" t="s">
        <v>703</v>
      </c>
      <c r="F32" s="758"/>
      <c r="G32" s="758"/>
      <c r="H32" s="758"/>
      <c r="I32" s="758"/>
      <c r="J32" s="758"/>
      <c r="K32" s="759"/>
    </row>
    <row r="33" spans="3:11" ht="11.25" customHeight="1" x14ac:dyDescent="0.2">
      <c r="D33" s="1306" t="s">
        <v>940</v>
      </c>
      <c r="E33" s="757" t="s">
        <v>704</v>
      </c>
      <c r="F33" s="758"/>
      <c r="G33" s="758"/>
      <c r="H33" s="758"/>
      <c r="I33" s="758"/>
      <c r="J33" s="758"/>
      <c r="K33" s="759"/>
    </row>
    <row r="34" spans="3:11" ht="11.25" customHeight="1" x14ac:dyDescent="0.2">
      <c r="D34" s="1306" t="s">
        <v>943</v>
      </c>
      <c r="E34" s="760" t="s">
        <v>705</v>
      </c>
      <c r="F34" s="761"/>
      <c r="G34" s="761"/>
      <c r="H34" s="761"/>
      <c r="I34" s="761"/>
      <c r="J34" s="761"/>
      <c r="K34" s="762"/>
    </row>
    <row r="35" spans="3:11" ht="11.25" customHeight="1" x14ac:dyDescent="0.2">
      <c r="D35" s="488" t="s">
        <v>942</v>
      </c>
      <c r="E35" s="760" t="s">
        <v>931</v>
      </c>
      <c r="F35" s="761"/>
      <c r="G35" s="761"/>
      <c r="H35" s="761"/>
      <c r="I35" s="761"/>
      <c r="J35" s="761"/>
      <c r="K35" s="762"/>
    </row>
    <row r="36" spans="3:11" ht="11.25" hidden="1" customHeight="1" outlineLevel="1" x14ac:dyDescent="0.2">
      <c r="D36" s="752"/>
      <c r="E36" s="763"/>
      <c r="F36" s="764"/>
      <c r="G36" s="764"/>
      <c r="H36" s="764"/>
      <c r="I36" s="764"/>
      <c r="J36" s="764"/>
      <c r="K36" s="765"/>
    </row>
    <row r="37" spans="3:11" ht="11.25" hidden="1" customHeight="1" outlineLevel="1" x14ac:dyDescent="0.2">
      <c r="D37" s="752"/>
      <c r="E37" s="763"/>
      <c r="F37" s="764"/>
      <c r="G37" s="764"/>
      <c r="H37" s="764"/>
      <c r="I37" s="764"/>
      <c r="J37" s="764"/>
      <c r="K37" s="765"/>
    </row>
    <row r="38" spans="3:11" ht="11.25" hidden="1" customHeight="1" outlineLevel="1" x14ac:dyDescent="0.2">
      <c r="D38" s="752"/>
      <c r="E38" s="763"/>
      <c r="F38" s="764"/>
      <c r="G38" s="764"/>
      <c r="H38" s="764"/>
      <c r="I38" s="764"/>
      <c r="J38" s="764"/>
      <c r="K38" s="765"/>
    </row>
    <row r="39" spans="3:11" ht="11.25" hidden="1" customHeight="1" outlineLevel="1" x14ac:dyDescent="0.2">
      <c r="D39" s="752"/>
      <c r="E39" s="763"/>
      <c r="F39" s="764"/>
      <c r="G39" s="764"/>
      <c r="H39" s="764"/>
      <c r="I39" s="764"/>
      <c r="J39" s="764"/>
      <c r="K39" s="765"/>
    </row>
    <row r="40" spans="3:11" ht="11.25" hidden="1" customHeight="1" outlineLevel="1" x14ac:dyDescent="0.2">
      <c r="D40" s="752"/>
      <c r="E40" s="763"/>
      <c r="F40" s="764"/>
      <c r="G40" s="764"/>
      <c r="H40" s="764"/>
      <c r="I40" s="764"/>
      <c r="J40" s="764"/>
      <c r="K40" s="765"/>
    </row>
    <row r="41" spans="3:11" ht="11.25" hidden="1" customHeight="1" outlineLevel="1" x14ac:dyDescent="0.2">
      <c r="D41" s="752"/>
      <c r="E41" s="763"/>
      <c r="F41" s="764"/>
      <c r="G41" s="764"/>
      <c r="H41" s="764"/>
      <c r="I41" s="764"/>
      <c r="J41" s="764"/>
      <c r="K41" s="765"/>
    </row>
    <row r="42" spans="3:11" ht="11.25" hidden="1" customHeight="1" outlineLevel="1" x14ac:dyDescent="0.2">
      <c r="D42" s="752"/>
      <c r="E42" s="763"/>
      <c r="F42" s="764"/>
      <c r="G42" s="764"/>
      <c r="H42" s="764"/>
      <c r="I42" s="764"/>
      <c r="J42" s="764"/>
      <c r="K42" s="765"/>
    </row>
    <row r="43" spans="3:11" ht="11.25" hidden="1" customHeight="1" outlineLevel="1" x14ac:dyDescent="0.2">
      <c r="D43" s="752"/>
      <c r="E43" s="763"/>
      <c r="F43" s="764"/>
      <c r="G43" s="764"/>
      <c r="H43" s="764"/>
      <c r="I43" s="764"/>
      <c r="J43" s="764"/>
      <c r="K43" s="765"/>
    </row>
    <row r="44" spans="3:11" ht="11.25" hidden="1" customHeight="1" outlineLevel="1" x14ac:dyDescent="0.2">
      <c r="D44" s="752"/>
      <c r="E44" s="763"/>
      <c r="F44" s="764"/>
      <c r="G44" s="764"/>
      <c r="H44" s="764"/>
      <c r="I44" s="764"/>
      <c r="J44" s="764"/>
      <c r="K44" s="765"/>
    </row>
    <row r="45" spans="3:11" ht="11.25" hidden="1" customHeight="1" outlineLevel="1" thickBot="1" x14ac:dyDescent="0.25">
      <c r="D45" s="753"/>
      <c r="E45" s="766"/>
      <c r="F45" s="767"/>
      <c r="G45" s="767"/>
      <c r="H45" s="767"/>
      <c r="I45" s="767"/>
      <c r="J45" s="767"/>
      <c r="K45" s="768"/>
    </row>
    <row r="46" spans="3:11" ht="11.25" customHeight="1" collapsed="1" x14ac:dyDescent="0.2"/>
    <row r="47" spans="3:11" s="7" customFormat="1" ht="15" x14ac:dyDescent="0.2">
      <c r="C47" s="1048" t="s">
        <v>356</v>
      </c>
      <c r="D47" s="1048"/>
      <c r="E47" s="1048"/>
      <c r="F47" s="1048"/>
      <c r="G47" s="1048"/>
    </row>
    <row r="48" spans="3:11" ht="11.25" customHeight="1" x14ac:dyDescent="0.2"/>
    <row r="49" spans="4:21" ht="16.5" thickBot="1" x14ac:dyDescent="0.25">
      <c r="D49" s="249" t="s">
        <v>367</v>
      </c>
      <c r="E49" s="249"/>
      <c r="F49" s="249"/>
      <c r="G49" s="249"/>
      <c r="H49" s="249"/>
      <c r="I49" s="249"/>
      <c r="J49" s="249"/>
      <c r="K49" s="249"/>
      <c r="L49" s="249"/>
      <c r="M49" s="249"/>
      <c r="N49" s="249"/>
      <c r="O49" s="249"/>
      <c r="P49" s="249"/>
      <c r="Q49" s="249"/>
      <c r="R49" s="249"/>
      <c r="S49" s="249"/>
      <c r="T49" s="249"/>
      <c r="U49" s="249"/>
    </row>
    <row r="50" spans="4:21" ht="12.75" thickBot="1" x14ac:dyDescent="0.25">
      <c r="D50" s="1271" t="s">
        <v>368</v>
      </c>
      <c r="E50" s="1273" t="s">
        <v>369</v>
      </c>
      <c r="F50" s="1275" t="s">
        <v>370</v>
      </c>
      <c r="G50" s="1276"/>
      <c r="H50" s="1276"/>
      <c r="I50" s="1276"/>
      <c r="J50" s="1276"/>
      <c r="K50" s="1276"/>
      <c r="L50" s="1276"/>
      <c r="M50" s="1277"/>
      <c r="N50" s="1278" t="s">
        <v>511</v>
      </c>
      <c r="O50" s="1279"/>
      <c r="P50" s="1279"/>
      <c r="Q50" s="1279"/>
      <c r="R50" s="1279"/>
      <c r="S50" s="1279"/>
      <c r="T50" s="1279"/>
      <c r="U50" s="1280"/>
    </row>
    <row r="51" spans="4:21" ht="36.75" thickBot="1" x14ac:dyDescent="0.25">
      <c r="D51" s="1272"/>
      <c r="E51" s="1274"/>
      <c r="F51" s="467" t="s">
        <v>371</v>
      </c>
      <c r="G51" s="468" t="s">
        <v>372</v>
      </c>
      <c r="H51" s="468" t="s">
        <v>373</v>
      </c>
      <c r="I51" s="468" t="s">
        <v>374</v>
      </c>
      <c r="J51" s="468" t="s">
        <v>375</v>
      </c>
      <c r="K51" s="468" t="s">
        <v>348</v>
      </c>
      <c r="L51" s="468" t="s">
        <v>347</v>
      </c>
      <c r="M51" s="469" t="s">
        <v>349</v>
      </c>
      <c r="N51" s="470" t="s">
        <v>167</v>
      </c>
      <c r="O51" s="471" t="s">
        <v>168</v>
      </c>
      <c r="P51" s="471" t="s">
        <v>169</v>
      </c>
      <c r="Q51" s="471" t="s">
        <v>170</v>
      </c>
      <c r="R51" s="471" t="s">
        <v>171</v>
      </c>
      <c r="S51" s="471" t="s">
        <v>172</v>
      </c>
      <c r="T51" s="472" t="s">
        <v>181</v>
      </c>
      <c r="U51" s="473" t="s">
        <v>376</v>
      </c>
    </row>
    <row r="52" spans="4:21" ht="11.25" customHeight="1" x14ac:dyDescent="0.2">
      <c r="D52" s="474" t="s">
        <v>938</v>
      </c>
      <c r="E52" s="475" t="s">
        <v>706</v>
      </c>
      <c r="F52" s="476"/>
      <c r="G52" s="477"/>
      <c r="H52" s="477"/>
      <c r="I52" s="976" t="s">
        <v>701</v>
      </c>
      <c r="J52" s="977" t="s">
        <v>701</v>
      </c>
      <c r="K52" s="978" t="s">
        <v>701</v>
      </c>
      <c r="L52" s="979" t="s">
        <v>701</v>
      </c>
      <c r="M52" s="979" t="s">
        <v>701</v>
      </c>
      <c r="N52" s="979" t="s">
        <v>701</v>
      </c>
      <c r="O52" s="980" t="s">
        <v>701</v>
      </c>
      <c r="P52" s="981" t="s">
        <v>701</v>
      </c>
      <c r="Q52" s="979" t="s">
        <v>701</v>
      </c>
      <c r="R52" s="979" t="s">
        <v>701</v>
      </c>
      <c r="S52" s="979" t="s">
        <v>701</v>
      </c>
      <c r="T52" s="982" t="s">
        <v>701</v>
      </c>
      <c r="U52" s="1077" t="s">
        <v>701</v>
      </c>
    </row>
    <row r="53" spans="4:21" ht="11.25" customHeight="1" x14ac:dyDescent="0.2">
      <c r="D53" s="1305" t="s">
        <v>939</v>
      </c>
      <c r="E53" s="478" t="s">
        <v>707</v>
      </c>
      <c r="F53" s="479"/>
      <c r="G53" s="480"/>
      <c r="H53" s="480"/>
      <c r="I53" s="983" t="s">
        <v>701</v>
      </c>
      <c r="J53" s="984" t="s">
        <v>701</v>
      </c>
      <c r="K53" s="985" t="s">
        <v>701</v>
      </c>
      <c r="L53" s="986" t="s">
        <v>701</v>
      </c>
      <c r="M53" s="986" t="s">
        <v>701</v>
      </c>
      <c r="N53" s="986" t="s">
        <v>701</v>
      </c>
      <c r="O53" s="987" t="s">
        <v>701</v>
      </c>
      <c r="P53" s="988" t="s">
        <v>701</v>
      </c>
      <c r="Q53" s="986" t="s">
        <v>701</v>
      </c>
      <c r="R53" s="986" t="s">
        <v>701</v>
      </c>
      <c r="S53" s="986" t="s">
        <v>701</v>
      </c>
      <c r="T53" s="989" t="s">
        <v>701</v>
      </c>
      <c r="U53" s="1077" t="s">
        <v>701</v>
      </c>
    </row>
    <row r="54" spans="4:21" ht="11.25" customHeight="1" x14ac:dyDescent="0.2">
      <c r="D54" s="1306" t="s">
        <v>940</v>
      </c>
      <c r="E54" s="478" t="s">
        <v>708</v>
      </c>
      <c r="F54" s="479"/>
      <c r="G54" s="480"/>
      <c r="H54" s="480"/>
      <c r="I54" s="480">
        <v>170620.28</v>
      </c>
      <c r="J54" s="481">
        <v>221423.26</v>
      </c>
      <c r="K54" s="482">
        <v>240474.88</v>
      </c>
      <c r="L54" s="483">
        <v>229446.71000000002</v>
      </c>
      <c r="M54" s="483">
        <v>246487.37</v>
      </c>
      <c r="N54" s="483">
        <v>257068.79360339747</v>
      </c>
      <c r="O54" s="484">
        <v>257851.98121671949</v>
      </c>
      <c r="P54" s="485">
        <v>259187.44597113522</v>
      </c>
      <c r="Q54" s="483">
        <v>260790.26541755753</v>
      </c>
      <c r="R54" s="483">
        <v>262317.52279453463</v>
      </c>
      <c r="S54" s="483">
        <v>268028.39819354482</v>
      </c>
      <c r="T54" s="486">
        <v>274552.05746288138</v>
      </c>
      <c r="U54" s="487">
        <f t="shared" ref="U54:U66" si="9">SUM(P54:T54)</f>
        <v>1324875.6898396537</v>
      </c>
    </row>
    <row r="55" spans="4:21" ht="11.25" customHeight="1" x14ac:dyDescent="0.2">
      <c r="D55" s="1306" t="s">
        <v>941</v>
      </c>
      <c r="E55" s="478" t="s">
        <v>709</v>
      </c>
      <c r="F55" s="479"/>
      <c r="G55" s="480"/>
      <c r="H55" s="480"/>
      <c r="I55" s="480">
        <v>468251.38</v>
      </c>
      <c r="J55" s="481">
        <v>373628.06999999995</v>
      </c>
      <c r="K55" s="482">
        <v>1612251.51</v>
      </c>
      <c r="L55" s="483">
        <v>341000.16000000003</v>
      </c>
      <c r="M55" s="483">
        <v>276511.05</v>
      </c>
      <c r="N55" s="483">
        <v>315302.09735136881</v>
      </c>
      <c r="O55" s="484">
        <v>322293.19419212977</v>
      </c>
      <c r="P55" s="485">
        <v>329939.58469320211</v>
      </c>
      <c r="Q55" s="483">
        <v>337403.93249313446</v>
      </c>
      <c r="R55" s="483">
        <v>337403.93249313446</v>
      </c>
      <c r="S55" s="483">
        <v>344759.3382214848</v>
      </c>
      <c r="T55" s="486">
        <v>353136.99014026689</v>
      </c>
      <c r="U55" s="487">
        <f t="shared" si="9"/>
        <v>1702643.7780412228</v>
      </c>
    </row>
    <row r="56" spans="4:21" ht="11.25" customHeight="1" x14ac:dyDescent="0.2">
      <c r="D56" s="488" t="s">
        <v>942</v>
      </c>
      <c r="E56" s="489" t="s">
        <v>932</v>
      </c>
      <c r="F56" s="490"/>
      <c r="G56" s="491"/>
      <c r="H56" s="491"/>
      <c r="I56" s="983" t="s">
        <v>701</v>
      </c>
      <c r="J56" s="984" t="s">
        <v>701</v>
      </c>
      <c r="K56" s="985" t="s">
        <v>701</v>
      </c>
      <c r="L56" s="986" t="s">
        <v>701</v>
      </c>
      <c r="M56" s="986" t="s">
        <v>701</v>
      </c>
      <c r="N56" s="986" t="s">
        <v>701</v>
      </c>
      <c r="O56" s="987" t="s">
        <v>701</v>
      </c>
      <c r="P56" s="988" t="s">
        <v>701</v>
      </c>
      <c r="Q56" s="986" t="s">
        <v>701</v>
      </c>
      <c r="R56" s="986" t="s">
        <v>701</v>
      </c>
      <c r="S56" s="986" t="s">
        <v>701</v>
      </c>
      <c r="T56" s="989" t="s">
        <v>701</v>
      </c>
      <c r="U56" s="1077" t="s">
        <v>701</v>
      </c>
    </row>
    <row r="57" spans="4:21" ht="11.25" hidden="1" customHeight="1" outlineLevel="1" x14ac:dyDescent="0.2">
      <c r="D57" s="488"/>
      <c r="E57" s="489"/>
      <c r="F57" s="490"/>
      <c r="G57" s="491"/>
      <c r="H57" s="491"/>
      <c r="I57" s="491"/>
      <c r="J57" s="492"/>
      <c r="K57" s="493"/>
      <c r="L57" s="494"/>
      <c r="M57" s="494"/>
      <c r="N57" s="494"/>
      <c r="O57" s="495"/>
      <c r="P57" s="496"/>
      <c r="Q57" s="494"/>
      <c r="R57" s="494"/>
      <c r="S57" s="494"/>
      <c r="T57" s="497"/>
      <c r="U57" s="487">
        <f t="shared" si="9"/>
        <v>0</v>
      </c>
    </row>
    <row r="58" spans="4:21" ht="11.25" hidden="1" customHeight="1" outlineLevel="1" x14ac:dyDescent="0.2">
      <c r="D58" s="488"/>
      <c r="E58" s="489"/>
      <c r="F58" s="490"/>
      <c r="G58" s="491"/>
      <c r="H58" s="491"/>
      <c r="I58" s="491"/>
      <c r="J58" s="492"/>
      <c r="K58" s="493"/>
      <c r="L58" s="494"/>
      <c r="M58" s="494"/>
      <c r="N58" s="494"/>
      <c r="O58" s="495"/>
      <c r="P58" s="496"/>
      <c r="Q58" s="494"/>
      <c r="R58" s="494"/>
      <c r="S58" s="494"/>
      <c r="T58" s="497"/>
      <c r="U58" s="487">
        <f t="shared" si="9"/>
        <v>0</v>
      </c>
    </row>
    <row r="59" spans="4:21" ht="11.25" hidden="1" customHeight="1" outlineLevel="1" x14ac:dyDescent="0.2">
      <c r="D59" s="488"/>
      <c r="E59" s="489"/>
      <c r="F59" s="490"/>
      <c r="G59" s="491"/>
      <c r="H59" s="491"/>
      <c r="I59" s="491"/>
      <c r="J59" s="492"/>
      <c r="K59" s="493"/>
      <c r="L59" s="494"/>
      <c r="M59" s="494"/>
      <c r="N59" s="494"/>
      <c r="O59" s="495"/>
      <c r="P59" s="496"/>
      <c r="Q59" s="494"/>
      <c r="R59" s="494"/>
      <c r="S59" s="494"/>
      <c r="T59" s="497"/>
      <c r="U59" s="487">
        <f t="shared" si="9"/>
        <v>0</v>
      </c>
    </row>
    <row r="60" spans="4:21" ht="11.25" hidden="1" customHeight="1" outlineLevel="1" x14ac:dyDescent="0.2">
      <c r="D60" s="488"/>
      <c r="E60" s="489"/>
      <c r="F60" s="490"/>
      <c r="G60" s="491"/>
      <c r="H60" s="491"/>
      <c r="I60" s="491"/>
      <c r="J60" s="492"/>
      <c r="K60" s="493"/>
      <c r="L60" s="494"/>
      <c r="M60" s="494"/>
      <c r="N60" s="494"/>
      <c r="O60" s="495"/>
      <c r="P60" s="496"/>
      <c r="Q60" s="494"/>
      <c r="R60" s="494"/>
      <c r="S60" s="494"/>
      <c r="T60" s="497"/>
      <c r="U60" s="487">
        <f t="shared" si="9"/>
        <v>0</v>
      </c>
    </row>
    <row r="61" spans="4:21" ht="11.25" hidden="1" customHeight="1" outlineLevel="1" x14ac:dyDescent="0.2">
      <c r="D61" s="488"/>
      <c r="E61" s="489"/>
      <c r="F61" s="490"/>
      <c r="G61" s="491"/>
      <c r="H61" s="491"/>
      <c r="I61" s="491"/>
      <c r="J61" s="492"/>
      <c r="K61" s="493"/>
      <c r="L61" s="494"/>
      <c r="M61" s="494"/>
      <c r="N61" s="494"/>
      <c r="O61" s="495"/>
      <c r="P61" s="496"/>
      <c r="Q61" s="494"/>
      <c r="R61" s="494"/>
      <c r="S61" s="494"/>
      <c r="T61" s="497"/>
      <c r="U61" s="487">
        <f t="shared" si="9"/>
        <v>0</v>
      </c>
    </row>
    <row r="62" spans="4:21" ht="11.25" hidden="1" customHeight="1" outlineLevel="1" x14ac:dyDescent="0.2">
      <c r="D62" s="488"/>
      <c r="E62" s="489"/>
      <c r="F62" s="490"/>
      <c r="G62" s="491"/>
      <c r="H62" s="491"/>
      <c r="I62" s="491"/>
      <c r="J62" s="492"/>
      <c r="K62" s="493"/>
      <c r="L62" s="494"/>
      <c r="M62" s="494"/>
      <c r="N62" s="494"/>
      <c r="O62" s="495"/>
      <c r="P62" s="496"/>
      <c r="Q62" s="494"/>
      <c r="R62" s="494"/>
      <c r="S62" s="494"/>
      <c r="T62" s="497"/>
      <c r="U62" s="487">
        <f t="shared" si="9"/>
        <v>0</v>
      </c>
    </row>
    <row r="63" spans="4:21" ht="11.25" hidden="1" customHeight="1" outlineLevel="1" x14ac:dyDescent="0.2">
      <c r="D63" s="488"/>
      <c r="E63" s="489"/>
      <c r="F63" s="490"/>
      <c r="G63" s="491"/>
      <c r="H63" s="491"/>
      <c r="I63" s="491"/>
      <c r="J63" s="492"/>
      <c r="K63" s="493"/>
      <c r="L63" s="494"/>
      <c r="M63" s="494"/>
      <c r="N63" s="494"/>
      <c r="O63" s="495"/>
      <c r="P63" s="496"/>
      <c r="Q63" s="494"/>
      <c r="R63" s="494"/>
      <c r="S63" s="494"/>
      <c r="T63" s="497"/>
      <c r="U63" s="487">
        <f t="shared" si="9"/>
        <v>0</v>
      </c>
    </row>
    <row r="64" spans="4:21" ht="11.25" hidden="1" customHeight="1" outlineLevel="1" x14ac:dyDescent="0.2">
      <c r="D64" s="488"/>
      <c r="E64" s="489"/>
      <c r="F64" s="490"/>
      <c r="G64" s="491"/>
      <c r="H64" s="491"/>
      <c r="I64" s="491"/>
      <c r="J64" s="492"/>
      <c r="K64" s="493"/>
      <c r="L64" s="494"/>
      <c r="M64" s="494"/>
      <c r="N64" s="494"/>
      <c r="O64" s="495"/>
      <c r="P64" s="496"/>
      <c r="Q64" s="494"/>
      <c r="R64" s="494"/>
      <c r="S64" s="494"/>
      <c r="T64" s="497"/>
      <c r="U64" s="487">
        <f t="shared" si="9"/>
        <v>0</v>
      </c>
    </row>
    <row r="65" spans="2:21" ht="11.1" hidden="1" customHeight="1" outlineLevel="1" x14ac:dyDescent="0.2">
      <c r="D65" s="488"/>
      <c r="E65" s="489"/>
      <c r="F65" s="490"/>
      <c r="G65" s="491"/>
      <c r="H65" s="491"/>
      <c r="I65" s="491"/>
      <c r="J65" s="492"/>
      <c r="K65" s="493"/>
      <c r="L65" s="494"/>
      <c r="M65" s="494"/>
      <c r="N65" s="494"/>
      <c r="O65" s="495"/>
      <c r="P65" s="496"/>
      <c r="Q65" s="494"/>
      <c r="R65" s="494"/>
      <c r="S65" s="494"/>
      <c r="T65" s="497"/>
      <c r="U65" s="487">
        <f t="shared" si="9"/>
        <v>0</v>
      </c>
    </row>
    <row r="66" spans="2:21" ht="11.25" hidden="1" customHeight="1" outlineLevel="1" thickBot="1" x14ac:dyDescent="0.25">
      <c r="D66" s="498"/>
      <c r="E66" s="499"/>
      <c r="F66" s="500"/>
      <c r="G66" s="501"/>
      <c r="H66" s="501"/>
      <c r="I66" s="501"/>
      <c r="J66" s="502"/>
      <c r="K66" s="503"/>
      <c r="L66" s="504"/>
      <c r="M66" s="504"/>
      <c r="N66" s="504"/>
      <c r="O66" s="505"/>
      <c r="P66" s="506"/>
      <c r="Q66" s="504"/>
      <c r="R66" s="504"/>
      <c r="S66" s="504"/>
      <c r="T66" s="507"/>
      <c r="U66" s="508">
        <f t="shared" si="9"/>
        <v>0</v>
      </c>
    </row>
    <row r="67" spans="2:21" ht="11.25" customHeight="1" collapsed="1" x14ac:dyDescent="0.2"/>
    <row r="68" spans="2:21" s="47" customFormat="1" ht="15.75" x14ac:dyDescent="0.2">
      <c r="B68" s="47" t="s">
        <v>32</v>
      </c>
    </row>
  </sheetData>
  <mergeCells count="9">
    <mergeCell ref="D50:D51"/>
    <mergeCell ref="E50:E51"/>
    <mergeCell ref="F50:M50"/>
    <mergeCell ref="N50:U50"/>
    <mergeCell ref="D8:D9"/>
    <mergeCell ref="E8:E9"/>
    <mergeCell ref="F8:M8"/>
    <mergeCell ref="N8:U8"/>
    <mergeCell ref="E30:K30"/>
  </mergeCells>
  <conditionalFormatting sqref="B2">
    <cfRule type="cellIs" dxfId="38" priority="6" operator="notEqual">
      <formula>"No Errors Found"</formula>
    </cfRule>
  </conditionalFormatting>
  <conditionalFormatting sqref="T52:T66">
    <cfRule type="expression" dxfId="37" priority="4">
      <formula>(dms_FRCPlength_Num)&lt;5</formula>
    </cfRule>
  </conditionalFormatting>
  <conditionalFormatting sqref="F52:I66">
    <cfRule type="expression" dxfId="36" priority="3">
      <formula>dms_TradingName="Transgrid"</formula>
    </cfRule>
  </conditionalFormatting>
  <conditionalFormatting sqref="T10:T24">
    <cfRule type="expression" dxfId="35" priority="2">
      <formula>(dms_FRCPlength_Num)&lt;5</formula>
    </cfRule>
  </conditionalFormatting>
  <conditionalFormatting sqref="F10:I24">
    <cfRule type="expression" dxfId="34" priority="1">
      <formula>dms_TradingName="Transgrid"</formula>
    </cfRule>
  </conditionalFormatting>
  <dataValidations count="1">
    <dataValidation type="textLength" operator="lessThanOrEqual" allowBlank="1" showInputMessage="1" promptTitle="Shared asset" prompt="Enter name of shared asset unregulated service" sqref="D10:D14 D31:D35 D52:D56">
      <formula1>150</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61"/>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I29" sqref="I29"/>
    </sheetView>
  </sheetViews>
  <sheetFormatPr defaultColWidth="9.33203125" defaultRowHeight="11.25" x14ac:dyDescent="0.2"/>
  <cols>
    <col min="1" max="3" width="3.6640625" style="46" customWidth="1"/>
    <col min="4" max="4" width="28.83203125" style="46" customWidth="1"/>
    <col min="5" max="5" width="37.5" style="46" customWidth="1"/>
    <col min="6" max="6" width="39.5" style="46" customWidth="1"/>
    <col min="7" max="7" width="20.6640625" style="46" customWidth="1"/>
    <col min="8" max="14" width="17.6640625" style="46" customWidth="1"/>
    <col min="15" max="16" width="3.6640625" style="46" customWidth="1"/>
    <col min="17" max="17" width="63.5" style="46" customWidth="1"/>
    <col min="18" max="31" width="10.6640625" style="46" customWidth="1"/>
    <col min="32" max="16384" width="9.33203125" style="46"/>
  </cols>
  <sheetData>
    <row r="1" spans="1:17" ht="19.5" x14ac:dyDescent="0.2">
      <c r="A1" s="42">
        <f>IF(SUM($A2:$A61)&gt;0,1,0)</f>
        <v>0</v>
      </c>
      <c r="B1" s="3" t="s">
        <v>459</v>
      </c>
    </row>
    <row r="2" spans="1:17" x14ac:dyDescent="0.2">
      <c r="B2" s="9" t="str">
        <f>Title_Msg</f>
        <v>No Errors Found</v>
      </c>
    </row>
    <row r="3" spans="1:17" s="47" customFormat="1" ht="15.75" x14ac:dyDescent="0.2">
      <c r="B3" s="47" t="str">
        <f>WkB_1_2.1.1!$B$3</f>
        <v>Data required to populate TransGrid's 2023-28 regulatory submission</v>
      </c>
    </row>
    <row r="4" spans="1:17" ht="4.5" customHeight="1" x14ac:dyDescent="0.2"/>
    <row r="5" spans="1:17" s="7" customFormat="1" ht="15" x14ac:dyDescent="0.2">
      <c r="C5" s="7" t="str">
        <f>WkB_1_2.1.1!$C$5</f>
        <v>Output - RIN template</v>
      </c>
    </row>
    <row r="6" spans="1:17" ht="11.25" customHeight="1" thickBot="1" x14ac:dyDescent="0.25"/>
    <row r="7" spans="1:17" ht="19.5" thickBot="1" x14ac:dyDescent="0.25">
      <c r="D7" s="610" t="s">
        <v>459</v>
      </c>
      <c r="E7" s="610"/>
      <c r="F7" s="610"/>
      <c r="G7" s="610"/>
      <c r="H7" s="610"/>
      <c r="I7" s="610"/>
      <c r="J7" s="610"/>
      <c r="K7" s="610"/>
      <c r="L7" s="610"/>
      <c r="M7" s="610"/>
      <c r="N7" s="610"/>
    </row>
    <row r="8" spans="1:17" ht="15.75" thickBot="1" x14ac:dyDescent="0.25">
      <c r="D8" s="1284" t="s">
        <v>460</v>
      </c>
      <c r="E8" s="1286" t="s">
        <v>461</v>
      </c>
      <c r="F8" s="1286" t="s">
        <v>462</v>
      </c>
      <c r="G8" s="1288" t="s">
        <v>463</v>
      </c>
      <c r="H8" s="1290" t="s">
        <v>495</v>
      </c>
      <c r="I8" s="1291"/>
      <c r="J8" s="1291"/>
      <c r="K8" s="1291"/>
      <c r="L8" s="1291"/>
      <c r="M8" s="1291"/>
      <c r="N8" s="1292"/>
    </row>
    <row r="9" spans="1:17" ht="69.599999999999994" customHeight="1" thickBot="1" x14ac:dyDescent="0.25">
      <c r="D9" s="1285"/>
      <c r="E9" s="1287"/>
      <c r="F9" s="1287"/>
      <c r="G9" s="1289"/>
      <c r="H9" s="611" t="s">
        <v>169</v>
      </c>
      <c r="I9" s="612" t="s">
        <v>170</v>
      </c>
      <c r="J9" s="612" t="s">
        <v>171</v>
      </c>
      <c r="K9" s="612" t="s">
        <v>172</v>
      </c>
      <c r="L9" s="612" t="s">
        <v>181</v>
      </c>
      <c r="M9" s="613" t="s">
        <v>98</v>
      </c>
      <c r="N9" s="614" t="s">
        <v>103</v>
      </c>
      <c r="Q9" s="894" t="s">
        <v>588</v>
      </c>
    </row>
    <row r="10" spans="1:17" ht="11.25" customHeight="1" x14ac:dyDescent="0.2">
      <c r="D10" s="615">
        <v>1</v>
      </c>
      <c r="E10" s="616" t="str">
        <f t="shared" ref="E10:F10" si="0">E39</f>
        <v>Darlington Point 330/132 kV transformers</v>
      </c>
      <c r="F10" s="617" t="str">
        <f t="shared" si="0"/>
        <v>Upgrade cooler banks of 330/132 kV transformers at Darlington Point Substation to increase their rating</v>
      </c>
      <c r="G10" s="618">
        <f>G39</f>
        <v>51000000</v>
      </c>
      <c r="H10" s="803">
        <v>507611.65010042739</v>
      </c>
      <c r="I10" s="804">
        <v>3453195.4750135797</v>
      </c>
      <c r="J10" s="805">
        <v>0</v>
      </c>
      <c r="K10" s="805">
        <v>0</v>
      </c>
      <c r="L10" s="618">
        <v>0</v>
      </c>
      <c r="M10" s="806">
        <f>M39*Input_CPI!X$23</f>
        <v>86781.108749999999</v>
      </c>
      <c r="N10" s="807">
        <f>SUM(H10:L10)</f>
        <v>3960807.1251140069</v>
      </c>
      <c r="Q10" s="891" t="s">
        <v>573</v>
      </c>
    </row>
    <row r="11" spans="1:17" ht="11.25" customHeight="1" x14ac:dyDescent="0.2">
      <c r="D11" s="619">
        <v>2</v>
      </c>
      <c r="E11" s="620" t="str">
        <f t="shared" ref="E11:G11" si="1">E40</f>
        <v>Yass 330/132 kV transformers</v>
      </c>
      <c r="F11" s="621" t="str">
        <f t="shared" si="1"/>
        <v>Installation of online monitoring and dynamic rating system for the Yass 330/132 kV transformers</v>
      </c>
      <c r="G11" s="622">
        <f t="shared" si="1"/>
        <v>24100000</v>
      </c>
      <c r="H11" s="806">
        <v>1046661.4204572202</v>
      </c>
      <c r="I11" s="808">
        <v>476372.93718561908</v>
      </c>
      <c r="J11" s="808">
        <v>0</v>
      </c>
      <c r="K11" s="808">
        <v>0</v>
      </c>
      <c r="L11" s="622">
        <v>0</v>
      </c>
      <c r="M11" s="806">
        <f>M40*Input_CPI!X$23</f>
        <v>33829.923749999994</v>
      </c>
      <c r="N11" s="809">
        <f t="shared" ref="N11:N15" si="2">SUM(H11:L11)</f>
        <v>1523034.3576428392</v>
      </c>
      <c r="Q11" s="892" t="s">
        <v>577</v>
      </c>
    </row>
    <row r="12" spans="1:17" ht="11.25" customHeight="1" x14ac:dyDescent="0.2">
      <c r="D12" s="619">
        <v>3</v>
      </c>
      <c r="E12" s="620" t="str">
        <f t="shared" ref="E12:G12" si="3">E41</f>
        <v>94T Molong to Parkes 132 kV line</v>
      </c>
      <c r="F12" s="621" t="str">
        <f t="shared" si="3"/>
        <v>Install Dynamic Line Rating system</v>
      </c>
      <c r="G12" s="622">
        <f t="shared" si="3"/>
        <v>5600000</v>
      </c>
      <c r="H12" s="806">
        <v>12012.136654280213</v>
      </c>
      <c r="I12" s="808">
        <v>409961.98680507537</v>
      </c>
      <c r="J12" s="808">
        <v>0</v>
      </c>
      <c r="K12" s="808">
        <v>0</v>
      </c>
      <c r="L12" s="622">
        <v>0</v>
      </c>
      <c r="M12" s="806">
        <f>M41*Input_CPI!X$23</f>
        <v>9581.643</v>
      </c>
      <c r="N12" s="809">
        <f t="shared" si="2"/>
        <v>421974.12345935556</v>
      </c>
      <c r="Q12" s="892" t="s">
        <v>576</v>
      </c>
    </row>
    <row r="13" spans="1:17" ht="11.25" customHeight="1" x14ac:dyDescent="0.2">
      <c r="D13" s="619">
        <v>4</v>
      </c>
      <c r="E13" s="620" t="str">
        <f t="shared" ref="E13:G13" si="4">E42</f>
        <v>Balranald 220 kV</v>
      </c>
      <c r="F13" s="621" t="str">
        <f t="shared" si="4"/>
        <v>Install a 20 MVAr capacitor bank at Balranald 220 kV Substation to increase the capacity for generation by 5-10 MW</v>
      </c>
      <c r="G13" s="622">
        <f t="shared" si="4"/>
        <v>4270000</v>
      </c>
      <c r="H13" s="806">
        <v>851988.76758756745</v>
      </c>
      <c r="I13" s="808">
        <v>4359664.8053179458</v>
      </c>
      <c r="J13" s="808">
        <v>0</v>
      </c>
      <c r="K13" s="808">
        <v>0</v>
      </c>
      <c r="L13" s="622">
        <v>0</v>
      </c>
      <c r="M13" s="806">
        <f>M42*Input_CPI!X$23</f>
        <v>114307.31999999999</v>
      </c>
      <c r="N13" s="809">
        <f t="shared" si="2"/>
        <v>5211653.5729055135</v>
      </c>
      <c r="Q13" s="892" t="s">
        <v>575</v>
      </c>
    </row>
    <row r="14" spans="1:17" ht="11.25" customHeight="1" x14ac:dyDescent="0.2">
      <c r="D14" s="619">
        <v>5</v>
      </c>
      <c r="E14" s="620" t="str">
        <f t="shared" ref="E14:G14" si="5">E43</f>
        <v>Multiple</v>
      </c>
      <c r="F14" s="621" t="str">
        <f t="shared" si="5"/>
        <v>To combat climate change, installation of Dynamic Line Ratings on highly utilised lines</v>
      </c>
      <c r="G14" s="622">
        <f t="shared" si="5"/>
        <v>3500000</v>
      </c>
      <c r="H14" s="806">
        <v>40457.139906707482</v>
      </c>
      <c r="I14" s="808">
        <v>113453.04582877229</v>
      </c>
      <c r="J14" s="808">
        <v>4595043.9213108793</v>
      </c>
      <c r="K14" s="808">
        <v>24395.949315959846</v>
      </c>
      <c r="L14" s="622">
        <v>0</v>
      </c>
      <c r="M14" s="806">
        <f>M43*Input_CPI!X$23</f>
        <v>123552.765</v>
      </c>
      <c r="N14" s="809">
        <f t="shared" si="2"/>
        <v>4773350.0563623188</v>
      </c>
      <c r="Q14" s="892" t="s">
        <v>578</v>
      </c>
    </row>
    <row r="15" spans="1:17" ht="11.25" customHeight="1" x14ac:dyDescent="0.2">
      <c r="D15" s="619">
        <v>6</v>
      </c>
      <c r="E15" s="620" t="str">
        <f t="shared" ref="E15:G15" si="6">E44</f>
        <v>Darlington Point 330/220 kV transformers</v>
      </c>
      <c r="F15" s="621" t="str">
        <f t="shared" si="6"/>
        <v>Install transformer tripping scheme on the two 330/220 kV transformers at Darlington Point Substation</v>
      </c>
      <c r="G15" s="622">
        <f t="shared" si="6"/>
        <v>476000</v>
      </c>
      <c r="H15" s="806">
        <v>128188.80723324665</v>
      </c>
      <c r="I15" s="808">
        <v>166097.62415327283</v>
      </c>
      <c r="J15" s="808">
        <v>0</v>
      </c>
      <c r="K15" s="808">
        <v>0</v>
      </c>
      <c r="L15" s="622">
        <v>0</v>
      </c>
      <c r="M15" s="806">
        <f>M44*Input_CPI!X$23</f>
        <v>7711.5416249999998</v>
      </c>
      <c r="N15" s="809">
        <f t="shared" si="2"/>
        <v>294286.43138651946</v>
      </c>
      <c r="Q15" s="892" t="s">
        <v>574</v>
      </c>
    </row>
    <row r="16" spans="1:17" ht="11.25" customHeight="1" x14ac:dyDescent="0.2">
      <c r="D16" s="619">
        <v>7</v>
      </c>
      <c r="E16" s="620"/>
      <c r="F16" s="621"/>
      <c r="G16" s="622"/>
      <c r="H16" s="806"/>
      <c r="I16" s="808"/>
      <c r="J16" s="808"/>
      <c r="K16" s="808"/>
      <c r="L16" s="622"/>
      <c r="M16" s="806"/>
      <c r="N16" s="809"/>
      <c r="Q16" s="892"/>
    </row>
    <row r="17" spans="1:17" ht="11.25" customHeight="1" x14ac:dyDescent="0.2">
      <c r="D17" s="619">
        <v>8</v>
      </c>
      <c r="E17" s="620"/>
      <c r="F17" s="621"/>
      <c r="G17" s="622"/>
      <c r="H17" s="806"/>
      <c r="I17" s="808"/>
      <c r="J17" s="808"/>
      <c r="K17" s="808"/>
      <c r="L17" s="622"/>
      <c r="M17" s="806"/>
      <c r="N17" s="809"/>
      <c r="Q17" s="892"/>
    </row>
    <row r="18" spans="1:17" ht="11.25" customHeight="1" x14ac:dyDescent="0.2">
      <c r="D18" s="619">
        <v>9</v>
      </c>
      <c r="E18" s="620"/>
      <c r="F18" s="621"/>
      <c r="G18" s="622"/>
      <c r="H18" s="806"/>
      <c r="I18" s="808"/>
      <c r="J18" s="808"/>
      <c r="K18" s="808"/>
      <c r="L18" s="622"/>
      <c r="M18" s="806"/>
      <c r="N18" s="809"/>
      <c r="Q18" s="892"/>
    </row>
    <row r="19" spans="1:17" ht="11.25" customHeight="1" x14ac:dyDescent="0.2">
      <c r="D19" s="619">
        <v>10</v>
      </c>
      <c r="E19" s="620"/>
      <c r="F19" s="621"/>
      <c r="G19" s="622"/>
      <c r="H19" s="806"/>
      <c r="I19" s="808"/>
      <c r="J19" s="808"/>
      <c r="K19" s="808"/>
      <c r="L19" s="622"/>
      <c r="M19" s="806"/>
      <c r="N19" s="809"/>
      <c r="Q19" s="892"/>
    </row>
    <row r="20" spans="1:17" ht="11.25" customHeight="1" x14ac:dyDescent="0.2">
      <c r="D20" s="619">
        <v>11</v>
      </c>
      <c r="E20" s="620"/>
      <c r="F20" s="621"/>
      <c r="G20" s="622"/>
      <c r="H20" s="806"/>
      <c r="I20" s="808"/>
      <c r="J20" s="808"/>
      <c r="K20" s="808"/>
      <c r="L20" s="622"/>
      <c r="M20" s="806"/>
      <c r="N20" s="809"/>
      <c r="Q20" s="892"/>
    </row>
    <row r="21" spans="1:17" ht="11.25" customHeight="1" x14ac:dyDescent="0.2">
      <c r="D21" s="619">
        <v>12</v>
      </c>
      <c r="E21" s="620"/>
      <c r="F21" s="621"/>
      <c r="G21" s="622"/>
      <c r="H21" s="806"/>
      <c r="I21" s="808"/>
      <c r="J21" s="808"/>
      <c r="K21" s="808"/>
      <c r="L21" s="622"/>
      <c r="M21" s="806"/>
      <c r="N21" s="809"/>
      <c r="Q21" s="892"/>
    </row>
    <row r="22" spans="1:17" ht="11.25" customHeight="1" x14ac:dyDescent="0.2">
      <c r="D22" s="619">
        <v>13</v>
      </c>
      <c r="E22" s="620"/>
      <c r="F22" s="621"/>
      <c r="G22" s="622"/>
      <c r="H22" s="806"/>
      <c r="I22" s="808"/>
      <c r="J22" s="808"/>
      <c r="K22" s="808"/>
      <c r="L22" s="622"/>
      <c r="M22" s="806"/>
      <c r="N22" s="809"/>
      <c r="Q22" s="892"/>
    </row>
    <row r="23" spans="1:17" ht="11.25" customHeight="1" x14ac:dyDescent="0.2">
      <c r="D23" s="619">
        <v>14</v>
      </c>
      <c r="E23" s="620"/>
      <c r="F23" s="621"/>
      <c r="G23" s="622"/>
      <c r="H23" s="806"/>
      <c r="I23" s="808"/>
      <c r="J23" s="808"/>
      <c r="K23" s="808"/>
      <c r="L23" s="622"/>
      <c r="M23" s="806"/>
      <c r="N23" s="809"/>
      <c r="Q23" s="892"/>
    </row>
    <row r="24" spans="1:17" ht="11.25" customHeight="1" x14ac:dyDescent="0.2">
      <c r="D24" s="619">
        <v>15</v>
      </c>
      <c r="E24" s="620"/>
      <c r="F24" s="621"/>
      <c r="G24" s="622"/>
      <c r="H24" s="806"/>
      <c r="I24" s="808"/>
      <c r="J24" s="808"/>
      <c r="K24" s="808"/>
      <c r="L24" s="622"/>
      <c r="M24" s="806"/>
      <c r="N24" s="809"/>
      <c r="Q24" s="892"/>
    </row>
    <row r="25" spans="1:17" ht="11.25" customHeight="1" x14ac:dyDescent="0.2">
      <c r="D25" s="619">
        <v>16</v>
      </c>
      <c r="E25" s="620"/>
      <c r="F25" s="621"/>
      <c r="G25" s="622"/>
      <c r="H25" s="806"/>
      <c r="I25" s="808"/>
      <c r="J25" s="808"/>
      <c r="K25" s="808"/>
      <c r="L25" s="622"/>
      <c r="M25" s="806"/>
      <c r="N25" s="809"/>
      <c r="Q25" s="892"/>
    </row>
    <row r="26" spans="1:17" ht="11.25" customHeight="1" x14ac:dyDescent="0.2">
      <c r="D26" s="623"/>
      <c r="E26" s="624"/>
      <c r="F26" s="625"/>
      <c r="G26" s="626"/>
      <c r="H26" s="810"/>
      <c r="I26" s="811"/>
      <c r="J26" s="811"/>
      <c r="K26" s="811"/>
      <c r="L26" s="626"/>
      <c r="M26" s="810"/>
      <c r="N26" s="812"/>
      <c r="Q26" s="892"/>
    </row>
    <row r="27" spans="1:17" ht="11.25" customHeight="1" thickBot="1" x14ac:dyDescent="0.25">
      <c r="D27" s="627"/>
      <c r="E27" s="628"/>
      <c r="F27" s="629"/>
      <c r="G27" s="630"/>
      <c r="H27" s="813"/>
      <c r="I27" s="814"/>
      <c r="J27" s="814"/>
      <c r="K27" s="814"/>
      <c r="L27" s="630"/>
      <c r="M27" s="813"/>
      <c r="N27" s="815"/>
      <c r="Q27" s="893"/>
    </row>
    <row r="28" spans="1:17" ht="11.25" customHeight="1" x14ac:dyDescent="0.2"/>
    <row r="29" spans="1:17" ht="11.25" customHeight="1" x14ac:dyDescent="0.2">
      <c r="D29" s="6" t="s">
        <v>179</v>
      </c>
      <c r="H29" s="73">
        <f>SUM(H10:H27)</f>
        <v>2586919.9219394494</v>
      </c>
      <c r="I29" s="73">
        <f t="shared" ref="I29:N29" si="7">SUM(I10:I27)</f>
        <v>8978745.8743042648</v>
      </c>
      <c r="J29" s="73">
        <f t="shared" si="7"/>
        <v>4595043.9213108793</v>
      </c>
      <c r="K29" s="73">
        <f t="shared" si="7"/>
        <v>24395.949315959846</v>
      </c>
      <c r="L29" s="73">
        <f t="shared" si="7"/>
        <v>0</v>
      </c>
      <c r="M29" s="73">
        <f t="shared" si="7"/>
        <v>375764.30212499999</v>
      </c>
      <c r="N29" s="73">
        <f t="shared" si="7"/>
        <v>16185105.666870553</v>
      </c>
    </row>
    <row r="30" spans="1:17" ht="11.25" customHeight="1" x14ac:dyDescent="0.2">
      <c r="D30" s="6" t="s">
        <v>572</v>
      </c>
      <c r="H30" s="69">
        <v>2586919.9219394494</v>
      </c>
      <c r="I30" s="69">
        <v>8978745.8743042648</v>
      </c>
      <c r="J30" s="69">
        <v>4595043.9213108793</v>
      </c>
      <c r="K30" s="69">
        <v>24395.949315959846</v>
      </c>
      <c r="L30" s="69">
        <v>0</v>
      </c>
      <c r="N30" s="73">
        <f>SUM(H30:L30)</f>
        <v>16185105.666870553</v>
      </c>
    </row>
    <row r="31" spans="1:17" ht="11.25" customHeight="1" x14ac:dyDescent="0.2"/>
    <row r="32" spans="1:17" ht="11.25" customHeight="1" x14ac:dyDescent="0.2">
      <c r="A32" s="42">
        <f>IF(SUM($H32:$N32)&gt;0,1,0)</f>
        <v>0</v>
      </c>
      <c r="D32" s="6" t="s">
        <v>183</v>
      </c>
      <c r="H32" s="70">
        <f>IF(ROUND(H29-H30,3)&lt;&gt;0,1,0)</f>
        <v>0</v>
      </c>
      <c r="I32" s="70">
        <f t="shared" ref="I32:N32" si="8">IF(ROUND(I29-I30,3)&lt;&gt;0,1,0)</f>
        <v>0</v>
      </c>
      <c r="J32" s="70">
        <f t="shared" si="8"/>
        <v>0</v>
      </c>
      <c r="K32" s="70">
        <f t="shared" si="8"/>
        <v>0</v>
      </c>
      <c r="L32" s="70">
        <f t="shared" si="8"/>
        <v>0</v>
      </c>
      <c r="N32" s="70">
        <f t="shared" si="8"/>
        <v>0</v>
      </c>
    </row>
    <row r="33" spans="1:14" ht="11.25" customHeight="1" x14ac:dyDescent="0.2"/>
    <row r="34" spans="1:14" s="7" customFormat="1" ht="15" x14ac:dyDescent="0.2">
      <c r="C34" s="7" t="s">
        <v>379</v>
      </c>
    </row>
    <row r="35" spans="1:14" ht="11.25" customHeight="1" thickBot="1" x14ac:dyDescent="0.25"/>
    <row r="36" spans="1:14" ht="19.5" thickBot="1" x14ac:dyDescent="0.25">
      <c r="D36" s="610" t="s">
        <v>459</v>
      </c>
      <c r="E36" s="610"/>
      <c r="F36" s="610"/>
      <c r="G36" s="610"/>
      <c r="H36" s="610"/>
      <c r="I36" s="610"/>
      <c r="J36" s="610"/>
      <c r="K36" s="610"/>
      <c r="L36" s="610"/>
      <c r="M36" s="610"/>
      <c r="N36" s="610"/>
    </row>
    <row r="37" spans="1:14" ht="15" x14ac:dyDescent="0.2">
      <c r="D37" s="1284" t="s">
        <v>460</v>
      </c>
      <c r="E37" s="1286" t="s">
        <v>461</v>
      </c>
      <c r="F37" s="1286" t="s">
        <v>462</v>
      </c>
      <c r="G37" s="1288" t="s">
        <v>463</v>
      </c>
      <c r="H37" s="1290" t="s">
        <v>464</v>
      </c>
      <c r="I37" s="1291"/>
      <c r="J37" s="1291"/>
      <c r="K37" s="1291"/>
      <c r="L37" s="1291"/>
      <c r="M37" s="1291"/>
      <c r="N37" s="1292"/>
    </row>
    <row r="38" spans="1:14" ht="15.75" thickBot="1" x14ac:dyDescent="0.25">
      <c r="D38" s="1285"/>
      <c r="E38" s="1287"/>
      <c r="F38" s="1287"/>
      <c r="G38" s="1289"/>
      <c r="H38" s="611" t="s">
        <v>169</v>
      </c>
      <c r="I38" s="612" t="s">
        <v>170</v>
      </c>
      <c r="J38" s="612" t="s">
        <v>171</v>
      </c>
      <c r="K38" s="612" t="s">
        <v>172</v>
      </c>
      <c r="L38" s="612" t="s">
        <v>181</v>
      </c>
      <c r="M38" s="613" t="s">
        <v>98</v>
      </c>
      <c r="N38" s="614" t="s">
        <v>103</v>
      </c>
    </row>
    <row r="39" spans="1:14" ht="12.75" x14ac:dyDescent="0.2">
      <c r="A39" s="42">
        <f>IF(ROUND(SUM(H39:L39)-SUM(N39),4)&lt;&gt;0,1,0)</f>
        <v>0</v>
      </c>
      <c r="D39" s="615">
        <v>1</v>
      </c>
      <c r="E39" s="616" t="s">
        <v>852</v>
      </c>
      <c r="F39" s="617" t="s">
        <v>853</v>
      </c>
      <c r="G39" s="618">
        <v>51000000</v>
      </c>
      <c r="H39" s="874"/>
      <c r="I39" s="875"/>
      <c r="J39" s="876"/>
      <c r="K39" s="876"/>
      <c r="L39" s="877"/>
      <c r="M39" s="806">
        <v>82600</v>
      </c>
      <c r="N39" s="887"/>
    </row>
    <row r="40" spans="1:14" ht="12.75" x14ac:dyDescent="0.2">
      <c r="A40" s="42">
        <f t="shared" ref="A40:A56" si="9">IF(ROUND(SUM(H40:L40)-SUM(N40),4)&lt;&gt;0,1,0)</f>
        <v>0</v>
      </c>
      <c r="D40" s="619">
        <v>2</v>
      </c>
      <c r="E40" s="620" t="s">
        <v>854</v>
      </c>
      <c r="F40" s="621" t="s">
        <v>855</v>
      </c>
      <c r="G40" s="622">
        <v>24100000</v>
      </c>
      <c r="H40" s="878"/>
      <c r="I40" s="879"/>
      <c r="J40" s="879"/>
      <c r="K40" s="879"/>
      <c r="L40" s="880"/>
      <c r="M40" s="806">
        <v>32200</v>
      </c>
      <c r="N40" s="888"/>
    </row>
    <row r="41" spans="1:14" ht="12.75" x14ac:dyDescent="0.2">
      <c r="A41" s="42">
        <f t="shared" si="9"/>
        <v>0</v>
      </c>
      <c r="D41" s="619">
        <v>3</v>
      </c>
      <c r="E41" s="620" t="s">
        <v>856</v>
      </c>
      <c r="F41" s="621" t="s">
        <v>857</v>
      </c>
      <c r="G41" s="622">
        <v>5600000</v>
      </c>
      <c r="H41" s="878"/>
      <c r="I41" s="879"/>
      <c r="J41" s="879"/>
      <c r="K41" s="879"/>
      <c r="L41" s="880"/>
      <c r="M41" s="806">
        <v>9120</v>
      </c>
      <c r="N41" s="888"/>
    </row>
    <row r="42" spans="1:14" ht="12.75" x14ac:dyDescent="0.2">
      <c r="A42" s="42">
        <f t="shared" si="9"/>
        <v>0</v>
      </c>
      <c r="D42" s="619">
        <v>4</v>
      </c>
      <c r="E42" s="620" t="s">
        <v>858</v>
      </c>
      <c r="F42" s="621" t="s">
        <v>859</v>
      </c>
      <c r="G42" s="622">
        <v>4270000</v>
      </c>
      <c r="H42" s="878"/>
      <c r="I42" s="879"/>
      <c r="J42" s="879"/>
      <c r="K42" s="879"/>
      <c r="L42" s="880"/>
      <c r="M42" s="806">
        <v>108800</v>
      </c>
      <c r="N42" s="888"/>
    </row>
    <row r="43" spans="1:14" ht="12.75" x14ac:dyDescent="0.2">
      <c r="A43" s="42">
        <f t="shared" si="9"/>
        <v>0</v>
      </c>
      <c r="D43" s="619">
        <v>5</v>
      </c>
      <c r="E43" s="620" t="s">
        <v>860</v>
      </c>
      <c r="F43" s="621" t="s">
        <v>861</v>
      </c>
      <c r="G43" s="622">
        <v>3500000</v>
      </c>
      <c r="H43" s="878"/>
      <c r="I43" s="879"/>
      <c r="J43" s="879"/>
      <c r="K43" s="879"/>
      <c r="L43" s="880"/>
      <c r="M43" s="806">
        <v>117600</v>
      </c>
      <c r="N43" s="888"/>
    </row>
    <row r="44" spans="1:14" ht="12.75" x14ac:dyDescent="0.2">
      <c r="A44" s="42">
        <f t="shared" si="9"/>
        <v>0</v>
      </c>
      <c r="D44" s="619">
        <v>6</v>
      </c>
      <c r="E44" s="620" t="s">
        <v>862</v>
      </c>
      <c r="F44" s="621" t="s">
        <v>863</v>
      </c>
      <c r="G44" s="622">
        <v>476000</v>
      </c>
      <c r="H44" s="878"/>
      <c r="I44" s="879"/>
      <c r="J44" s="879"/>
      <c r="K44" s="879"/>
      <c r="L44" s="880"/>
      <c r="M44" s="806">
        <v>7340</v>
      </c>
      <c r="N44" s="888"/>
    </row>
    <row r="45" spans="1:14" ht="12.75" x14ac:dyDescent="0.2">
      <c r="A45" s="42">
        <f t="shared" si="9"/>
        <v>0</v>
      </c>
      <c r="D45" s="619">
        <v>7</v>
      </c>
      <c r="E45" s="620"/>
      <c r="F45" s="621"/>
      <c r="G45" s="622"/>
      <c r="H45" s="878"/>
      <c r="I45" s="879"/>
      <c r="J45" s="879"/>
      <c r="K45" s="879"/>
      <c r="L45" s="880"/>
      <c r="M45" s="806"/>
      <c r="N45" s="888"/>
    </row>
    <row r="46" spans="1:14" ht="12.75" x14ac:dyDescent="0.2">
      <c r="A46" s="42">
        <f t="shared" si="9"/>
        <v>0</v>
      </c>
      <c r="D46" s="619">
        <v>8</v>
      </c>
      <c r="E46" s="620"/>
      <c r="F46" s="621"/>
      <c r="G46" s="622"/>
      <c r="H46" s="878"/>
      <c r="I46" s="879"/>
      <c r="J46" s="879"/>
      <c r="K46" s="879"/>
      <c r="L46" s="880"/>
      <c r="M46" s="806"/>
      <c r="N46" s="888"/>
    </row>
    <row r="47" spans="1:14" ht="12.75" x14ac:dyDescent="0.2">
      <c r="A47" s="42">
        <f t="shared" si="9"/>
        <v>0</v>
      </c>
      <c r="D47" s="619">
        <v>9</v>
      </c>
      <c r="E47" s="620"/>
      <c r="F47" s="621"/>
      <c r="G47" s="622"/>
      <c r="H47" s="878"/>
      <c r="I47" s="879"/>
      <c r="J47" s="879"/>
      <c r="K47" s="879"/>
      <c r="L47" s="880"/>
      <c r="M47" s="806"/>
      <c r="N47" s="888"/>
    </row>
    <row r="48" spans="1:14" ht="12.75" x14ac:dyDescent="0.2">
      <c r="A48" s="42">
        <f t="shared" si="9"/>
        <v>0</v>
      </c>
      <c r="D48" s="619">
        <v>10</v>
      </c>
      <c r="E48" s="620"/>
      <c r="F48" s="621"/>
      <c r="G48" s="622"/>
      <c r="H48" s="878"/>
      <c r="I48" s="879"/>
      <c r="J48" s="879"/>
      <c r="K48" s="879"/>
      <c r="L48" s="880"/>
      <c r="M48" s="806"/>
      <c r="N48" s="888"/>
    </row>
    <row r="49" spans="1:14" ht="12.75" x14ac:dyDescent="0.2">
      <c r="A49" s="42">
        <f t="shared" si="9"/>
        <v>0</v>
      </c>
      <c r="D49" s="619">
        <v>11</v>
      </c>
      <c r="E49" s="620"/>
      <c r="F49" s="621"/>
      <c r="G49" s="622"/>
      <c r="H49" s="878"/>
      <c r="I49" s="879"/>
      <c r="J49" s="879"/>
      <c r="K49" s="879"/>
      <c r="L49" s="880"/>
      <c r="M49" s="806"/>
      <c r="N49" s="888"/>
    </row>
    <row r="50" spans="1:14" ht="12.75" x14ac:dyDescent="0.2">
      <c r="A50" s="42">
        <f t="shared" si="9"/>
        <v>0</v>
      </c>
      <c r="D50" s="619">
        <v>12</v>
      </c>
      <c r="E50" s="620"/>
      <c r="F50" s="621"/>
      <c r="G50" s="622"/>
      <c r="H50" s="878"/>
      <c r="I50" s="879"/>
      <c r="J50" s="879"/>
      <c r="K50" s="879"/>
      <c r="L50" s="880"/>
      <c r="M50" s="806"/>
      <c r="N50" s="888"/>
    </row>
    <row r="51" spans="1:14" ht="12.75" x14ac:dyDescent="0.2">
      <c r="A51" s="42">
        <f t="shared" si="9"/>
        <v>0</v>
      </c>
      <c r="D51" s="619">
        <v>13</v>
      </c>
      <c r="E51" s="620"/>
      <c r="F51" s="621"/>
      <c r="G51" s="622"/>
      <c r="H51" s="878"/>
      <c r="I51" s="879"/>
      <c r="J51" s="879"/>
      <c r="K51" s="879"/>
      <c r="L51" s="880"/>
      <c r="M51" s="806"/>
      <c r="N51" s="888"/>
    </row>
    <row r="52" spans="1:14" ht="12.75" x14ac:dyDescent="0.2">
      <c r="A52" s="42">
        <f t="shared" si="9"/>
        <v>0</v>
      </c>
      <c r="D52" s="619">
        <v>14</v>
      </c>
      <c r="E52" s="620"/>
      <c r="F52" s="621"/>
      <c r="G52" s="622"/>
      <c r="H52" s="878"/>
      <c r="I52" s="879"/>
      <c r="J52" s="879"/>
      <c r="K52" s="879"/>
      <c r="L52" s="880"/>
      <c r="M52" s="806"/>
      <c r="N52" s="888"/>
    </row>
    <row r="53" spans="1:14" ht="12.75" x14ac:dyDescent="0.2">
      <c r="A53" s="42">
        <f t="shared" si="9"/>
        <v>0</v>
      </c>
      <c r="D53" s="619">
        <v>15</v>
      </c>
      <c r="E53" s="620"/>
      <c r="F53" s="621"/>
      <c r="G53" s="622"/>
      <c r="H53" s="878"/>
      <c r="I53" s="879"/>
      <c r="J53" s="879"/>
      <c r="K53" s="879"/>
      <c r="L53" s="880"/>
      <c r="M53" s="806"/>
      <c r="N53" s="888"/>
    </row>
    <row r="54" spans="1:14" ht="12.75" x14ac:dyDescent="0.2">
      <c r="A54" s="42">
        <f t="shared" si="9"/>
        <v>0</v>
      </c>
      <c r="D54" s="619">
        <v>16</v>
      </c>
      <c r="E54" s="620"/>
      <c r="F54" s="621"/>
      <c r="G54" s="622"/>
      <c r="H54" s="878"/>
      <c r="I54" s="879"/>
      <c r="J54" s="879"/>
      <c r="K54" s="879"/>
      <c r="L54" s="880"/>
      <c r="M54" s="806"/>
      <c r="N54" s="888"/>
    </row>
    <row r="55" spans="1:14" ht="12.75" x14ac:dyDescent="0.2">
      <c r="A55" s="42">
        <f t="shared" si="9"/>
        <v>0</v>
      </c>
      <c r="D55" s="623"/>
      <c r="E55" s="624"/>
      <c r="F55" s="625"/>
      <c r="G55" s="626"/>
      <c r="H55" s="881"/>
      <c r="I55" s="882"/>
      <c r="J55" s="882"/>
      <c r="K55" s="882"/>
      <c r="L55" s="883"/>
      <c r="M55" s="810"/>
      <c r="N55" s="889"/>
    </row>
    <row r="56" spans="1:14" ht="13.5" thickBot="1" x14ac:dyDescent="0.25">
      <c r="A56" s="42">
        <f t="shared" si="9"/>
        <v>0</v>
      </c>
      <c r="D56" s="627"/>
      <c r="E56" s="628"/>
      <c r="F56" s="629"/>
      <c r="G56" s="630"/>
      <c r="H56" s="884"/>
      <c r="I56" s="885"/>
      <c r="J56" s="885"/>
      <c r="K56" s="885"/>
      <c r="L56" s="886"/>
      <c r="M56" s="813"/>
      <c r="N56" s="890"/>
    </row>
    <row r="57" spans="1:14" ht="11.25" customHeight="1" x14ac:dyDescent="0.2"/>
    <row r="58" spans="1:14" ht="11.25" customHeight="1" x14ac:dyDescent="0.2">
      <c r="D58" s="6" t="s">
        <v>572</v>
      </c>
      <c r="G58" s="69">
        <v>88946000</v>
      </c>
      <c r="M58" s="69">
        <v>357660</v>
      </c>
    </row>
    <row r="59" spans="1:14" ht="11.25" customHeight="1" x14ac:dyDescent="0.2">
      <c r="A59" s="42">
        <f>IF(SUM($H59:$N59)&gt;0,1,0)</f>
        <v>0</v>
      </c>
      <c r="D59" s="6" t="s">
        <v>183</v>
      </c>
      <c r="G59" s="70">
        <f>IF(ROUND(SUM(G39:G56)-G58,3)&lt;&gt;0,1,0)</f>
        <v>0</v>
      </c>
      <c r="M59" s="70">
        <f t="shared" ref="M59" si="10">IF(ROUND(SUM(M39:M56)-M58,3)&lt;&gt;0,1,0)</f>
        <v>0</v>
      </c>
    </row>
    <row r="61" spans="1:14" s="47" customFormat="1" ht="15.75" x14ac:dyDescent="0.2">
      <c r="B61" s="47" t="s">
        <v>32</v>
      </c>
    </row>
  </sheetData>
  <mergeCells count="10">
    <mergeCell ref="D37:D38"/>
    <mergeCell ref="E37:E38"/>
    <mergeCell ref="F37:F38"/>
    <mergeCell ref="G37:G38"/>
    <mergeCell ref="H37:N37"/>
    <mergeCell ref="D8:D9"/>
    <mergeCell ref="E8:E9"/>
    <mergeCell ref="F8:F9"/>
    <mergeCell ref="G8:G9"/>
    <mergeCell ref="H8:N8"/>
  </mergeCells>
  <conditionalFormatting sqref="B2">
    <cfRule type="cellIs" dxfId="33" priority="17" operator="notEqual">
      <formula>"No Errors Found"</formula>
    </cfRule>
  </conditionalFormatting>
  <conditionalFormatting sqref="T39:T57">
    <cfRule type="expression" dxfId="32" priority="16">
      <formula>(dms_FRCPlength_Num)&lt;5</formula>
    </cfRule>
  </conditionalFormatting>
  <conditionalFormatting sqref="L17:L18">
    <cfRule type="expression" dxfId="31" priority="2">
      <formula>(dms_FRCPlength_Num)&lt;5</formula>
    </cfRule>
  </conditionalFormatting>
  <conditionalFormatting sqref="L48">
    <cfRule type="expression" dxfId="30" priority="7">
      <formula>(dms_FRCPlength_Num)&lt;5</formula>
    </cfRule>
  </conditionalFormatting>
  <conditionalFormatting sqref="L39:L45 L54:L56 L49">
    <cfRule type="expression" dxfId="29" priority="12">
      <formula>(dms_FRCPlength_Num)&lt;5</formula>
    </cfRule>
  </conditionalFormatting>
  <conditionalFormatting sqref="L52:L53">
    <cfRule type="expression" dxfId="28" priority="11">
      <formula>(dms_FRCPlength_Num)&lt;5</formula>
    </cfRule>
  </conditionalFormatting>
  <conditionalFormatting sqref="L51">
    <cfRule type="expression" dxfId="27" priority="10">
      <formula>(dms_FRCPlength_Num)&lt;5</formula>
    </cfRule>
  </conditionalFormatting>
  <conditionalFormatting sqref="L50">
    <cfRule type="expression" dxfId="26" priority="9">
      <formula>(dms_FRCPlength_Num)&lt;5</formula>
    </cfRule>
  </conditionalFormatting>
  <conditionalFormatting sqref="L46:L47">
    <cfRule type="expression" dxfId="25" priority="8">
      <formula>(dms_FRCPlength_Num)&lt;5</formula>
    </cfRule>
  </conditionalFormatting>
  <conditionalFormatting sqref="L10:L16 L25:L27 L20">
    <cfRule type="expression" dxfId="24" priority="6">
      <formula>(dms_FRCPlength_Num)&lt;5</formula>
    </cfRule>
  </conditionalFormatting>
  <conditionalFormatting sqref="L23:L24">
    <cfRule type="expression" dxfId="23" priority="5">
      <formula>(dms_FRCPlength_Num)&lt;5</formula>
    </cfRule>
  </conditionalFormatting>
  <conditionalFormatting sqref="L22">
    <cfRule type="expression" dxfId="22" priority="4">
      <formula>(dms_FRCPlength_Num)&lt;5</formula>
    </cfRule>
  </conditionalFormatting>
  <conditionalFormatting sqref="L21">
    <cfRule type="expression" dxfId="21" priority="3">
      <formula>(dms_FRCPlength_Num)&lt;5</formula>
    </cfRule>
  </conditionalFormatting>
  <conditionalFormatting sqref="L19">
    <cfRule type="expression" dxfId="20" priority="1">
      <formula>(dms_FRCPlength_Num)&lt;5</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122"/>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P18" sqref="P18"/>
    </sheetView>
  </sheetViews>
  <sheetFormatPr defaultColWidth="9.33203125" defaultRowHeight="11.25" outlineLevelRow="1" x14ac:dyDescent="0.2"/>
  <cols>
    <col min="1" max="3" width="3.6640625" style="46" customWidth="1"/>
    <col min="4" max="4" width="62.83203125" style="46" customWidth="1"/>
    <col min="5" max="6" width="15.6640625" style="46" customWidth="1"/>
    <col min="7" max="11" width="16.33203125" style="46" bestFit="1" customWidth="1"/>
    <col min="12" max="31" width="10.6640625" style="46" customWidth="1"/>
    <col min="32" max="16384" width="9.33203125" style="46"/>
  </cols>
  <sheetData>
    <row r="1" spans="1:11" ht="19.5" x14ac:dyDescent="0.2">
      <c r="A1" s="42">
        <f>IF(SUM($A2:$A120)&gt;0,1,0)</f>
        <v>0</v>
      </c>
      <c r="B1" s="3" t="s">
        <v>339</v>
      </c>
    </row>
    <row r="2" spans="1:11" x14ac:dyDescent="0.2">
      <c r="B2" s="9" t="str">
        <f>Title_Msg</f>
        <v>No Errors Found</v>
      </c>
    </row>
    <row r="3" spans="1:11" s="47" customFormat="1" ht="15.75" x14ac:dyDescent="0.2">
      <c r="B3" s="47" t="str">
        <f>WkB_1_2.1.1!$B$3</f>
        <v>Data required to populate TransGrid's 2023-28 regulatory submission</v>
      </c>
    </row>
    <row r="4" spans="1:11" ht="4.5" customHeight="1" x14ac:dyDescent="0.2"/>
    <row r="5" spans="1:11" s="7" customFormat="1" ht="15" x14ac:dyDescent="0.2">
      <c r="C5" s="7" t="str">
        <f>WkB_1_2.1.1!$C$5</f>
        <v>Output - RIN template</v>
      </c>
    </row>
    <row r="6" spans="1:11" ht="11.25" customHeight="1" x14ac:dyDescent="0.2"/>
    <row r="7" spans="1:11" ht="19.5" thickBot="1" x14ac:dyDescent="0.3">
      <c r="D7" s="51" t="str">
        <f>B1</f>
        <v>8.2.7 - Immediate Expensing Of Capex</v>
      </c>
      <c r="E7" s="52"/>
      <c r="F7" s="52"/>
      <c r="G7" s="52"/>
      <c r="H7" s="52"/>
      <c r="I7" s="52"/>
      <c r="J7" s="52"/>
      <c r="K7" s="52"/>
    </row>
    <row r="8" spans="1:11" ht="15.75" thickBot="1" x14ac:dyDescent="0.25">
      <c r="D8" s="127" t="s">
        <v>211</v>
      </c>
      <c r="E8" s="128"/>
      <c r="F8" s="128"/>
      <c r="G8" s="128"/>
      <c r="H8" s="128"/>
      <c r="I8" s="128"/>
      <c r="J8" s="128"/>
      <c r="K8" s="128"/>
    </row>
    <row r="9" spans="1:11" ht="47.65" customHeight="1" thickBot="1" x14ac:dyDescent="0.25">
      <c r="D9"/>
      <c r="E9" s="186" t="s">
        <v>589</v>
      </c>
      <c r="F9" s="1085" t="str">
        <f>WkB_1_2.1.1!$E$8</f>
        <v>Forecast 
($0's. real June 2023)</v>
      </c>
      <c r="G9" s="1085"/>
      <c r="H9" s="1085"/>
      <c r="I9" s="1085"/>
      <c r="J9" s="1085"/>
      <c r="K9" s="1086"/>
    </row>
    <row r="10" spans="1:11" ht="18.600000000000001" customHeight="1" thickBot="1" x14ac:dyDescent="0.25">
      <c r="D10"/>
      <c r="E10" s="53" t="str">
        <f>WkB_1_2.1.1!$E$9</f>
        <v>2021-22</v>
      </c>
      <c r="F10" s="54" t="str">
        <f>WkB_1_2.1.1!$F$9</f>
        <v>2022-23</v>
      </c>
      <c r="G10" s="55" t="str">
        <f>WkB_1_2.1.1!$G$9</f>
        <v>2023-24</v>
      </c>
      <c r="H10" s="56" t="str">
        <f>WkB_1_2.1.1!$H$9</f>
        <v>2024-25</v>
      </c>
      <c r="I10" s="56" t="str">
        <f>WkB_1_2.1.1!$I$9</f>
        <v>2025-26</v>
      </c>
      <c r="J10" s="56" t="str">
        <f>WkB_1_2.1.1!$J$9</f>
        <v>2026-27</v>
      </c>
      <c r="K10" s="57" t="str">
        <f>WkB_1_2.1.1!$K$9</f>
        <v>2027-28</v>
      </c>
    </row>
    <row r="11" spans="1:11" ht="15" x14ac:dyDescent="0.25">
      <c r="D11" s="116" t="s">
        <v>868</v>
      </c>
      <c r="E11" s="59">
        <f>SUMIF($G$72:$G$119,$D11,E$72:E$119)*Input_CPI!R$24</f>
        <v>0</v>
      </c>
      <c r="F11" s="59">
        <f>SUMIF($G$72:$G$119,$D11,F$72:F$119)*Input_CPI!S$23</f>
        <v>0</v>
      </c>
      <c r="G11" s="59">
        <v>0</v>
      </c>
      <c r="H11" s="59">
        <v>0</v>
      </c>
      <c r="I11" s="59">
        <v>0</v>
      </c>
      <c r="J11" s="59">
        <v>0</v>
      </c>
      <c r="K11" s="1063">
        <v>0</v>
      </c>
    </row>
    <row r="12" spans="1:11" ht="15" x14ac:dyDescent="0.25">
      <c r="D12" s="117" t="s">
        <v>869</v>
      </c>
      <c r="E12" s="63">
        <f>SUMIF($G$72:$G$119,$D12,E$72:E$119)*Input_CPI!R$24</f>
        <v>0</v>
      </c>
      <c r="F12" s="63">
        <f>SUMIF($G$72:$G$119,$D12,F$72:F$119)*Input_CPI!S$23</f>
        <v>0</v>
      </c>
      <c r="G12" s="63">
        <v>0</v>
      </c>
      <c r="H12" s="63">
        <v>0</v>
      </c>
      <c r="I12" s="63">
        <v>0</v>
      </c>
      <c r="J12" s="63">
        <v>0</v>
      </c>
      <c r="K12" s="1064">
        <v>0</v>
      </c>
    </row>
    <row r="13" spans="1:11" ht="15" x14ac:dyDescent="0.25">
      <c r="D13" s="118" t="s">
        <v>870</v>
      </c>
      <c r="E13" s="63">
        <f>SUMIF($G$72:$G$119,$D13,E$72:E$119)*Input_CPI!R$24</f>
        <v>0</v>
      </c>
      <c r="F13" s="63">
        <f>SUMIF($G$72:$G$119,$D13,F$72:F$119)*Input_CPI!S$23</f>
        <v>0</v>
      </c>
      <c r="G13" s="63">
        <v>0</v>
      </c>
      <c r="H13" s="63">
        <v>0</v>
      </c>
      <c r="I13" s="63">
        <v>0</v>
      </c>
      <c r="J13" s="63">
        <v>0</v>
      </c>
      <c r="K13" s="1064">
        <v>0</v>
      </c>
    </row>
    <row r="14" spans="1:11" ht="15" x14ac:dyDescent="0.25">
      <c r="D14" s="118" t="s">
        <v>871</v>
      </c>
      <c r="E14" s="63">
        <f>SUMIF($G$72:$G$119,$D14,E$72:E$119)*Input_CPI!R$24</f>
        <v>0</v>
      </c>
      <c r="F14" s="63">
        <f>SUMIF($G$72:$G$119,$D14,F$72:F$119)*Input_CPI!S$23</f>
        <v>0</v>
      </c>
      <c r="G14" s="63">
        <v>0</v>
      </c>
      <c r="H14" s="63">
        <v>0</v>
      </c>
      <c r="I14" s="63">
        <v>0</v>
      </c>
      <c r="J14" s="63">
        <v>0</v>
      </c>
      <c r="K14" s="1064">
        <v>0</v>
      </c>
    </row>
    <row r="15" spans="1:11" ht="15" x14ac:dyDescent="0.25">
      <c r="D15" s="118" t="s">
        <v>872</v>
      </c>
      <c r="E15" s="63">
        <f>SUMIF($G$72:$G$119,$D15,E$72:E$119)*Input_CPI!R$24</f>
        <v>0</v>
      </c>
      <c r="F15" s="63">
        <f>SUMIF($G$72:$G$119,$D15,F$72:F$119)*Input_CPI!S$23</f>
        <v>0</v>
      </c>
      <c r="G15" s="63">
        <v>0</v>
      </c>
      <c r="H15" s="63">
        <v>0</v>
      </c>
      <c r="I15" s="63">
        <v>0</v>
      </c>
      <c r="J15" s="63">
        <v>0</v>
      </c>
      <c r="K15" s="1064">
        <v>0</v>
      </c>
    </row>
    <row r="16" spans="1:11" ht="15" x14ac:dyDescent="0.25">
      <c r="D16" s="118" t="s">
        <v>873</v>
      </c>
      <c r="E16" s="63">
        <f>SUMIF($G$72:$G$119,$D16,E$72:E$119)*Input_CPI!R$24</f>
        <v>0</v>
      </c>
      <c r="F16" s="63">
        <f>SUMIF($G$72:$G$119,$D16,F$72:F$119)*Input_CPI!S$23</f>
        <v>0</v>
      </c>
      <c r="G16" s="63">
        <v>0</v>
      </c>
      <c r="H16" s="63">
        <v>0</v>
      </c>
      <c r="I16" s="63">
        <v>0</v>
      </c>
      <c r="J16" s="63">
        <v>0</v>
      </c>
      <c r="K16" s="1064">
        <v>0</v>
      </c>
    </row>
    <row r="17" spans="4:11" ht="15" x14ac:dyDescent="0.25">
      <c r="D17" s="118" t="s">
        <v>874</v>
      </c>
      <c r="E17" s="63">
        <f>SUMIF($G$72:$G$119,$D17,E$72:E$119)*Input_CPI!R$24</f>
        <v>0</v>
      </c>
      <c r="F17" s="63">
        <f>SUMIF($G$72:$G$119,$D17,F$72:F$119)*Input_CPI!S$23</f>
        <v>0</v>
      </c>
      <c r="G17" s="63">
        <v>0</v>
      </c>
      <c r="H17" s="63">
        <v>0</v>
      </c>
      <c r="I17" s="63">
        <v>0</v>
      </c>
      <c r="J17" s="63">
        <v>0</v>
      </c>
      <c r="K17" s="1064">
        <v>0</v>
      </c>
    </row>
    <row r="18" spans="4:11" ht="15" x14ac:dyDescent="0.25">
      <c r="D18" s="118" t="s">
        <v>875</v>
      </c>
      <c r="E18" s="63">
        <f>SUMIF($G$72:$G$119,$D18,E$72:E$119)*Input_CPI!R$24</f>
        <v>0</v>
      </c>
      <c r="F18" s="63">
        <f>SUMIF($G$72:$G$119,$D18,F$72:F$119)*Input_CPI!S$23</f>
        <v>0</v>
      </c>
      <c r="G18" s="63">
        <v>0</v>
      </c>
      <c r="H18" s="63">
        <v>0</v>
      </c>
      <c r="I18" s="63">
        <v>0</v>
      </c>
      <c r="J18" s="63">
        <v>0</v>
      </c>
      <c r="K18" s="1064">
        <v>0</v>
      </c>
    </row>
    <row r="19" spans="4:11" ht="15" x14ac:dyDescent="0.25">
      <c r="D19" s="118" t="s">
        <v>876</v>
      </c>
      <c r="E19" s="63">
        <f>SUMIF($G$72:$G$119,$D19,E$72:E$119)*Input_CPI!R$24</f>
        <v>0</v>
      </c>
      <c r="F19" s="63">
        <f>SUMIF($G$72:$G$119,$D19,F$72:F$119)*Input_CPI!S$23</f>
        <v>0</v>
      </c>
      <c r="G19" s="63">
        <v>0</v>
      </c>
      <c r="H19" s="63">
        <v>0</v>
      </c>
      <c r="I19" s="63">
        <v>0</v>
      </c>
      <c r="J19" s="63">
        <v>0</v>
      </c>
      <c r="K19" s="1064">
        <v>0</v>
      </c>
    </row>
    <row r="20" spans="4:11" ht="15" x14ac:dyDescent="0.25">
      <c r="D20" s="118" t="s">
        <v>877</v>
      </c>
      <c r="E20" s="63">
        <f>SUMIF($G$72:$G$119,$D20,E$72:E$119)*Input_CPI!R$24</f>
        <v>0</v>
      </c>
      <c r="F20" s="63">
        <f>SUMIF($G$72:$G$119,$D20,F$72:F$119)*Input_CPI!S$23</f>
        <v>0</v>
      </c>
      <c r="G20" s="63">
        <v>0</v>
      </c>
      <c r="H20" s="63">
        <v>0</v>
      </c>
      <c r="I20" s="63">
        <v>0</v>
      </c>
      <c r="J20" s="63">
        <v>0</v>
      </c>
      <c r="K20" s="1064">
        <v>0</v>
      </c>
    </row>
    <row r="21" spans="4:11" ht="15" x14ac:dyDescent="0.25">
      <c r="D21" s="118" t="s">
        <v>878</v>
      </c>
      <c r="E21" s="63">
        <f>SUMIF($G$72:$G$119,$D21,E$72:E$119)*Input_CPI!R$24</f>
        <v>0</v>
      </c>
      <c r="F21" s="63">
        <f>SUMIF($G$72:$G$119,$D21,F$72:F$119)*Input_CPI!S$23</f>
        <v>0</v>
      </c>
      <c r="G21" s="63">
        <v>0</v>
      </c>
      <c r="H21" s="63">
        <v>0</v>
      </c>
      <c r="I21" s="63">
        <v>0</v>
      </c>
      <c r="J21" s="63">
        <v>0</v>
      </c>
      <c r="K21" s="1064">
        <v>0</v>
      </c>
    </row>
    <row r="22" spans="4:11" ht="15" x14ac:dyDescent="0.25">
      <c r="D22" s="118" t="s">
        <v>879</v>
      </c>
      <c r="E22" s="63">
        <f>SUMIF($G$72:$G$119,$D22,E$72:E$119)*Input_CPI!R$24</f>
        <v>0</v>
      </c>
      <c r="F22" s="63">
        <f>SUMIF($G$72:$G$119,$D22,F$72:F$119)*Input_CPI!S$23</f>
        <v>0</v>
      </c>
      <c r="G22" s="63">
        <v>0</v>
      </c>
      <c r="H22" s="63">
        <v>0</v>
      </c>
      <c r="I22" s="63">
        <v>0</v>
      </c>
      <c r="J22" s="63">
        <v>0</v>
      </c>
      <c r="K22" s="1064">
        <v>0</v>
      </c>
    </row>
    <row r="23" spans="4:11" ht="15" x14ac:dyDescent="0.25">
      <c r="D23" s="118" t="s">
        <v>880</v>
      </c>
      <c r="E23" s="63">
        <f>SUMIF($G$72:$G$119,$D23,E$72:E$119)*Input_CPI!R$24</f>
        <v>0</v>
      </c>
      <c r="F23" s="63">
        <f>SUMIF($G$72:$G$119,$D23,F$72:F$119)*Input_CPI!S$23</f>
        <v>0</v>
      </c>
      <c r="G23" s="63">
        <v>0</v>
      </c>
      <c r="H23" s="63">
        <v>0</v>
      </c>
      <c r="I23" s="63">
        <v>0</v>
      </c>
      <c r="J23" s="63">
        <v>0</v>
      </c>
      <c r="K23" s="1064">
        <v>0</v>
      </c>
    </row>
    <row r="24" spans="4:11" ht="15" x14ac:dyDescent="0.25">
      <c r="D24" s="118" t="s">
        <v>881</v>
      </c>
      <c r="E24" s="63">
        <f>SUMIF($G$72:$G$119,$D24,E$72:E$119)*Input_CPI!R$24</f>
        <v>0</v>
      </c>
      <c r="F24" s="63">
        <f>SUMIF($G$72:$G$119,$D24,F$72:F$119)*Input_CPI!S$23</f>
        <v>0</v>
      </c>
      <c r="G24" s="63">
        <v>0</v>
      </c>
      <c r="H24" s="63">
        <v>0</v>
      </c>
      <c r="I24" s="63">
        <v>0</v>
      </c>
      <c r="J24" s="63">
        <v>0</v>
      </c>
      <c r="K24" s="1064">
        <v>0</v>
      </c>
    </row>
    <row r="25" spans="4:11" ht="15" x14ac:dyDescent="0.25">
      <c r="D25" s="118" t="s">
        <v>882</v>
      </c>
      <c r="E25" s="63">
        <f>SUMIF($G$72:$G$119,$D25,E$72:E$119)*Input_CPI!R$24</f>
        <v>0</v>
      </c>
      <c r="F25" s="63">
        <f>SUMIF($G$72:$G$119,$D25,F$72:F$119)*Input_CPI!S$23</f>
        <v>0</v>
      </c>
      <c r="G25" s="63">
        <v>0</v>
      </c>
      <c r="H25" s="63">
        <v>0</v>
      </c>
      <c r="I25" s="63">
        <v>0</v>
      </c>
      <c r="J25" s="63">
        <v>0</v>
      </c>
      <c r="K25" s="1064">
        <v>0</v>
      </c>
    </row>
    <row r="26" spans="4:11" ht="15" x14ac:dyDescent="0.25">
      <c r="D26" s="118" t="s">
        <v>883</v>
      </c>
      <c r="E26" s="63">
        <f>SUMIF($G$72:$G$119,$D26,E$72:E$119)*Input_CPI!R$24</f>
        <v>0</v>
      </c>
      <c r="F26" s="63">
        <f>SUMIF($G$72:$G$119,$D26,F$72:F$119)*Input_CPI!S$23</f>
        <v>0</v>
      </c>
      <c r="G26" s="63">
        <v>0</v>
      </c>
      <c r="H26" s="63">
        <v>0</v>
      </c>
      <c r="I26" s="63">
        <v>0</v>
      </c>
      <c r="J26" s="63">
        <v>0</v>
      </c>
      <c r="K26" s="1064">
        <v>0</v>
      </c>
    </row>
    <row r="27" spans="4:11" ht="15" x14ac:dyDescent="0.25">
      <c r="D27" s="118" t="s">
        <v>884</v>
      </c>
      <c r="E27" s="63">
        <f>SUMIF($G$72:$G$119,$D27,E$72:E$119)*Input_CPI!R$24</f>
        <v>0</v>
      </c>
      <c r="F27" s="63">
        <f>SUMIF($G$72:$G$119,$D27,F$72:F$119)*Input_CPI!S$23</f>
        <v>0</v>
      </c>
      <c r="G27" s="63">
        <v>0</v>
      </c>
      <c r="H27" s="63">
        <v>0</v>
      </c>
      <c r="I27" s="63">
        <v>0</v>
      </c>
      <c r="J27" s="63">
        <v>0</v>
      </c>
      <c r="K27" s="1064">
        <v>0</v>
      </c>
    </row>
    <row r="28" spans="4:11" ht="15" x14ac:dyDescent="0.25">
      <c r="D28" s="118" t="s">
        <v>885</v>
      </c>
      <c r="E28" s="63">
        <f>SUMIF($G$72:$G$119,$D28,E$72:E$119)*Input_CPI!R$24</f>
        <v>0</v>
      </c>
      <c r="F28" s="63">
        <f>SUMIF($G$72:$G$119,$D28,F$72:F$119)*Input_CPI!S$23</f>
        <v>0</v>
      </c>
      <c r="G28" s="63">
        <v>0</v>
      </c>
      <c r="H28" s="63">
        <v>0</v>
      </c>
      <c r="I28" s="63">
        <v>0</v>
      </c>
      <c r="J28" s="63">
        <v>0</v>
      </c>
      <c r="K28" s="1064">
        <v>0</v>
      </c>
    </row>
    <row r="29" spans="4:11" ht="15" x14ac:dyDescent="0.25">
      <c r="D29" s="118" t="s">
        <v>886</v>
      </c>
      <c r="E29" s="63">
        <f>SUMIF($G$72:$G$119,$D29,E$72:E$119)*Input_CPI!R$24</f>
        <v>0</v>
      </c>
      <c r="F29" s="63">
        <f>SUMIF($G$72:$G$119,$D29,F$72:F$119)*Input_CPI!S$23</f>
        <v>0</v>
      </c>
      <c r="G29" s="63">
        <v>0</v>
      </c>
      <c r="H29" s="63">
        <v>0</v>
      </c>
      <c r="I29" s="63">
        <v>0</v>
      </c>
      <c r="J29" s="63">
        <v>0</v>
      </c>
      <c r="K29" s="1064">
        <v>0</v>
      </c>
    </row>
    <row r="30" spans="4:11" ht="15" x14ac:dyDescent="0.25">
      <c r="D30" s="118" t="s">
        <v>887</v>
      </c>
      <c r="E30" s="63">
        <f>SUMIF($G$72:$G$119,$D30,E$72:E$119)*Input_CPI!R$24</f>
        <v>0</v>
      </c>
      <c r="F30" s="63">
        <f>SUMIF($G$72:$G$119,$D30,F$72:F$119)*Input_CPI!S$23</f>
        <v>0</v>
      </c>
      <c r="G30" s="63">
        <v>0</v>
      </c>
      <c r="H30" s="63">
        <v>0</v>
      </c>
      <c r="I30" s="63">
        <v>0</v>
      </c>
      <c r="J30" s="63">
        <v>0</v>
      </c>
      <c r="K30" s="1064">
        <v>0</v>
      </c>
    </row>
    <row r="31" spans="4:11" ht="15" x14ac:dyDescent="0.25">
      <c r="D31" s="118" t="s">
        <v>888</v>
      </c>
      <c r="E31" s="63">
        <f>SUMIF($G$72:$G$119,$D31,E$72:E$119)*Input_CPI!R$24</f>
        <v>0</v>
      </c>
      <c r="F31" s="63">
        <f>SUMIF($G$72:$G$119,$D31,F$72:F$119)*Input_CPI!S$23</f>
        <v>0</v>
      </c>
      <c r="G31" s="63">
        <v>0</v>
      </c>
      <c r="H31" s="63">
        <v>0</v>
      </c>
      <c r="I31" s="63">
        <v>0</v>
      </c>
      <c r="J31" s="63">
        <v>0</v>
      </c>
      <c r="K31" s="1064">
        <v>0</v>
      </c>
    </row>
    <row r="32" spans="4:11" ht="15" x14ac:dyDescent="0.25">
      <c r="D32" s="118" t="s">
        <v>516</v>
      </c>
      <c r="E32" s="63">
        <f>SUMIF($G$72:$G$119,$D32,E$72:E$119)*Input_CPI!R$24</f>
        <v>0</v>
      </c>
      <c r="F32" s="63">
        <f>SUMIF($G$72:$G$119,$D32,F$72:F$119)*Input_CPI!S$23</f>
        <v>0</v>
      </c>
      <c r="G32" s="63">
        <v>0</v>
      </c>
      <c r="H32" s="63">
        <v>0</v>
      </c>
      <c r="I32" s="63">
        <v>0</v>
      </c>
      <c r="J32" s="63">
        <v>0</v>
      </c>
      <c r="K32" s="1064">
        <v>0</v>
      </c>
    </row>
    <row r="33" spans="4:11" ht="15" x14ac:dyDescent="0.25">
      <c r="D33" s="118" t="s">
        <v>889</v>
      </c>
      <c r="E33" s="63">
        <f>SUMIF($G$72:$G$119,$D33,E$72:E$119)*Input_CPI!R$24</f>
        <v>0</v>
      </c>
      <c r="F33" s="63">
        <f>SUMIF($G$72:$G$119,$D33,F$72:F$119)*Input_CPI!S$23</f>
        <v>0</v>
      </c>
      <c r="G33" s="63">
        <v>0</v>
      </c>
      <c r="H33" s="63">
        <v>0</v>
      </c>
      <c r="I33" s="63">
        <v>0</v>
      </c>
      <c r="J33" s="63">
        <v>0</v>
      </c>
      <c r="K33" s="1064">
        <v>0</v>
      </c>
    </row>
    <row r="34" spans="4:11" ht="15" x14ac:dyDescent="0.25">
      <c r="D34" s="118" t="s">
        <v>890</v>
      </c>
      <c r="E34" s="63">
        <f>SUMIF($G$72:$G$119,$D34,E$72:E$119)*Input_CPI!R$24</f>
        <v>0</v>
      </c>
      <c r="F34" s="63">
        <f>SUMIF($G$72:$G$119,$D34,F$72:F$119)*Input_CPI!S$23</f>
        <v>0</v>
      </c>
      <c r="G34" s="63">
        <v>0</v>
      </c>
      <c r="H34" s="63">
        <v>0</v>
      </c>
      <c r="I34" s="63">
        <v>0</v>
      </c>
      <c r="J34" s="63">
        <v>0</v>
      </c>
      <c r="K34" s="1064">
        <v>0</v>
      </c>
    </row>
    <row r="35" spans="4:11" ht="15" x14ac:dyDescent="0.25">
      <c r="D35" s="118" t="s">
        <v>891</v>
      </c>
      <c r="E35" s="63">
        <f>SUMIF($G$72:$G$119,$D35,E$72:E$119)*Input_CPI!R$24</f>
        <v>0</v>
      </c>
      <c r="F35" s="63">
        <f>SUMIF($G$72:$G$119,$D35,F$72:F$119)*Input_CPI!S$23</f>
        <v>0</v>
      </c>
      <c r="G35" s="63">
        <v>0</v>
      </c>
      <c r="H35" s="63">
        <v>0</v>
      </c>
      <c r="I35" s="63">
        <v>0</v>
      </c>
      <c r="J35" s="63">
        <v>0</v>
      </c>
      <c r="K35" s="1064">
        <v>0</v>
      </c>
    </row>
    <row r="36" spans="4:11" ht="15" x14ac:dyDescent="0.25">
      <c r="D36" s="118" t="s">
        <v>892</v>
      </c>
      <c r="E36" s="63">
        <f>SUMIF($G$72:$G$119,$D36,E$72:E$119)*Input_CPI!R$24</f>
        <v>0</v>
      </c>
      <c r="F36" s="63">
        <f>SUMIF($G$72:$G$119,$D36,F$72:F$119)*Input_CPI!S$23</f>
        <v>0</v>
      </c>
      <c r="G36" s="63">
        <v>0</v>
      </c>
      <c r="H36" s="63">
        <v>0</v>
      </c>
      <c r="I36" s="63">
        <v>0</v>
      </c>
      <c r="J36" s="63">
        <v>0</v>
      </c>
      <c r="K36" s="1064">
        <v>0</v>
      </c>
    </row>
    <row r="37" spans="4:11" ht="15" x14ac:dyDescent="0.25">
      <c r="D37" s="118" t="s">
        <v>893</v>
      </c>
      <c r="E37" s="63">
        <f>SUMIF($G$72:$G$119,$D37,E$72:E$119)*Input_CPI!R$24</f>
        <v>0</v>
      </c>
      <c r="F37" s="63">
        <f>SUMIF($G$72:$G$119,$D37,F$72:F$119)*Input_CPI!S$23</f>
        <v>0</v>
      </c>
      <c r="G37" s="63">
        <v>0</v>
      </c>
      <c r="H37" s="63">
        <v>0</v>
      </c>
      <c r="I37" s="63">
        <v>0</v>
      </c>
      <c r="J37" s="63">
        <v>0</v>
      </c>
      <c r="K37" s="1064">
        <v>0</v>
      </c>
    </row>
    <row r="38" spans="4:11" ht="15" x14ac:dyDescent="0.25">
      <c r="D38" s="118" t="s">
        <v>515</v>
      </c>
      <c r="E38" s="63">
        <f>SUMIF($G$72:$G$119,$D38,E$72:E$119)*Input_CPI!R$24</f>
        <v>7058091.9268241338</v>
      </c>
      <c r="F38" s="63">
        <f>SUMIF($G$72:$G$119,$D38,F$72:F$119)*Input_CPI!S$23</f>
        <v>7803996.0749999993</v>
      </c>
      <c r="G38" s="63">
        <v>0</v>
      </c>
      <c r="H38" s="63">
        <v>0</v>
      </c>
      <c r="I38" s="63">
        <v>0</v>
      </c>
      <c r="J38" s="63">
        <v>0</v>
      </c>
      <c r="K38" s="1064">
        <v>0</v>
      </c>
    </row>
    <row r="39" spans="4:11" ht="15" x14ac:dyDescent="0.25">
      <c r="D39" s="118" t="s">
        <v>867</v>
      </c>
      <c r="E39" s="63">
        <f>SUMIF($G$72:$G$119,$D39,E$72:E$119)*Input_CPI!R$24</f>
        <v>0</v>
      </c>
      <c r="F39" s="63">
        <f>SUMIF($G$72:$G$119,$D39,F$72:F$119)*Input_CPI!S$23</f>
        <v>0</v>
      </c>
      <c r="G39" s="63">
        <v>0</v>
      </c>
      <c r="H39" s="63">
        <v>0</v>
      </c>
      <c r="I39" s="63">
        <v>0</v>
      </c>
      <c r="J39" s="63">
        <v>0</v>
      </c>
      <c r="K39" s="1064">
        <v>0</v>
      </c>
    </row>
    <row r="40" spans="4:11" ht="15" x14ac:dyDescent="0.25">
      <c r="D40" s="118" t="s">
        <v>894</v>
      </c>
      <c r="E40" s="63">
        <f>SUMIF($G$72:$G$119,$D40,E$72:E$119)*Input_CPI!R$24</f>
        <v>0</v>
      </c>
      <c r="F40" s="63">
        <f>SUMIF($G$72:$G$119,$D40,F$72:F$119)*Input_CPI!S$23</f>
        <v>0</v>
      </c>
      <c r="G40" s="63">
        <v>0</v>
      </c>
      <c r="H40" s="63">
        <v>0</v>
      </c>
      <c r="I40" s="63">
        <v>0</v>
      </c>
      <c r="J40" s="63">
        <v>0</v>
      </c>
      <c r="K40" s="1064">
        <v>0</v>
      </c>
    </row>
    <row r="41" spans="4:11" ht="15" x14ac:dyDescent="0.25">
      <c r="D41" s="118" t="s">
        <v>910</v>
      </c>
      <c r="E41" s="63">
        <f>SUMIF($G$72:$G$119,$D41,E$72:E$119)*Input_CPI!R$24</f>
        <v>0</v>
      </c>
      <c r="F41" s="63">
        <f>SUMIF($G$72:$G$119,$D41,F$72:F$119)*Input_CPI!S$23</f>
        <v>0</v>
      </c>
      <c r="G41" s="63">
        <v>0</v>
      </c>
      <c r="H41" s="63">
        <v>0</v>
      </c>
      <c r="I41" s="63">
        <v>0</v>
      </c>
      <c r="J41" s="63">
        <v>0</v>
      </c>
      <c r="K41" s="1064">
        <v>0</v>
      </c>
    </row>
    <row r="42" spans="4:11" ht="15" x14ac:dyDescent="0.25">
      <c r="D42" s="118" t="s">
        <v>911</v>
      </c>
      <c r="E42" s="63">
        <f>SUMIF($G$72:$G$119,$D42,E$72:E$119)*Input_CPI!R$24</f>
        <v>0</v>
      </c>
      <c r="F42" s="63">
        <f>SUMIF($G$72:$G$119,$D42,F$72:F$119)*Input_CPI!S$23</f>
        <v>0</v>
      </c>
      <c r="G42" s="63">
        <v>0</v>
      </c>
      <c r="H42" s="63">
        <v>0</v>
      </c>
      <c r="I42" s="63">
        <v>0</v>
      </c>
      <c r="J42" s="63">
        <v>0</v>
      </c>
      <c r="K42" s="1064">
        <v>0</v>
      </c>
    </row>
    <row r="43" spans="4:11" ht="15" hidden="1" outlineLevel="1" x14ac:dyDescent="0.25">
      <c r="D43" s="118">
        <v>0</v>
      </c>
      <c r="E43" s="63">
        <f>SUMIF($G$72:$G$119,$D43,E$72:E$119)*Input_CPI!R$24</f>
        <v>0</v>
      </c>
      <c r="F43" s="63">
        <f>SUMIF($G$72:$G$119,$D43,F$72:F$119)*Input_CPI!S$23</f>
        <v>0</v>
      </c>
      <c r="G43" s="63">
        <v>0</v>
      </c>
      <c r="H43" s="63">
        <v>0</v>
      </c>
      <c r="I43" s="63">
        <v>0</v>
      </c>
      <c r="J43" s="63">
        <v>0</v>
      </c>
      <c r="K43" s="1064">
        <v>0</v>
      </c>
    </row>
    <row r="44" spans="4:11" ht="15" hidden="1" outlineLevel="1" x14ac:dyDescent="0.25">
      <c r="D44" s="118">
        <v>0</v>
      </c>
      <c r="E44" s="63">
        <f>SUMIF($G$72:$G$119,$D44,E$72:E$119)*Input_CPI!R$24</f>
        <v>0</v>
      </c>
      <c r="F44" s="63">
        <f>SUMIF($G$72:$G$119,$D44,F$72:F$119)*Input_CPI!S$23</f>
        <v>0</v>
      </c>
      <c r="G44" s="63">
        <v>0</v>
      </c>
      <c r="H44" s="63">
        <v>0</v>
      </c>
      <c r="I44" s="63">
        <v>0</v>
      </c>
      <c r="J44" s="63">
        <v>0</v>
      </c>
      <c r="K44" s="1064">
        <v>0</v>
      </c>
    </row>
    <row r="45" spans="4:11" ht="15" hidden="1" outlineLevel="1" x14ac:dyDescent="0.25">
      <c r="D45" s="118">
        <v>0</v>
      </c>
      <c r="E45" s="63">
        <f>SUMIF($G$72:$G$119,$D45,E$72:E$119)*Input_CPI!R$24</f>
        <v>0</v>
      </c>
      <c r="F45" s="63">
        <f>SUMIF($G$72:$G$119,$D45,F$72:F$119)*Input_CPI!S$23</f>
        <v>0</v>
      </c>
      <c r="G45" s="63">
        <v>0</v>
      </c>
      <c r="H45" s="63">
        <v>0</v>
      </c>
      <c r="I45" s="63">
        <v>0</v>
      </c>
      <c r="J45" s="63">
        <v>0</v>
      </c>
      <c r="K45" s="1064">
        <v>0</v>
      </c>
    </row>
    <row r="46" spans="4:11" ht="15" hidden="1" outlineLevel="1" x14ac:dyDescent="0.25">
      <c r="D46" s="118">
        <v>0</v>
      </c>
      <c r="E46" s="63">
        <f>SUMIF($G$72:$G$119,$D46,E$72:E$119)*Input_CPI!R$24</f>
        <v>0</v>
      </c>
      <c r="F46" s="63">
        <f>SUMIF($G$72:$G$119,$D46,F$72:F$119)*Input_CPI!S$23</f>
        <v>0</v>
      </c>
      <c r="G46" s="63">
        <v>0</v>
      </c>
      <c r="H46" s="63">
        <v>0</v>
      </c>
      <c r="I46" s="63">
        <v>0</v>
      </c>
      <c r="J46" s="63">
        <v>0</v>
      </c>
      <c r="K46" s="1064">
        <v>0</v>
      </c>
    </row>
    <row r="47" spans="4:11" ht="15" hidden="1" outlineLevel="1" x14ac:dyDescent="0.25">
      <c r="D47" s="118">
        <v>0</v>
      </c>
      <c r="E47" s="63">
        <f>SUMIF($G$72:$G$119,$D47,E$72:E$119)*Input_CPI!R$24</f>
        <v>0</v>
      </c>
      <c r="F47" s="63">
        <f>SUMIF($G$72:$G$119,$D47,F$72:F$119)*Input_CPI!S$23</f>
        <v>0</v>
      </c>
      <c r="G47" s="63">
        <v>0</v>
      </c>
      <c r="H47" s="63">
        <v>0</v>
      </c>
      <c r="I47" s="63">
        <v>0</v>
      </c>
      <c r="J47" s="63">
        <v>0</v>
      </c>
      <c r="K47" s="1064">
        <v>0</v>
      </c>
    </row>
    <row r="48" spans="4:11" ht="15" hidden="1" outlineLevel="1" x14ac:dyDescent="0.25">
      <c r="D48" s="118">
        <v>0</v>
      </c>
      <c r="E48" s="63">
        <f>SUMIF($G$72:$G$119,$D48,E$72:E$119)*Input_CPI!R$24</f>
        <v>0</v>
      </c>
      <c r="F48" s="63">
        <f>SUMIF($G$72:$G$119,$D48,F$72:F$119)*Input_CPI!S$23</f>
        <v>0</v>
      </c>
      <c r="G48" s="63">
        <v>0</v>
      </c>
      <c r="H48" s="63">
        <v>0</v>
      </c>
      <c r="I48" s="63">
        <v>0</v>
      </c>
      <c r="J48" s="63">
        <v>0</v>
      </c>
      <c r="K48" s="1064">
        <v>0</v>
      </c>
    </row>
    <row r="49" spans="1:11" ht="15" hidden="1" outlineLevel="1" x14ac:dyDescent="0.25">
      <c r="D49" s="118">
        <v>0</v>
      </c>
      <c r="E49" s="63">
        <f>SUMIF($G$72:$G$119,$D49,E$72:E$119)*Input_CPI!R$24</f>
        <v>0</v>
      </c>
      <c r="F49" s="63">
        <f>SUMIF($G$72:$G$119,$D49,F$72:F$119)*Input_CPI!S$23</f>
        <v>0</v>
      </c>
      <c r="G49" s="63">
        <v>0</v>
      </c>
      <c r="H49" s="63">
        <v>0</v>
      </c>
      <c r="I49" s="63">
        <v>0</v>
      </c>
      <c r="J49" s="63">
        <v>0</v>
      </c>
      <c r="K49" s="1064">
        <v>0</v>
      </c>
    </row>
    <row r="50" spans="1:11" ht="15" hidden="1" outlineLevel="1" x14ac:dyDescent="0.25">
      <c r="D50" s="118">
        <v>0</v>
      </c>
      <c r="E50" s="63">
        <f>SUMIF($G$72:$G$119,$D50,E$72:E$119)*Input_CPI!R$24</f>
        <v>0</v>
      </c>
      <c r="F50" s="63">
        <f>SUMIF($G$72:$G$119,$D50,F$72:F$119)*Input_CPI!S$23</f>
        <v>0</v>
      </c>
      <c r="G50" s="63">
        <v>0</v>
      </c>
      <c r="H50" s="63">
        <v>0</v>
      </c>
      <c r="I50" s="63">
        <v>0</v>
      </c>
      <c r="J50" s="63">
        <v>0</v>
      </c>
      <c r="K50" s="1064">
        <v>0</v>
      </c>
    </row>
    <row r="51" spans="1:11" ht="15" hidden="1" outlineLevel="1" x14ac:dyDescent="0.25">
      <c r="D51" s="118">
        <v>0</v>
      </c>
      <c r="E51" s="63">
        <f>SUMIF($G$72:$G$119,$D51,E$72:E$119)*Input_CPI!R$24</f>
        <v>0</v>
      </c>
      <c r="F51" s="63">
        <f>SUMIF($G$72:$G$119,$D51,F$72:F$119)*Input_CPI!S$23</f>
        <v>0</v>
      </c>
      <c r="G51" s="63">
        <v>0</v>
      </c>
      <c r="H51" s="63">
        <v>0</v>
      </c>
      <c r="I51" s="63">
        <v>0</v>
      </c>
      <c r="J51" s="63">
        <v>0</v>
      </c>
      <c r="K51" s="1064">
        <v>0</v>
      </c>
    </row>
    <row r="52" spans="1:11" ht="15" hidden="1" outlineLevel="1" x14ac:dyDescent="0.25">
      <c r="D52" s="118">
        <v>0</v>
      </c>
      <c r="E52" s="63">
        <f>SUMIF($G$72:$G$119,$D52,E$72:E$119)*Input_CPI!R$24</f>
        <v>0</v>
      </c>
      <c r="F52" s="63">
        <f>SUMIF($G$72:$G$119,$D52,F$72:F$119)*Input_CPI!S$23</f>
        <v>0</v>
      </c>
      <c r="G52" s="63">
        <v>0</v>
      </c>
      <c r="H52" s="63">
        <v>0</v>
      </c>
      <c r="I52" s="63">
        <v>0</v>
      </c>
      <c r="J52" s="63">
        <v>0</v>
      </c>
      <c r="K52" s="1064">
        <v>0</v>
      </c>
    </row>
    <row r="53" spans="1:11" ht="15" hidden="1" outlineLevel="1" x14ac:dyDescent="0.25">
      <c r="D53" s="118">
        <v>0</v>
      </c>
      <c r="E53" s="63">
        <f>SUMIF($G$72:$G$119,$D53,E$72:E$119)*Input_CPI!R$24</f>
        <v>0</v>
      </c>
      <c r="F53" s="63">
        <f>SUMIF($G$72:$G$119,$D53,F$72:F$119)*Input_CPI!S$23</f>
        <v>0</v>
      </c>
      <c r="G53" s="63">
        <v>0</v>
      </c>
      <c r="H53" s="63">
        <v>0</v>
      </c>
      <c r="I53" s="63">
        <v>0</v>
      </c>
      <c r="J53" s="63">
        <v>0</v>
      </c>
      <c r="K53" s="1064">
        <v>0</v>
      </c>
    </row>
    <row r="54" spans="1:11" ht="15" hidden="1" outlineLevel="1" x14ac:dyDescent="0.25">
      <c r="D54" s="118">
        <v>0</v>
      </c>
      <c r="E54" s="63">
        <f>SUMIF($G$72:$G$119,$D54,E$72:E$119)*Input_CPI!R$24</f>
        <v>0</v>
      </c>
      <c r="F54" s="63">
        <f>SUMIF($G$72:$G$119,$D54,F$72:F$119)*Input_CPI!S$23</f>
        <v>0</v>
      </c>
      <c r="G54" s="63">
        <v>0</v>
      </c>
      <c r="H54" s="63">
        <v>0</v>
      </c>
      <c r="I54" s="63">
        <v>0</v>
      </c>
      <c r="J54" s="63">
        <v>0</v>
      </c>
      <c r="K54" s="1064">
        <v>0</v>
      </c>
    </row>
    <row r="55" spans="1:11" ht="15" hidden="1" outlineLevel="1" x14ac:dyDescent="0.25">
      <c r="D55" s="118">
        <v>0</v>
      </c>
      <c r="E55" s="63">
        <f>SUMIF($G$72:$G$119,$D55,E$72:E$119)*Input_CPI!R$24</f>
        <v>0</v>
      </c>
      <c r="F55" s="63">
        <f>SUMIF($G$72:$G$119,$D55,F$72:F$119)*Input_CPI!S$23</f>
        <v>0</v>
      </c>
      <c r="G55" s="63">
        <v>0</v>
      </c>
      <c r="H55" s="63">
        <v>0</v>
      </c>
      <c r="I55" s="63">
        <v>0</v>
      </c>
      <c r="J55" s="63">
        <v>0</v>
      </c>
      <c r="K55" s="1064">
        <v>0</v>
      </c>
    </row>
    <row r="56" spans="1:11" ht="15" hidden="1" outlineLevel="1" x14ac:dyDescent="0.25">
      <c r="D56" s="118">
        <v>0</v>
      </c>
      <c r="E56" s="63">
        <f>SUMIF($G$72:$G$119,$D56,E$72:E$119)*Input_CPI!R$24</f>
        <v>0</v>
      </c>
      <c r="F56" s="63">
        <f>SUMIF($G$72:$G$119,$D56,F$72:F$119)*Input_CPI!S$23</f>
        <v>0</v>
      </c>
      <c r="G56" s="63">
        <v>0</v>
      </c>
      <c r="H56" s="63">
        <v>0</v>
      </c>
      <c r="I56" s="63">
        <v>0</v>
      </c>
      <c r="J56" s="63">
        <v>0</v>
      </c>
      <c r="K56" s="1064">
        <v>0</v>
      </c>
    </row>
    <row r="57" spans="1:11" ht="15" hidden="1" outlineLevel="1" x14ac:dyDescent="0.25">
      <c r="D57" s="118">
        <v>0</v>
      </c>
      <c r="E57" s="63">
        <f>SUMIF($G$72:$G$119,$D57,E$72:E$119)*Input_CPI!R$24</f>
        <v>0</v>
      </c>
      <c r="F57" s="63">
        <f>SUMIF($G$72:$G$119,$D57,F$72:F$119)*Input_CPI!S$23</f>
        <v>0</v>
      </c>
      <c r="G57" s="63">
        <v>0</v>
      </c>
      <c r="H57" s="63">
        <v>0</v>
      </c>
      <c r="I57" s="63">
        <v>0</v>
      </c>
      <c r="J57" s="63">
        <v>0</v>
      </c>
      <c r="K57" s="1064">
        <v>0</v>
      </c>
    </row>
    <row r="58" spans="1:11" ht="15" collapsed="1" x14ac:dyDescent="0.25">
      <c r="D58" s="118" t="s">
        <v>896</v>
      </c>
      <c r="E58" s="63">
        <f>SUMIF($G$72:$G$119,$D58,E$72:E$119)*Input_CPI!R$24</f>
        <v>0</v>
      </c>
      <c r="F58" s="63">
        <f>SUMIF($G$72:$G$119,$D58,F$72:F$119)*Input_CPI!S$23</f>
        <v>0</v>
      </c>
      <c r="G58" s="63">
        <v>0</v>
      </c>
      <c r="H58" s="63">
        <v>0</v>
      </c>
      <c r="I58" s="63">
        <v>0</v>
      </c>
      <c r="J58" s="63">
        <v>0</v>
      </c>
      <c r="K58" s="1064">
        <v>0</v>
      </c>
    </row>
    <row r="59" spans="1:11" ht="15" x14ac:dyDescent="0.25">
      <c r="D59" s="118" t="s">
        <v>897</v>
      </c>
      <c r="E59" s="63">
        <f>SUMIF($G$72:$G$119,$D59,E$72:E$119)*Input_CPI!R$24</f>
        <v>0</v>
      </c>
      <c r="F59" s="63">
        <f>SUMIF($G$72:$G$119,$D59,F$72:F$119)*Input_CPI!S$23</f>
        <v>0</v>
      </c>
      <c r="G59" s="63">
        <v>0</v>
      </c>
      <c r="H59" s="63">
        <v>0</v>
      </c>
      <c r="I59" s="63">
        <v>0</v>
      </c>
      <c r="J59" s="63">
        <v>0</v>
      </c>
      <c r="K59" s="1064">
        <v>0</v>
      </c>
    </row>
    <row r="60" spans="1:11" ht="15.75" thickBot="1" x14ac:dyDescent="0.3">
      <c r="D60" s="119" t="s">
        <v>898</v>
      </c>
      <c r="E60" s="195">
        <f>SUMIF($G$72:$G$119,$D60,E$72:E$119)*Input_CPI!R$24</f>
        <v>0</v>
      </c>
      <c r="F60" s="195">
        <f>SUMIF($G$72:$G$119,$D60,F$72:F$119)*Input_CPI!S$23</f>
        <v>0</v>
      </c>
      <c r="G60" s="195">
        <v>0</v>
      </c>
      <c r="H60" s="195">
        <v>0</v>
      </c>
      <c r="I60" s="195">
        <v>0</v>
      </c>
      <c r="J60" s="195">
        <v>0</v>
      </c>
      <c r="K60" s="1065">
        <v>0</v>
      </c>
    </row>
    <row r="61" spans="1:11" ht="13.5" thickBot="1" x14ac:dyDescent="0.25">
      <c r="D61" s="66" t="s">
        <v>179</v>
      </c>
      <c r="E61" s="190">
        <f t="shared" ref="E61:K61" si="0">SUM(E11:E60)</f>
        <v>7058091.9268241338</v>
      </c>
      <c r="F61" s="67">
        <f t="shared" si="0"/>
        <v>7803996.0749999993</v>
      </c>
      <c r="G61" s="67">
        <f t="shared" si="0"/>
        <v>0</v>
      </c>
      <c r="H61" s="67">
        <f t="shared" si="0"/>
        <v>0</v>
      </c>
      <c r="I61" s="67">
        <f t="shared" si="0"/>
        <v>0</v>
      </c>
      <c r="J61" s="67">
        <f t="shared" si="0"/>
        <v>0</v>
      </c>
      <c r="K61" s="68">
        <f t="shared" si="0"/>
        <v>0</v>
      </c>
    </row>
    <row r="62" spans="1:11" ht="11.25" customHeight="1" x14ac:dyDescent="0.2"/>
    <row r="63" spans="1:11" ht="11.25" customHeight="1" x14ac:dyDescent="0.2">
      <c r="D63" s="6" t="s">
        <v>182</v>
      </c>
      <c r="E63" s="73">
        <f>E120*Input_CPI!R$24</f>
        <v>7058091.9268241338</v>
      </c>
      <c r="F63" s="74">
        <f>F120*Input_CPI!S$23</f>
        <v>7803996.0749999993</v>
      </c>
      <c r="G63" s="1068">
        <v>0</v>
      </c>
      <c r="H63" s="1069">
        <v>0</v>
      </c>
      <c r="I63" s="1069">
        <v>0</v>
      </c>
      <c r="J63" s="1069">
        <v>0</v>
      </c>
      <c r="K63" s="1069">
        <v>0</v>
      </c>
    </row>
    <row r="64" spans="1:11" ht="11.25" customHeight="1" x14ac:dyDescent="0.2">
      <c r="A64" s="42">
        <f>IF(SUM($E64:$K64)&gt;0,1,0)</f>
        <v>0</v>
      </c>
      <c r="D64" s="6" t="s">
        <v>183</v>
      </c>
      <c r="E64" s="70">
        <f t="shared" ref="E64:K64" si="1">IF(ROUND(E61-E63,3)&lt;&gt;0,1,0)</f>
        <v>0</v>
      </c>
      <c r="F64" s="70">
        <f t="shared" si="1"/>
        <v>0</v>
      </c>
      <c r="G64" s="70">
        <f t="shared" si="1"/>
        <v>0</v>
      </c>
      <c r="H64" s="70">
        <f t="shared" si="1"/>
        <v>0</v>
      </c>
      <c r="I64" s="70">
        <f t="shared" si="1"/>
        <v>0</v>
      </c>
      <c r="J64" s="70">
        <f t="shared" si="1"/>
        <v>0</v>
      </c>
      <c r="K64" s="70">
        <f t="shared" si="1"/>
        <v>0</v>
      </c>
    </row>
    <row r="65" spans="3:7" ht="11.25" customHeight="1" x14ac:dyDescent="0.2"/>
    <row r="66" spans="3:7" s="7" customFormat="1" ht="15" x14ac:dyDescent="0.2">
      <c r="C66" s="7" t="s">
        <v>481</v>
      </c>
    </row>
    <row r="67" spans="3:7" ht="11.25" customHeight="1" thickBot="1" x14ac:dyDescent="0.25"/>
    <row r="68" spans="3:7" ht="16.5" thickBot="1" x14ac:dyDescent="0.25">
      <c r="D68" s="731" t="s">
        <v>482</v>
      </c>
      <c r="E68" s="731"/>
      <c r="F68" s="731"/>
    </row>
    <row r="69" spans="3:7" ht="15.75" thickBot="1" x14ac:dyDescent="0.25">
      <c r="D69" s="127" t="s">
        <v>211</v>
      </c>
      <c r="E69" s="128"/>
      <c r="F69" s="128"/>
    </row>
    <row r="70" spans="3:7" ht="30.75" thickBot="1" x14ac:dyDescent="0.25">
      <c r="D70" s="732"/>
      <c r="E70" s="733" t="s">
        <v>483</v>
      </c>
      <c r="F70" s="733" t="s">
        <v>483</v>
      </c>
    </row>
    <row r="71" spans="3:7" ht="15.75" thickBot="1" x14ac:dyDescent="0.3">
      <c r="D71" s="734" t="s">
        <v>484</v>
      </c>
      <c r="E71" s="735" t="s">
        <v>167</v>
      </c>
      <c r="F71" s="735" t="s">
        <v>168</v>
      </c>
      <c r="G71" s="735" t="s">
        <v>341</v>
      </c>
    </row>
    <row r="72" spans="3:7" ht="11.25" customHeight="1" x14ac:dyDescent="0.25">
      <c r="D72" s="736" t="s">
        <v>516</v>
      </c>
      <c r="E72" s="59">
        <v>0</v>
      </c>
      <c r="F72" s="59">
        <v>0</v>
      </c>
      <c r="G72" s="1063" t="s">
        <v>516</v>
      </c>
    </row>
    <row r="73" spans="3:7" ht="11.25" customHeight="1" x14ac:dyDescent="0.25">
      <c r="D73" s="737" t="s">
        <v>515</v>
      </c>
      <c r="E73" s="63">
        <v>6963000</v>
      </c>
      <c r="F73" s="63">
        <v>7428000</v>
      </c>
      <c r="G73" s="1064" t="s">
        <v>515</v>
      </c>
    </row>
    <row r="74" spans="3:7" ht="11.25" customHeight="1" x14ac:dyDescent="0.25">
      <c r="D74" s="737" t="s">
        <v>867</v>
      </c>
      <c r="E74" s="63">
        <v>0</v>
      </c>
      <c r="F74" s="63">
        <v>0</v>
      </c>
      <c r="G74" s="1064">
        <v>0</v>
      </c>
    </row>
    <row r="75" spans="3:7" ht="11.25" customHeight="1" x14ac:dyDescent="0.25">
      <c r="D75" s="737" t="s">
        <v>868</v>
      </c>
      <c r="E75" s="63">
        <v>0</v>
      </c>
      <c r="F75" s="63">
        <v>0</v>
      </c>
      <c r="G75" s="1064">
        <v>0</v>
      </c>
    </row>
    <row r="76" spans="3:7" ht="11.25" customHeight="1" x14ac:dyDescent="0.25">
      <c r="D76" s="737" t="s">
        <v>869</v>
      </c>
      <c r="E76" s="63">
        <v>0</v>
      </c>
      <c r="F76" s="63">
        <v>0</v>
      </c>
      <c r="G76" s="1064">
        <v>0</v>
      </c>
    </row>
    <row r="77" spans="3:7" ht="11.25" customHeight="1" x14ac:dyDescent="0.25">
      <c r="D77" s="737" t="s">
        <v>870</v>
      </c>
      <c r="E77" s="63">
        <v>0</v>
      </c>
      <c r="F77" s="63">
        <v>0</v>
      </c>
      <c r="G77" s="1064">
        <v>0</v>
      </c>
    </row>
    <row r="78" spans="3:7" ht="11.25" customHeight="1" x14ac:dyDescent="0.25">
      <c r="D78" s="737" t="s">
        <v>871</v>
      </c>
      <c r="E78" s="63">
        <v>0</v>
      </c>
      <c r="F78" s="63">
        <v>0</v>
      </c>
      <c r="G78" s="1064">
        <v>0</v>
      </c>
    </row>
    <row r="79" spans="3:7" ht="11.25" customHeight="1" x14ac:dyDescent="0.25">
      <c r="D79" s="737" t="s">
        <v>872</v>
      </c>
      <c r="E79" s="63">
        <v>0</v>
      </c>
      <c r="F79" s="63">
        <v>0</v>
      </c>
      <c r="G79" s="1064">
        <v>0</v>
      </c>
    </row>
    <row r="80" spans="3:7" ht="11.25" customHeight="1" x14ac:dyDescent="0.25">
      <c r="D80" s="737" t="s">
        <v>873</v>
      </c>
      <c r="E80" s="63">
        <v>0</v>
      </c>
      <c r="F80" s="63">
        <v>0</v>
      </c>
      <c r="G80" s="1064">
        <v>0</v>
      </c>
    </row>
    <row r="81" spans="4:7" ht="11.25" customHeight="1" x14ac:dyDescent="0.25">
      <c r="D81" s="737" t="s">
        <v>874</v>
      </c>
      <c r="E81" s="63">
        <v>0</v>
      </c>
      <c r="F81" s="63">
        <v>0</v>
      </c>
      <c r="G81" s="1064">
        <v>0</v>
      </c>
    </row>
    <row r="82" spans="4:7" ht="11.25" customHeight="1" x14ac:dyDescent="0.25">
      <c r="D82" s="737" t="s">
        <v>875</v>
      </c>
      <c r="E82" s="63">
        <v>0</v>
      </c>
      <c r="F82" s="63">
        <v>0</v>
      </c>
      <c r="G82" s="1064">
        <v>0</v>
      </c>
    </row>
    <row r="83" spans="4:7" ht="11.25" customHeight="1" x14ac:dyDescent="0.25">
      <c r="D83" s="737" t="s">
        <v>876</v>
      </c>
      <c r="E83" s="63">
        <v>0</v>
      </c>
      <c r="F83" s="63">
        <v>0</v>
      </c>
      <c r="G83" s="1064">
        <v>0</v>
      </c>
    </row>
    <row r="84" spans="4:7" ht="11.25" customHeight="1" x14ac:dyDescent="0.25">
      <c r="D84" s="737" t="s">
        <v>877</v>
      </c>
      <c r="E84" s="63">
        <v>0</v>
      </c>
      <c r="F84" s="63">
        <v>0</v>
      </c>
      <c r="G84" s="1064">
        <v>0</v>
      </c>
    </row>
    <row r="85" spans="4:7" ht="11.25" customHeight="1" x14ac:dyDescent="0.25">
      <c r="D85" s="737" t="s">
        <v>878</v>
      </c>
      <c r="E85" s="63">
        <v>0</v>
      </c>
      <c r="F85" s="63">
        <v>0</v>
      </c>
      <c r="G85" s="1064">
        <v>0</v>
      </c>
    </row>
    <row r="86" spans="4:7" ht="11.25" customHeight="1" x14ac:dyDescent="0.25">
      <c r="D86" s="737" t="s">
        <v>879</v>
      </c>
      <c r="E86" s="63">
        <v>0</v>
      </c>
      <c r="F86" s="63">
        <v>0</v>
      </c>
      <c r="G86" s="1064">
        <v>0</v>
      </c>
    </row>
    <row r="87" spans="4:7" ht="11.25" customHeight="1" x14ac:dyDescent="0.25">
      <c r="D87" s="737" t="s">
        <v>880</v>
      </c>
      <c r="E87" s="63">
        <v>0</v>
      </c>
      <c r="F87" s="63">
        <v>0</v>
      </c>
      <c r="G87" s="1064">
        <v>0</v>
      </c>
    </row>
    <row r="88" spans="4:7" ht="11.25" customHeight="1" x14ac:dyDescent="0.25">
      <c r="D88" s="737" t="s">
        <v>881</v>
      </c>
      <c r="E88" s="63">
        <v>0</v>
      </c>
      <c r="F88" s="63">
        <v>0</v>
      </c>
      <c r="G88" s="1064">
        <v>0</v>
      </c>
    </row>
    <row r="89" spans="4:7" ht="11.25" customHeight="1" x14ac:dyDescent="0.25">
      <c r="D89" s="737" t="s">
        <v>882</v>
      </c>
      <c r="E89" s="63">
        <v>0</v>
      </c>
      <c r="F89" s="63">
        <v>0</v>
      </c>
      <c r="G89" s="1064">
        <v>0</v>
      </c>
    </row>
    <row r="90" spans="4:7" ht="11.25" customHeight="1" x14ac:dyDescent="0.25">
      <c r="D90" s="737" t="s">
        <v>883</v>
      </c>
      <c r="E90" s="63">
        <v>0</v>
      </c>
      <c r="F90" s="63">
        <v>0</v>
      </c>
      <c r="G90" s="1064">
        <v>0</v>
      </c>
    </row>
    <row r="91" spans="4:7" ht="11.25" customHeight="1" x14ac:dyDescent="0.25">
      <c r="D91" s="737" t="s">
        <v>884</v>
      </c>
      <c r="E91" s="63">
        <v>0</v>
      </c>
      <c r="F91" s="63">
        <v>0</v>
      </c>
      <c r="G91" s="1064">
        <v>0</v>
      </c>
    </row>
    <row r="92" spans="4:7" ht="11.25" customHeight="1" x14ac:dyDescent="0.25">
      <c r="D92" s="737" t="s">
        <v>885</v>
      </c>
      <c r="E92" s="63">
        <v>0</v>
      </c>
      <c r="F92" s="63">
        <v>0</v>
      </c>
      <c r="G92" s="1064">
        <v>0</v>
      </c>
    </row>
    <row r="93" spans="4:7" ht="11.25" customHeight="1" x14ac:dyDescent="0.25">
      <c r="D93" s="737" t="s">
        <v>886</v>
      </c>
      <c r="E93" s="63">
        <v>0</v>
      </c>
      <c r="F93" s="63">
        <v>0</v>
      </c>
      <c r="G93" s="1064">
        <v>0</v>
      </c>
    </row>
    <row r="94" spans="4:7" ht="11.25" customHeight="1" x14ac:dyDescent="0.25">
      <c r="D94" s="737" t="s">
        <v>887</v>
      </c>
      <c r="E94" s="63">
        <v>0</v>
      </c>
      <c r="F94" s="63">
        <v>0</v>
      </c>
      <c r="G94" s="1064">
        <v>0</v>
      </c>
    </row>
    <row r="95" spans="4:7" ht="11.25" customHeight="1" x14ac:dyDescent="0.25">
      <c r="D95" s="737" t="s">
        <v>888</v>
      </c>
      <c r="E95" s="63">
        <v>0</v>
      </c>
      <c r="F95" s="63">
        <v>0</v>
      </c>
      <c r="G95" s="1064">
        <v>0</v>
      </c>
    </row>
    <row r="96" spans="4:7" ht="11.25" customHeight="1" x14ac:dyDescent="0.25">
      <c r="D96" s="737" t="s">
        <v>889</v>
      </c>
      <c r="E96" s="63">
        <v>0</v>
      </c>
      <c r="F96" s="63">
        <v>0</v>
      </c>
      <c r="G96" s="1064">
        <v>0</v>
      </c>
    </row>
    <row r="97" spans="4:7" ht="11.25" customHeight="1" x14ac:dyDescent="0.25">
      <c r="D97" s="737" t="s">
        <v>890</v>
      </c>
      <c r="E97" s="63">
        <v>0</v>
      </c>
      <c r="F97" s="63">
        <v>0</v>
      </c>
      <c r="G97" s="1064">
        <v>0</v>
      </c>
    </row>
    <row r="98" spans="4:7" ht="11.25" customHeight="1" x14ac:dyDescent="0.25">
      <c r="D98" s="737" t="s">
        <v>891</v>
      </c>
      <c r="E98" s="63">
        <v>0</v>
      </c>
      <c r="F98" s="63">
        <v>0</v>
      </c>
      <c r="G98" s="1064">
        <v>0</v>
      </c>
    </row>
    <row r="99" spans="4:7" ht="11.25" customHeight="1" x14ac:dyDescent="0.25">
      <c r="D99" s="737" t="s">
        <v>892</v>
      </c>
      <c r="E99" s="63">
        <v>0</v>
      </c>
      <c r="F99" s="63">
        <v>0</v>
      </c>
      <c r="G99" s="1064">
        <v>0</v>
      </c>
    </row>
    <row r="100" spans="4:7" ht="11.25" customHeight="1" x14ac:dyDescent="0.25">
      <c r="D100" s="737" t="s">
        <v>893</v>
      </c>
      <c r="E100" s="63">
        <v>0</v>
      </c>
      <c r="F100" s="63">
        <v>0</v>
      </c>
      <c r="G100" s="1064">
        <v>0</v>
      </c>
    </row>
    <row r="101" spans="4:7" ht="11.25" customHeight="1" x14ac:dyDescent="0.25">
      <c r="D101" s="737" t="s">
        <v>894</v>
      </c>
      <c r="E101" s="63">
        <v>0</v>
      </c>
      <c r="F101" s="63">
        <v>0</v>
      </c>
      <c r="G101" s="1064">
        <v>0</v>
      </c>
    </row>
    <row r="102" spans="4:7" ht="11.25" customHeight="1" x14ac:dyDescent="0.25">
      <c r="D102" s="737" t="s">
        <v>895</v>
      </c>
      <c r="E102" s="63">
        <v>0</v>
      </c>
      <c r="F102" s="63">
        <v>0</v>
      </c>
      <c r="G102" s="1064">
        <v>0</v>
      </c>
    </row>
    <row r="103" spans="4:7" ht="11.25" customHeight="1" x14ac:dyDescent="0.25">
      <c r="D103" s="737" t="s">
        <v>896</v>
      </c>
      <c r="E103" s="63">
        <v>0</v>
      </c>
      <c r="F103" s="63">
        <v>0</v>
      </c>
      <c r="G103" s="1064">
        <v>0</v>
      </c>
    </row>
    <row r="104" spans="4:7" ht="11.25" customHeight="1" x14ac:dyDescent="0.25">
      <c r="D104" s="737" t="s">
        <v>897</v>
      </c>
      <c r="E104" s="63">
        <v>0</v>
      </c>
      <c r="F104" s="63">
        <v>0</v>
      </c>
      <c r="G104" s="1064">
        <v>0</v>
      </c>
    </row>
    <row r="105" spans="4:7" ht="11.25" customHeight="1" thickBot="1" x14ac:dyDescent="0.3">
      <c r="D105" s="737" t="s">
        <v>898</v>
      </c>
      <c r="E105" s="195">
        <v>0</v>
      </c>
      <c r="F105" s="195">
        <v>0</v>
      </c>
      <c r="G105" s="1065">
        <v>0</v>
      </c>
    </row>
    <row r="106" spans="4:7" ht="11.25" hidden="1" customHeight="1" outlineLevel="1" x14ac:dyDescent="0.25">
      <c r="D106" s="737">
        <v>0</v>
      </c>
      <c r="E106" s="1066">
        <v>0</v>
      </c>
      <c r="F106" s="1066">
        <v>0</v>
      </c>
      <c r="G106" s="1067">
        <v>0</v>
      </c>
    </row>
    <row r="107" spans="4:7" ht="11.25" hidden="1" customHeight="1" outlineLevel="1" x14ac:dyDescent="0.25">
      <c r="D107" s="737">
        <v>0</v>
      </c>
      <c r="E107" s="961">
        <v>0</v>
      </c>
      <c r="F107" s="961">
        <v>0</v>
      </c>
      <c r="G107" s="993">
        <v>0</v>
      </c>
    </row>
    <row r="108" spans="4:7" ht="11.25" hidden="1" customHeight="1" outlineLevel="1" x14ac:dyDescent="0.25">
      <c r="D108" s="737">
        <v>0</v>
      </c>
      <c r="E108" s="961">
        <v>0</v>
      </c>
      <c r="F108" s="961">
        <v>0</v>
      </c>
      <c r="G108" s="993">
        <v>0</v>
      </c>
    </row>
    <row r="109" spans="4:7" ht="11.25" hidden="1" customHeight="1" outlineLevel="1" x14ac:dyDescent="0.25">
      <c r="D109" s="737">
        <v>0</v>
      </c>
      <c r="E109" s="961">
        <v>0</v>
      </c>
      <c r="F109" s="961">
        <v>0</v>
      </c>
      <c r="G109" s="993">
        <v>0</v>
      </c>
    </row>
    <row r="110" spans="4:7" ht="11.25" hidden="1" customHeight="1" outlineLevel="1" x14ac:dyDescent="0.25">
      <c r="D110" s="737">
        <v>0</v>
      </c>
      <c r="E110" s="961">
        <v>0</v>
      </c>
      <c r="F110" s="961">
        <v>0</v>
      </c>
      <c r="G110" s="993">
        <v>0</v>
      </c>
    </row>
    <row r="111" spans="4:7" ht="11.25" hidden="1" customHeight="1" outlineLevel="1" x14ac:dyDescent="0.25">
      <c r="D111" s="737">
        <v>0</v>
      </c>
      <c r="E111" s="961">
        <v>0</v>
      </c>
      <c r="F111" s="961">
        <v>0</v>
      </c>
      <c r="G111" s="993">
        <v>0</v>
      </c>
    </row>
    <row r="112" spans="4:7" ht="11.25" hidden="1" customHeight="1" outlineLevel="1" x14ac:dyDescent="0.25">
      <c r="D112" s="737">
        <v>0</v>
      </c>
      <c r="E112" s="961">
        <v>0</v>
      </c>
      <c r="F112" s="961">
        <v>0</v>
      </c>
      <c r="G112" s="993">
        <v>0</v>
      </c>
    </row>
    <row r="113" spans="2:7" ht="11.25" hidden="1" customHeight="1" outlineLevel="1" x14ac:dyDescent="0.25">
      <c r="D113" s="737">
        <v>0</v>
      </c>
      <c r="E113" s="961">
        <v>0</v>
      </c>
      <c r="F113" s="961">
        <v>0</v>
      </c>
      <c r="G113" s="993">
        <v>0</v>
      </c>
    </row>
    <row r="114" spans="2:7" ht="11.25" hidden="1" customHeight="1" outlineLevel="1" x14ac:dyDescent="0.25">
      <c r="D114" s="737">
        <v>0</v>
      </c>
      <c r="E114" s="961">
        <v>0</v>
      </c>
      <c r="F114" s="961">
        <v>0</v>
      </c>
      <c r="G114" s="993">
        <v>0</v>
      </c>
    </row>
    <row r="115" spans="2:7" ht="11.25" hidden="1" customHeight="1" outlineLevel="1" x14ac:dyDescent="0.25">
      <c r="D115" s="737">
        <v>0</v>
      </c>
      <c r="E115" s="961">
        <v>0</v>
      </c>
      <c r="F115" s="961">
        <v>0</v>
      </c>
      <c r="G115" s="993">
        <v>0</v>
      </c>
    </row>
    <row r="116" spans="2:7" ht="11.25" hidden="1" customHeight="1" outlineLevel="1" x14ac:dyDescent="0.25">
      <c r="D116" s="737">
        <v>0</v>
      </c>
      <c r="E116" s="961">
        <v>0</v>
      </c>
      <c r="F116" s="961">
        <v>0</v>
      </c>
      <c r="G116" s="993">
        <v>0</v>
      </c>
    </row>
    <row r="117" spans="2:7" ht="11.25" hidden="1" customHeight="1" outlineLevel="1" x14ac:dyDescent="0.25">
      <c r="D117" s="737">
        <v>0</v>
      </c>
      <c r="E117" s="961">
        <v>0</v>
      </c>
      <c r="F117" s="961">
        <v>0</v>
      </c>
      <c r="G117" s="993">
        <v>0</v>
      </c>
    </row>
    <row r="118" spans="2:7" ht="11.25" hidden="1" customHeight="1" outlineLevel="1" x14ac:dyDescent="0.25">
      <c r="D118" s="737">
        <v>0</v>
      </c>
      <c r="E118" s="961">
        <v>0</v>
      </c>
      <c r="F118" s="961">
        <v>0</v>
      </c>
      <c r="G118" s="993">
        <v>0</v>
      </c>
    </row>
    <row r="119" spans="2:7" ht="11.25" hidden="1" customHeight="1" outlineLevel="1" thickBot="1" x14ac:dyDescent="0.3">
      <c r="D119" s="737">
        <v>0</v>
      </c>
      <c r="E119" s="990">
        <v>0</v>
      </c>
      <c r="F119" s="990">
        <v>0</v>
      </c>
      <c r="G119" s="994">
        <v>0</v>
      </c>
    </row>
    <row r="120" spans="2:7" ht="11.25" customHeight="1" collapsed="1" thickBot="1" x14ac:dyDescent="0.25">
      <c r="D120" s="738" t="s">
        <v>179</v>
      </c>
      <c r="E120" s="190">
        <f t="shared" ref="E120:F120" si="2">SUM(E72:E119)</f>
        <v>6963000</v>
      </c>
      <c r="F120" s="68">
        <f t="shared" si="2"/>
        <v>7428000</v>
      </c>
    </row>
    <row r="122" spans="2:7" s="47" customFormat="1" ht="15.75" x14ac:dyDescent="0.2">
      <c r="B122" s="47" t="s">
        <v>32</v>
      </c>
    </row>
  </sheetData>
  <mergeCells count="1">
    <mergeCell ref="F9:K9"/>
  </mergeCells>
  <conditionalFormatting sqref="B2">
    <cfRule type="cellIs" dxfId="19" priority="2" operator="notEqual">
      <formula>"No Errors Found"</formula>
    </cfRule>
  </conditionalFormatting>
  <dataValidations count="1">
    <dataValidation type="list" allowBlank="1" showInputMessage="1" showErrorMessage="1" sqref="G72:G119">
      <formula1>$D$11:$D$60</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86"/>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5" width="24" style="46" customWidth="1"/>
    <col min="6" max="14" width="17.6640625" style="46" customWidth="1"/>
    <col min="15" max="27" width="10.6640625" style="46" customWidth="1"/>
    <col min="28" max="16384" width="9.33203125" style="46"/>
  </cols>
  <sheetData>
    <row r="1" spans="1:14" ht="19.5" x14ac:dyDescent="0.2">
      <c r="A1" s="42">
        <f>IF(SUM($A2:$A86)&gt;0,1,0)</f>
        <v>0</v>
      </c>
      <c r="B1" s="3" t="s">
        <v>340</v>
      </c>
    </row>
    <row r="2" spans="1:14" x14ac:dyDescent="0.2">
      <c r="B2" s="9" t="str">
        <f>Title_Msg</f>
        <v>No Errors Found</v>
      </c>
    </row>
    <row r="3" spans="1:14" s="47" customFormat="1" ht="15.75" x14ac:dyDescent="0.2">
      <c r="B3" s="47" t="str">
        <f>WkB_1_2.1.1!$B$3</f>
        <v>Data required to populate TransGrid's 2023-28 regulatory submission</v>
      </c>
    </row>
    <row r="4" spans="1:14" ht="4.5" customHeight="1" x14ac:dyDescent="0.2"/>
    <row r="5" spans="1:14" s="7" customFormat="1" ht="15" x14ac:dyDescent="0.2">
      <c r="C5" s="7" t="str">
        <f>WkB_1_2.1.1!$C$5</f>
        <v>Output - RIN template</v>
      </c>
    </row>
    <row r="6" spans="1:14" ht="11.25" customHeight="1" x14ac:dyDescent="0.2"/>
    <row r="7" spans="1:14" ht="18" x14ac:dyDescent="0.2">
      <c r="D7" s="247" t="s">
        <v>289</v>
      </c>
      <c r="E7" s="247"/>
      <c r="F7" s="248"/>
      <c r="G7" s="249"/>
      <c r="H7" s="250"/>
      <c r="I7" s="250"/>
      <c r="J7" s="250"/>
      <c r="K7" s="250"/>
      <c r="L7" s="250"/>
      <c r="M7" s="250"/>
      <c r="N7" s="250"/>
    </row>
    <row r="8" spans="1:14" ht="11.25" customHeight="1" thickBot="1" x14ac:dyDescent="0.25">
      <c r="D8" s="251"/>
      <c r="E8" s="251"/>
      <c r="F8" s="251"/>
      <c r="G8" s="251"/>
      <c r="H8" s="251"/>
      <c r="I8" s="251"/>
      <c r="J8" s="251"/>
      <c r="K8" s="251"/>
      <c r="L8" s="251"/>
      <c r="M8" s="251"/>
      <c r="N8" s="251"/>
    </row>
    <row r="9" spans="1:14" ht="16.5" thickBot="1" x14ac:dyDescent="0.3">
      <c r="D9" s="252" t="s">
        <v>290</v>
      </c>
      <c r="E9" s="253"/>
      <c r="F9" s="254"/>
      <c r="G9"/>
      <c r="H9" s="251"/>
      <c r="I9" s="251"/>
      <c r="J9" s="251"/>
      <c r="K9" s="251"/>
      <c r="L9" s="251"/>
      <c r="M9" s="251"/>
      <c r="N9" s="251"/>
    </row>
    <row r="10" spans="1:14" ht="30.75" thickBot="1" x14ac:dyDescent="0.25">
      <c r="D10"/>
      <c r="E10" s="255"/>
      <c r="F10" s="256" t="s">
        <v>291</v>
      </c>
      <c r="G10"/>
      <c r="H10" s="257"/>
      <c r="I10" s="257"/>
      <c r="J10" s="257"/>
      <c r="K10" s="257"/>
      <c r="L10" s="257"/>
      <c r="M10" s="257"/>
      <c r="N10" s="257"/>
    </row>
    <row r="11" spans="1:14" ht="15" thickBot="1" x14ac:dyDescent="0.25">
      <c r="D11" s="258" t="s">
        <v>292</v>
      </c>
      <c r="E11" s="259"/>
      <c r="F11" s="260"/>
      <c r="G11"/>
      <c r="H11" s="261"/>
      <c r="I11" s="261"/>
      <c r="J11" s="261"/>
      <c r="K11" s="261"/>
      <c r="L11" s="261"/>
      <c r="M11" s="261"/>
      <c r="N11" s="261"/>
    </row>
    <row r="12" spans="1:14" ht="11.25" customHeight="1" x14ac:dyDescent="0.2">
      <c r="D12" s="262"/>
      <c r="E12" s="263"/>
      <c r="F12" s="264" t="s">
        <v>293</v>
      </c>
      <c r="G12"/>
      <c r="H12" s="261"/>
      <c r="I12" s="261"/>
      <c r="J12" s="261"/>
      <c r="K12" s="261"/>
      <c r="L12" s="261"/>
      <c r="M12" s="261"/>
      <c r="N12" s="261"/>
    </row>
    <row r="13" spans="1:14" ht="15.75" thickBot="1" x14ac:dyDescent="0.25">
      <c r="D13" s="265"/>
      <c r="E13" s="266"/>
      <c r="F13" s="267" t="s">
        <v>168</v>
      </c>
      <c r="G13"/>
      <c r="H13" s="261"/>
      <c r="I13" s="261"/>
      <c r="J13" s="261"/>
      <c r="K13" s="261"/>
      <c r="L13" s="261"/>
      <c r="M13" s="261"/>
      <c r="N13" s="261"/>
    </row>
    <row r="14" spans="1:14" ht="12.75" x14ac:dyDescent="0.2">
      <c r="D14" s="268" t="s">
        <v>294</v>
      </c>
      <c r="E14" s="269"/>
      <c r="F14" s="270">
        <v>5988</v>
      </c>
      <c r="G14"/>
      <c r="H14" s="271"/>
      <c r="I14" s="251"/>
      <c r="J14" s="251"/>
      <c r="K14" s="251"/>
      <c r="L14" s="251"/>
      <c r="M14" s="251"/>
      <c r="N14" s="251"/>
    </row>
    <row r="15" spans="1:14" ht="15" thickBot="1" x14ac:dyDescent="0.25">
      <c r="D15" s="272" t="s">
        <v>295</v>
      </c>
      <c r="E15" s="273"/>
      <c r="F15" s="274">
        <v>19381.75</v>
      </c>
      <c r="G15"/>
      <c r="H15" s="271"/>
      <c r="I15" s="261"/>
      <c r="J15" s="261"/>
      <c r="K15" s="261"/>
      <c r="L15" s="261"/>
      <c r="M15" s="261"/>
      <c r="N15" s="261"/>
    </row>
    <row r="16" spans="1:14" ht="115.5" thickBot="1" x14ac:dyDescent="0.25">
      <c r="D16" s="275"/>
      <c r="E16" s="383" t="s">
        <v>296</v>
      </c>
      <c r="F16" s="276" t="s">
        <v>928</v>
      </c>
      <c r="G16"/>
      <c r="H16"/>
      <c r="I16"/>
      <c r="J16"/>
      <c r="K16"/>
      <c r="L16"/>
      <c r="M16"/>
      <c r="N16"/>
    </row>
    <row r="17" spans="4:14" ht="11.25" customHeight="1" x14ac:dyDescent="0.2">
      <c r="D17"/>
      <c r="E17"/>
      <c r="F17"/>
      <c r="G17"/>
      <c r="H17"/>
      <c r="K17"/>
      <c r="L17"/>
      <c r="M17"/>
      <c r="N17"/>
    </row>
    <row r="18" spans="4:14" ht="11.25" customHeight="1" thickBot="1" x14ac:dyDescent="0.25">
      <c r="D18"/>
      <c r="E18"/>
      <c r="F18"/>
      <c r="G18"/>
      <c r="H18"/>
      <c r="I18"/>
      <c r="J18"/>
      <c r="K18"/>
      <c r="L18"/>
      <c r="M18"/>
      <c r="N18"/>
    </row>
    <row r="19" spans="4:14" ht="15" thickBot="1" x14ac:dyDescent="0.25">
      <c r="D19" s="277" t="s">
        <v>297</v>
      </c>
      <c r="E19" s="278"/>
      <c r="F19" s="279"/>
      <c r="G19"/>
      <c r="H19" s="926" t="s">
        <v>619</v>
      </c>
      <c r="I19" s="251"/>
      <c r="J19" s="926" t="s">
        <v>620</v>
      </c>
      <c r="K19" s="261"/>
      <c r="L19" s="261"/>
      <c r="M19" s="261"/>
      <c r="N19" s="261"/>
    </row>
    <row r="20" spans="4:14" ht="30.75" thickBot="1" x14ac:dyDescent="0.25">
      <c r="D20" s="280"/>
      <c r="E20" s="255"/>
      <c r="F20" s="281" t="s">
        <v>291</v>
      </c>
      <c r="G20"/>
      <c r="H20" s="281" t="s">
        <v>617</v>
      </c>
      <c r="I20" s="257"/>
      <c r="J20" s="281" t="s">
        <v>618</v>
      </c>
      <c r="K20" s="257"/>
      <c r="L20" s="928" t="s">
        <v>621</v>
      </c>
      <c r="M20" s="927" t="s">
        <v>620</v>
      </c>
      <c r="N20" s="257"/>
    </row>
    <row r="21" spans="4:14" ht="30" x14ac:dyDescent="0.2">
      <c r="D21" s="282"/>
      <c r="E21" s="1295" t="s">
        <v>298</v>
      </c>
      <c r="F21" s="283" t="s">
        <v>320</v>
      </c>
      <c r="G21"/>
      <c r="H21" s="283" t="s">
        <v>320</v>
      </c>
      <c r="I21" s="261"/>
      <c r="J21" s="283" t="s">
        <v>320</v>
      </c>
      <c r="K21" s="261"/>
      <c r="L21" s="261"/>
      <c r="M21" s="261"/>
      <c r="N21" s="261"/>
    </row>
    <row r="22" spans="4:14" ht="15.75" thickBot="1" x14ac:dyDescent="0.25">
      <c r="D22" s="282"/>
      <c r="E22" s="1296"/>
      <c r="F22" s="284" t="s">
        <v>168</v>
      </c>
      <c r="G22"/>
      <c r="H22" s="284" t="s">
        <v>168</v>
      </c>
      <c r="I22" s="261"/>
      <c r="J22" s="284" t="s">
        <v>168</v>
      </c>
      <c r="K22" s="261"/>
      <c r="L22" s="261"/>
      <c r="M22" s="261"/>
      <c r="N22" s="261"/>
    </row>
    <row r="23" spans="4:14" ht="25.5" x14ac:dyDescent="0.2">
      <c r="D23" s="285" t="s">
        <v>294</v>
      </c>
      <c r="E23" s="286" t="s">
        <v>866</v>
      </c>
      <c r="F23" s="270">
        <f>IF($M$20="Option 1",H23,J23)</f>
        <v>1665.4352033881423</v>
      </c>
      <c r="G23"/>
      <c r="H23" s="270">
        <v>1652.2</v>
      </c>
      <c r="I23" s="251"/>
      <c r="J23" s="270">
        <v>1665.4352033881423</v>
      </c>
      <c r="K23" s="251"/>
      <c r="L23" s="251"/>
      <c r="M23" s="251"/>
      <c r="N23" s="251"/>
    </row>
    <row r="24" spans="4:14" ht="26.25" thickBot="1" x14ac:dyDescent="0.25">
      <c r="D24" s="287" t="s">
        <v>295</v>
      </c>
      <c r="E24" s="288" t="s">
        <v>866</v>
      </c>
      <c r="F24" s="274">
        <f>IF($M$20="Option 1",H24,J24)</f>
        <v>7104.4027558276221</v>
      </c>
      <c r="G24"/>
      <c r="H24" s="274">
        <v>7054.96</v>
      </c>
      <c r="I24" s="261"/>
      <c r="J24" s="274">
        <v>7104.4027558276221</v>
      </c>
      <c r="K24" s="261"/>
      <c r="L24" s="261"/>
      <c r="M24" s="261"/>
      <c r="N24" s="261"/>
    </row>
    <row r="25" spans="4:14" ht="243" thickBot="1" x14ac:dyDescent="0.25">
      <c r="D25" s="275"/>
      <c r="E25" s="383" t="s">
        <v>296</v>
      </c>
      <c r="F25" s="276" t="str">
        <f>IF($M$20="Option 1",H25,J25)</f>
        <v>Sources for 2021-22 bills are: AER 2021-22 Default Market Offer Prices Final Determination,  ICRC Retail electricity price recalibration 2021-22, and AER 2021 State of the Energy Market. Bills for 2021-22 were adjusted to 2022-23 based on the projected change in transmission costs.</v>
      </c>
      <c r="G25"/>
      <c r="H25" s="930" t="s">
        <v>929</v>
      </c>
      <c r="I25"/>
      <c r="J25" s="930" t="s">
        <v>699</v>
      </c>
      <c r="K25"/>
      <c r="L25"/>
      <c r="M25"/>
      <c r="N25"/>
    </row>
    <row r="26" spans="4:14" ht="11.25" customHeight="1" x14ac:dyDescent="0.2">
      <c r="D26"/>
      <c r="E26"/>
      <c r="F26"/>
      <c r="G26"/>
      <c r="J26"/>
      <c r="K26"/>
      <c r="L26"/>
      <c r="M26"/>
      <c r="N26"/>
    </row>
    <row r="27" spans="4:14" ht="11.25" customHeight="1" thickBot="1" x14ac:dyDescent="0.25">
      <c r="D27"/>
      <c r="E27"/>
      <c r="F27"/>
      <c r="G27"/>
      <c r="H27"/>
      <c r="I27"/>
      <c r="J27"/>
      <c r="K27"/>
      <c r="L27"/>
      <c r="M27"/>
      <c r="N27"/>
    </row>
    <row r="28" spans="4:14" ht="15" thickBot="1" x14ac:dyDescent="0.25">
      <c r="D28" s="258" t="s">
        <v>299</v>
      </c>
      <c r="E28" s="259"/>
      <c r="F28" s="260"/>
      <c r="G28"/>
      <c r="H28" s="926" t="s">
        <v>619</v>
      </c>
      <c r="I28" s="251"/>
      <c r="J28" s="926" t="s">
        <v>620</v>
      </c>
      <c r="K28" s="251"/>
      <c r="L28" s="251"/>
      <c r="M28" s="251"/>
      <c r="N28" s="251"/>
    </row>
    <row r="29" spans="4:14" ht="30.75" thickBot="1" x14ac:dyDescent="0.25">
      <c r="D29" s="289"/>
      <c r="E29" s="290"/>
      <c r="F29" s="256" t="s">
        <v>291</v>
      </c>
      <c r="G29"/>
      <c r="H29" s="281" t="s">
        <v>617</v>
      </c>
      <c r="I29" s="257"/>
      <c r="J29" s="281" t="s">
        <v>618</v>
      </c>
      <c r="K29" s="257"/>
      <c r="L29" s="257"/>
      <c r="M29" s="257"/>
      <c r="N29" s="257"/>
    </row>
    <row r="30" spans="4:14" ht="15" x14ac:dyDescent="0.2">
      <c r="D30" s="265"/>
      <c r="E30" s="263"/>
      <c r="F30" s="264" t="s">
        <v>300</v>
      </c>
      <c r="G30"/>
      <c r="H30" s="264" t="s">
        <v>300</v>
      </c>
      <c r="I30" s="251"/>
      <c r="J30" s="264" t="s">
        <v>300</v>
      </c>
      <c r="K30" s="251"/>
      <c r="L30" s="251"/>
      <c r="M30" s="251"/>
      <c r="N30" s="251"/>
    </row>
    <row r="31" spans="4:14" ht="15.75" thickBot="1" x14ac:dyDescent="0.25">
      <c r="D31" s="265"/>
      <c r="E31" s="266"/>
      <c r="F31" s="267" t="str">
        <f>F13</f>
        <v>2022-23</v>
      </c>
      <c r="G31"/>
      <c r="H31" s="267" t="s">
        <v>168</v>
      </c>
      <c r="I31" s="261"/>
      <c r="J31" s="267" t="s">
        <v>168</v>
      </c>
      <c r="K31" s="261"/>
      <c r="L31" s="261"/>
      <c r="M31" s="261"/>
      <c r="N31" s="261"/>
    </row>
    <row r="32" spans="4:14" ht="13.5" thickBot="1" x14ac:dyDescent="0.25">
      <c r="D32" s="268" t="s">
        <v>294</v>
      </c>
      <c r="E32" s="291"/>
      <c r="F32" s="292">
        <f>IF($M$20="Option 1",H32,J32)</f>
        <v>8.7310606170953944E-2</v>
      </c>
      <c r="G32"/>
      <c r="H32" s="292">
        <v>0.08</v>
      </c>
      <c r="I32" s="251"/>
      <c r="J32" s="292">
        <v>8.7310606170953944E-2</v>
      </c>
      <c r="K32" s="251"/>
      <c r="L32" s="251"/>
      <c r="M32" s="251"/>
      <c r="N32" s="251"/>
    </row>
    <row r="33" spans="4:16" ht="15" thickBot="1" x14ac:dyDescent="0.25">
      <c r="D33" s="293" t="s">
        <v>295</v>
      </c>
      <c r="E33" s="294"/>
      <c r="F33" s="384">
        <f>IF($M$20="Option 1",H33,J33)</f>
        <v>7.647273992191933E-2</v>
      </c>
      <c r="G33"/>
      <c r="H33" s="384">
        <v>7.0000000000000007E-2</v>
      </c>
      <c r="I33" s="261"/>
      <c r="J33" s="384">
        <v>7.647273992191933E-2</v>
      </c>
      <c r="K33" s="261"/>
      <c r="L33" s="261"/>
      <c r="M33" s="261"/>
      <c r="N33" s="261"/>
    </row>
    <row r="34" spans="4:16" ht="230.25" thickBot="1" x14ac:dyDescent="0.25">
      <c r="D34" s="275"/>
      <c r="E34" s="383" t="s">
        <v>296</v>
      </c>
      <c r="F34" s="276" t="str">
        <f>IF($M$20="Option 1",H34,J34)</f>
        <v>ACIL Allen TransGrid TUOS as a proportion of residential and small business electricity bills, 14 September 2021. The shares for 2021-22 (of 8% and 7% respectively) where rolled forward to 2022-23 based on the projected change in transmission costs.</v>
      </c>
      <c r="G34"/>
      <c r="H34" s="930" t="s">
        <v>928</v>
      </c>
      <c r="I34"/>
      <c r="J34" s="930" t="s">
        <v>930</v>
      </c>
      <c r="K34"/>
      <c r="L34"/>
      <c r="M34"/>
      <c r="N34"/>
    </row>
    <row r="35" spans="4:16" ht="11.25" customHeight="1" x14ac:dyDescent="0.2">
      <c r="D35" s="295"/>
      <c r="E35" s="295"/>
      <c r="F35" s="296"/>
      <c r="G35"/>
      <c r="H35" s="297"/>
      <c r="I35" s="297"/>
      <c r="J35" s="297"/>
      <c r="K35" s="297"/>
      <c r="L35" s="297"/>
      <c r="M35" s="297"/>
      <c r="N35" s="297"/>
    </row>
    <row r="36" spans="4:16" ht="11.25" customHeight="1" thickBot="1" x14ac:dyDescent="0.25">
      <c r="D36" s="295"/>
      <c r="E36" s="295"/>
      <c r="F36" s="296"/>
      <c r="G36"/>
      <c r="H36" s="297"/>
      <c r="I36" s="297"/>
      <c r="J36" s="297"/>
      <c r="K36" s="297"/>
      <c r="L36" s="297"/>
      <c r="M36" s="297"/>
      <c r="N36" s="297"/>
    </row>
    <row r="37" spans="4:16" ht="15" thickBot="1" x14ac:dyDescent="0.25">
      <c r="D37" s="258" t="s">
        <v>301</v>
      </c>
      <c r="E37" s="259"/>
      <c r="F37" s="260"/>
      <c r="G37"/>
      <c r="H37" s="251"/>
      <c r="I37" s="251"/>
      <c r="J37" s="251"/>
      <c r="K37" s="251"/>
      <c r="L37" s="251"/>
      <c r="M37" s="251"/>
      <c r="N37" s="251"/>
    </row>
    <row r="38" spans="4:16" ht="30.75" thickBot="1" x14ac:dyDescent="0.25">
      <c r="D38" s="289"/>
      <c r="E38" s="290"/>
      <c r="F38" s="256" t="s">
        <v>291</v>
      </c>
      <c r="G38"/>
      <c r="H38" s="257"/>
      <c r="I38" s="257"/>
      <c r="J38" s="257"/>
      <c r="K38" s="257"/>
      <c r="L38" s="257"/>
      <c r="M38" s="257"/>
      <c r="N38" s="257"/>
    </row>
    <row r="39" spans="4:16" ht="30" x14ac:dyDescent="0.2">
      <c r="D39" s="282"/>
      <c r="E39" s="298"/>
      <c r="F39" s="283" t="str">
        <f>F21</f>
        <v>$ real, June 2023</v>
      </c>
      <c r="G39"/>
      <c r="H39" s="251"/>
      <c r="I39" s="251"/>
      <c r="J39" s="251"/>
      <c r="K39" s="251"/>
      <c r="L39" s="251"/>
      <c r="M39" s="251"/>
      <c r="N39" s="251"/>
    </row>
    <row r="40" spans="4:16" ht="15.75" thickBot="1" x14ac:dyDescent="0.25">
      <c r="D40" s="282"/>
      <c r="E40" s="299"/>
      <c r="F40" s="284" t="str">
        <f>F22</f>
        <v>2022-23</v>
      </c>
      <c r="G40"/>
      <c r="H40" s="261"/>
      <c r="I40" s="261"/>
      <c r="J40" s="261"/>
      <c r="K40" s="261"/>
      <c r="L40" s="261"/>
      <c r="M40" s="261"/>
      <c r="N40" s="261"/>
    </row>
    <row r="41" spans="4:16" ht="12.75" x14ac:dyDescent="0.2">
      <c r="D41" s="268" t="s">
        <v>294</v>
      </c>
      <c r="E41" s="291"/>
      <c r="F41" s="300">
        <f>F32*F23</f>
        <v>145.41015714626468</v>
      </c>
      <c r="G41"/>
      <c r="H41" s="251"/>
      <c r="I41" s="251"/>
      <c r="J41" s="251"/>
      <c r="K41" s="251"/>
      <c r="L41" s="251"/>
      <c r="M41" s="251"/>
      <c r="N41" s="251"/>
    </row>
    <row r="42" spans="4:16" ht="15" thickBot="1" x14ac:dyDescent="0.25">
      <c r="D42" s="293" t="s">
        <v>295</v>
      </c>
      <c r="E42" s="294"/>
      <c r="F42" s="301">
        <f>F33*F24</f>
        <v>543.2931442469727</v>
      </c>
      <c r="G42"/>
      <c r="H42" s="261"/>
      <c r="I42" s="261"/>
      <c r="J42" s="261"/>
      <c r="K42" s="261"/>
      <c r="L42" s="261"/>
      <c r="M42" s="261"/>
      <c r="N42" s="261"/>
    </row>
    <row r="43" spans="4:16" ht="11.25" customHeight="1" x14ac:dyDescent="0.2">
      <c r="D43" s="296"/>
      <c r="E43" s="296"/>
      <c r="F43" s="296"/>
      <c r="G43" s="297"/>
      <c r="H43" s="297"/>
      <c r="I43" s="297"/>
      <c r="J43" s="297"/>
      <c r="K43" s="297"/>
      <c r="L43" s="297"/>
      <c r="M43" s="297"/>
      <c r="N43" s="297"/>
    </row>
    <row r="44" spans="4:16" ht="11.25" customHeight="1" thickBot="1" x14ac:dyDescent="0.25">
      <c r="D44" s="297"/>
      <c r="E44" s="297"/>
      <c r="F44" s="297"/>
      <c r="G44" s="297"/>
      <c r="H44" s="297"/>
      <c r="I44" s="297"/>
      <c r="J44" s="297"/>
      <c r="K44" s="297"/>
      <c r="L44" s="297"/>
      <c r="M44" s="297"/>
      <c r="N44" s="297"/>
    </row>
    <row r="45" spans="4:16" ht="16.5" thickBot="1" x14ac:dyDescent="0.25">
      <c r="D45" s="302" t="s">
        <v>302</v>
      </c>
      <c r="E45" s="303"/>
      <c r="F45" s="304"/>
      <c r="G45" s="304"/>
      <c r="H45" s="304"/>
      <c r="I45" s="304"/>
      <c r="J45" s="304"/>
      <c r="K45" s="304"/>
      <c r="L45" s="305"/>
      <c r="M45" s="306"/>
      <c r="N45" s="929" t="s">
        <v>168</v>
      </c>
    </row>
    <row r="46" spans="4:16" ht="15" thickBot="1" x14ac:dyDescent="0.25">
      <c r="D46" s="307"/>
      <c r="E46" s="308" t="s">
        <v>69</v>
      </c>
      <c r="F46" s="309" t="s">
        <v>168</v>
      </c>
      <c r="G46" s="310" t="s">
        <v>169</v>
      </c>
      <c r="H46" s="310" t="s">
        <v>170</v>
      </c>
      <c r="I46" s="310" t="s">
        <v>171</v>
      </c>
      <c r="J46" s="310" t="s">
        <v>172</v>
      </c>
      <c r="K46" s="311" t="s">
        <v>181</v>
      </c>
      <c r="L46" s="312" t="s">
        <v>303</v>
      </c>
      <c r="M46" s="306"/>
      <c r="N46" s="924">
        <f>Input_CPI!S16</f>
        <v>1.0111874208078342</v>
      </c>
      <c r="O46" s="925" t="s">
        <v>622</v>
      </c>
    </row>
    <row r="47" spans="4:16" ht="14.25" x14ac:dyDescent="0.2">
      <c r="D47" s="313" t="s">
        <v>304</v>
      </c>
      <c r="E47" s="314" t="s">
        <v>305</v>
      </c>
      <c r="F47" s="315">
        <v>913356151.43246436</v>
      </c>
      <c r="G47" s="315">
        <v>797626727.57838333</v>
      </c>
      <c r="H47" s="315">
        <v>816370587.75203288</v>
      </c>
      <c r="I47" s="315">
        <v>835554919.99370849</v>
      </c>
      <c r="J47" s="315">
        <v>855190075.19383049</v>
      </c>
      <c r="K47" s="315">
        <v>903383348.86820483</v>
      </c>
      <c r="L47" s="316"/>
      <c r="M47" s="317"/>
      <c r="N47" s="317"/>
      <c r="O47" s="317"/>
      <c r="P47" s="317"/>
    </row>
    <row r="48" spans="4:16" ht="14.25" x14ac:dyDescent="0.2">
      <c r="D48" s="318" t="s">
        <v>306</v>
      </c>
      <c r="E48" s="319" t="s">
        <v>321</v>
      </c>
      <c r="F48" s="320">
        <f>F47*N46</f>
        <v>923574251.04596329</v>
      </c>
      <c r="G48" s="320">
        <v>779313226.23867559</v>
      </c>
      <c r="H48" s="320">
        <v>779313226.23867548</v>
      </c>
      <c r="I48" s="320">
        <v>779313226.23867548</v>
      </c>
      <c r="J48" s="320">
        <v>779313226.23867536</v>
      </c>
      <c r="K48" s="320">
        <v>804329180.80093694</v>
      </c>
      <c r="L48" s="321"/>
      <c r="M48" s="317"/>
    </row>
    <row r="49" spans="4:14" ht="14.25" x14ac:dyDescent="0.2">
      <c r="D49" s="322"/>
      <c r="E49" s="323"/>
      <c r="F49" s="324"/>
      <c r="G49" s="325"/>
      <c r="H49" s="325"/>
      <c r="I49" s="325"/>
      <c r="J49" s="325"/>
      <c r="K49" s="326"/>
      <c r="L49" s="327"/>
      <c r="M49" s="261"/>
    </row>
    <row r="50" spans="4:14" ht="14.25" x14ac:dyDescent="0.2">
      <c r="D50" s="328" t="s">
        <v>307</v>
      </c>
      <c r="E50" s="329" t="s">
        <v>80</v>
      </c>
      <c r="F50" s="320">
        <v>71150233.544162273</v>
      </c>
      <c r="G50" s="320">
        <v>70775814.934322298</v>
      </c>
      <c r="H50" s="320">
        <v>70797091.295342669</v>
      </c>
      <c r="I50" s="320">
        <v>70797091.295342669</v>
      </c>
      <c r="J50" s="320">
        <v>71083247.203272954</v>
      </c>
      <c r="K50" s="320">
        <v>71590380.952642322</v>
      </c>
      <c r="L50" s="321"/>
      <c r="M50" s="317"/>
      <c r="N50" s="261"/>
    </row>
    <row r="51" spans="4:14" ht="14.25" x14ac:dyDescent="0.2">
      <c r="D51" s="322"/>
      <c r="E51" s="323"/>
      <c r="F51" s="330"/>
      <c r="G51" s="331"/>
      <c r="H51" s="331"/>
      <c r="I51" s="331"/>
      <c r="J51" s="331"/>
      <c r="K51" s="332"/>
      <c r="L51" s="327"/>
      <c r="M51" s="261"/>
      <c r="N51" s="261"/>
    </row>
    <row r="52" spans="4:14" ht="14.25" x14ac:dyDescent="0.2">
      <c r="D52" s="328" t="s">
        <v>308</v>
      </c>
      <c r="E52" s="329" t="s">
        <v>309</v>
      </c>
      <c r="F52" s="333">
        <f>+F47/F50</f>
        <v>12.837008481012967</v>
      </c>
      <c r="G52" s="334">
        <f t="shared" ref="G52:K52" si="0">+G47/G50</f>
        <v>11.269763948582655</v>
      </c>
      <c r="H52" s="335">
        <f t="shared" si="0"/>
        <v>11.531131757184736</v>
      </c>
      <c r="I52" s="335">
        <f t="shared" si="0"/>
        <v>11.802108034467722</v>
      </c>
      <c r="J52" s="335">
        <f t="shared" si="0"/>
        <v>12.030824545033646</v>
      </c>
      <c r="K52" s="336">
        <f t="shared" si="0"/>
        <v>12.618781138569455</v>
      </c>
      <c r="L52" s="321"/>
      <c r="M52" s="261"/>
      <c r="N52" s="261"/>
    </row>
    <row r="53" spans="4:14" ht="14.25" x14ac:dyDescent="0.2">
      <c r="D53" s="328" t="s">
        <v>310</v>
      </c>
      <c r="E53" s="319" t="s">
        <v>322</v>
      </c>
      <c r="F53" s="333">
        <f>+F48/F50</f>
        <v>12.980621496803796</v>
      </c>
      <c r="G53" s="334">
        <f t="shared" ref="G53:K53" si="1">+G48/G50</f>
        <v>11.011010285955075</v>
      </c>
      <c r="H53" s="335">
        <f t="shared" si="1"/>
        <v>11.007701191954789</v>
      </c>
      <c r="I53" s="335">
        <f t="shared" si="1"/>
        <v>11.007701191954789</v>
      </c>
      <c r="J53" s="335">
        <f t="shared" si="1"/>
        <v>10.963388096355743</v>
      </c>
      <c r="K53" s="336">
        <f t="shared" si="1"/>
        <v>11.235157155163176</v>
      </c>
      <c r="L53" s="321"/>
      <c r="M53" s="261"/>
      <c r="N53" s="261"/>
    </row>
    <row r="54" spans="4:14" ht="14.25" x14ac:dyDescent="0.2">
      <c r="D54" s="322"/>
      <c r="E54" s="323"/>
      <c r="F54" s="330"/>
      <c r="G54" s="331"/>
      <c r="H54" s="331"/>
      <c r="I54" s="331"/>
      <c r="J54" s="331"/>
      <c r="K54" s="332"/>
      <c r="L54" s="327"/>
      <c r="M54" s="261"/>
      <c r="N54" s="261"/>
    </row>
    <row r="55" spans="4:14" ht="14.25" x14ac:dyDescent="0.2">
      <c r="D55" s="328" t="s">
        <v>311</v>
      </c>
      <c r="E55" s="329" t="s">
        <v>312</v>
      </c>
      <c r="F55" s="337"/>
      <c r="G55" s="338">
        <f t="shared" ref="G55:K56" si="2">+G52/F52-1</f>
        <v>-0.12208798761396789</v>
      </c>
      <c r="H55" s="338">
        <f t="shared" si="2"/>
        <v>2.3191950585171872E-2</v>
      </c>
      <c r="I55" s="338">
        <f t="shared" si="2"/>
        <v>2.349953872603594E-2</v>
      </c>
      <c r="J55" s="338">
        <f t="shared" si="2"/>
        <v>1.93792930803518E-2</v>
      </c>
      <c r="K55" s="339">
        <f t="shared" si="2"/>
        <v>4.8870847657612959E-2</v>
      </c>
      <c r="L55" s="340">
        <f>(K52/F52)^(1/5)-1</f>
        <v>-3.4233302084369921E-3</v>
      </c>
      <c r="M55" s="341"/>
      <c r="N55" s="261"/>
    </row>
    <row r="56" spans="4:14" ht="15" thickBot="1" x14ac:dyDescent="0.25">
      <c r="D56" s="342" t="s">
        <v>313</v>
      </c>
      <c r="E56" s="343" t="s">
        <v>323</v>
      </c>
      <c r="F56" s="344"/>
      <c r="G56" s="345">
        <f t="shared" si="2"/>
        <v>-0.1517347386897997</v>
      </c>
      <c r="H56" s="345">
        <f t="shared" si="2"/>
        <v>-3.0052592036056147E-4</v>
      </c>
      <c r="I56" s="345">
        <f t="shared" si="2"/>
        <v>0</v>
      </c>
      <c r="J56" s="345">
        <f t="shared" si="2"/>
        <v>-4.0256448486658547E-3</v>
      </c>
      <c r="K56" s="346">
        <f t="shared" si="2"/>
        <v>2.4788783943329395E-2</v>
      </c>
      <c r="L56" s="347">
        <f>(K53/F53)^(1/5)-1</f>
        <v>-2.8468842888822232E-2</v>
      </c>
      <c r="M56" s="341"/>
      <c r="N56" s="261"/>
    </row>
    <row r="57" spans="4:14" ht="11.25" customHeight="1" x14ac:dyDescent="0.2">
      <c r="D57" s="261"/>
      <c r="E57" s="261"/>
      <c r="F57" s="261"/>
      <c r="G57" s="261"/>
      <c r="H57" s="261"/>
      <c r="I57" s="261"/>
      <c r="J57" s="261"/>
      <c r="K57" s="261"/>
      <c r="L57" s="261"/>
      <c r="M57" s="261"/>
      <c r="N57" s="261"/>
    </row>
    <row r="58" spans="4:14" ht="11.25" customHeight="1" thickBot="1" x14ac:dyDescent="0.25">
      <c r="D58" s="261"/>
      <c r="E58" s="261"/>
      <c r="F58" s="261"/>
      <c r="G58" s="261"/>
      <c r="H58" s="261"/>
      <c r="I58" s="261"/>
      <c r="J58" s="261"/>
      <c r="K58" s="261"/>
      <c r="L58" s="261"/>
      <c r="M58" s="261"/>
      <c r="N58" s="261"/>
    </row>
    <row r="59" spans="4:14" ht="16.5" thickBot="1" x14ac:dyDescent="0.25">
      <c r="D59" s="348" t="s">
        <v>314</v>
      </c>
      <c r="E59" s="349"/>
      <c r="F59" s="350"/>
      <c r="G59" s="350"/>
      <c r="H59" s="350"/>
      <c r="I59" s="350"/>
      <c r="J59" s="350"/>
      <c r="K59" s="350"/>
      <c r="L59" s="350"/>
      <c r="M59" s="350"/>
      <c r="N59" s="305"/>
    </row>
    <row r="60" spans="4:14" ht="15.75" thickBot="1" x14ac:dyDescent="0.25">
      <c r="D60" s="351" t="s">
        <v>294</v>
      </c>
      <c r="E60" s="352"/>
      <c r="F60" s="353"/>
      <c r="G60" s="354"/>
      <c r="H60" s="354"/>
      <c r="I60" s="354"/>
      <c r="J60" s="354"/>
      <c r="K60" s="354"/>
      <c r="L60" s="354"/>
      <c r="M60" s="354"/>
      <c r="N60" s="279"/>
    </row>
    <row r="61" spans="4:14" ht="12.75" x14ac:dyDescent="0.2">
      <c r="D61" s="355"/>
      <c r="E61" s="355"/>
      <c r="F61" s="356" t="str">
        <f>F$46</f>
        <v>2022-23</v>
      </c>
      <c r="G61" s="357" t="str">
        <f t="shared" ref="G61:K61" si="3">G$46</f>
        <v>2023-24</v>
      </c>
      <c r="H61" s="357" t="str">
        <f t="shared" si="3"/>
        <v>2024-25</v>
      </c>
      <c r="I61" s="357" t="str">
        <f t="shared" si="3"/>
        <v>2025-26</v>
      </c>
      <c r="J61" s="357" t="str">
        <f t="shared" si="3"/>
        <v>2026-27</v>
      </c>
      <c r="K61" s="357" t="str">
        <f t="shared" si="3"/>
        <v>2027-28</v>
      </c>
      <c r="L61" s="1297" t="str">
        <f>CONCATENATE("Total ",G61, " to ",K61)</f>
        <v>Total 2023-24 to 2027-28</v>
      </c>
      <c r="M61" s="1299" t="s">
        <v>315</v>
      </c>
      <c r="N61" s="1301" t="s">
        <v>316</v>
      </c>
    </row>
    <row r="62" spans="4:14" ht="31.5" customHeight="1" thickBot="1" x14ac:dyDescent="0.25">
      <c r="D62"/>
      <c r="E62"/>
      <c r="F62" s="1303" t="s">
        <v>305</v>
      </c>
      <c r="G62" s="1304"/>
      <c r="H62" s="1304"/>
      <c r="I62" s="1304"/>
      <c r="J62" s="1304"/>
      <c r="K62" s="1304"/>
      <c r="L62" s="1298"/>
      <c r="M62" s="1300"/>
      <c r="N62" s="1302"/>
    </row>
    <row r="63" spans="4:14" ht="14.25" x14ac:dyDescent="0.2">
      <c r="D63" s="358" t="s">
        <v>317</v>
      </c>
      <c r="E63" s="359"/>
      <c r="F63" s="923">
        <f>F41</f>
        <v>145.41015714626468</v>
      </c>
      <c r="G63" s="360">
        <f>+F63*(1+G$55)</f>
        <v>127.65732368164639</v>
      </c>
      <c r="H63" s="360">
        <f t="shared" ref="H63:K63" si="4">+G63*(1+H$55)</f>
        <v>130.61794602430643</v>
      </c>
      <c r="I63" s="360">
        <f t="shared" si="4"/>
        <v>133.68740750521991</v>
      </c>
      <c r="J63" s="360">
        <f t="shared" si="4"/>
        <v>136.278174956416</v>
      </c>
      <c r="K63" s="360">
        <f t="shared" si="4"/>
        <v>142.93820488376852</v>
      </c>
      <c r="L63" s="361">
        <f>+SUM(G63:K63)</f>
        <v>671.17905705135729</v>
      </c>
      <c r="M63" s="361">
        <f>+AVERAGE(G63:K63)</f>
        <v>134.23581141027145</v>
      </c>
      <c r="N63" s="362"/>
    </row>
    <row r="64" spans="4:14" ht="15" thickBot="1" x14ac:dyDescent="0.25">
      <c r="D64" s="363" t="s">
        <v>318</v>
      </c>
      <c r="E64" s="364"/>
      <c r="F64" s="365"/>
      <c r="G64" s="376">
        <f>+G63-F63</f>
        <v>-17.752833464618291</v>
      </c>
      <c r="H64" s="376">
        <f t="shared" ref="H64" si="5">+H63-G63</f>
        <v>2.9606223426600451</v>
      </c>
      <c r="I64" s="376">
        <f t="shared" ref="I64" si="6">+I63-H63</f>
        <v>3.0694614809134748</v>
      </c>
      <c r="J64" s="376">
        <f t="shared" ref="J64" si="7">+J63-I63</f>
        <v>2.5907674511960863</v>
      </c>
      <c r="K64" s="376">
        <f t="shared" ref="K64" si="8">+K63-J63</f>
        <v>6.6600299273525252</v>
      </c>
      <c r="L64" s="377">
        <f>+SUM(G64:K64)</f>
        <v>-2.4719522624961598</v>
      </c>
      <c r="M64" s="377">
        <f>+AVERAGE(G64:K64)</f>
        <v>-0.49439045249923197</v>
      </c>
      <c r="N64" s="919">
        <f>+M64/F23</f>
        <v>-2.9685361009149422E-4</v>
      </c>
    </row>
    <row r="65" spans="1:14" ht="15" x14ac:dyDescent="0.2">
      <c r="D65" s="369"/>
      <c r="E65" s="369"/>
      <c r="F65" s="1293" t="s">
        <v>320</v>
      </c>
      <c r="G65" s="1294"/>
      <c r="H65" s="1294"/>
      <c r="I65" s="1294"/>
      <c r="J65" s="1294"/>
      <c r="K65" s="1294"/>
      <c r="L65" s="370"/>
      <c r="M65" s="371"/>
      <c r="N65" s="372"/>
    </row>
    <row r="66" spans="1:14" ht="14.25" x14ac:dyDescent="0.2">
      <c r="D66" s="358" t="s">
        <v>317</v>
      </c>
      <c r="E66" s="359"/>
      <c r="F66" s="921">
        <f>F41</f>
        <v>145.41015714626468</v>
      </c>
      <c r="G66" s="374">
        <f>+F66*(1+G$56)</f>
        <v>123.3463849488335</v>
      </c>
      <c r="H66" s="374">
        <f t="shared" ref="H66:K66" si="9">+G66*(1+H$56)</f>
        <v>123.3093161629736</v>
      </c>
      <c r="I66" s="374">
        <f t="shared" si="9"/>
        <v>123.3093161629736</v>
      </c>
      <c r="J66" s="374">
        <f t="shared" si="9"/>
        <v>122.81291664956962</v>
      </c>
      <c r="K66" s="922">
        <f t="shared" si="9"/>
        <v>125.85729950584592</v>
      </c>
      <c r="L66" s="361">
        <f>+SUM(G66:K66)</f>
        <v>618.63523343019631</v>
      </c>
      <c r="M66" s="361">
        <f>+AVERAGE(G66:K66)</f>
        <v>123.72704668603926</v>
      </c>
      <c r="N66" s="362"/>
    </row>
    <row r="67" spans="1:14" ht="15" thickBot="1" x14ac:dyDescent="0.25">
      <c r="D67" s="363" t="s">
        <v>318</v>
      </c>
      <c r="E67" s="364"/>
      <c r="F67" s="375"/>
      <c r="G67" s="376">
        <f>+G66-F66</f>
        <v>-22.063772197431177</v>
      </c>
      <c r="H67" s="376">
        <f t="shared" ref="H67:K67" si="10">+H66-G66</f>
        <v>-3.7068785859901254E-2</v>
      </c>
      <c r="I67" s="376">
        <f t="shared" si="10"/>
        <v>0</v>
      </c>
      <c r="J67" s="376">
        <f t="shared" si="10"/>
        <v>-0.49639951340398625</v>
      </c>
      <c r="K67" s="376">
        <f t="shared" si="10"/>
        <v>3.0443828562763002</v>
      </c>
      <c r="L67" s="920">
        <f>+SUM(G67:K67)</f>
        <v>-19.552857640418765</v>
      </c>
      <c r="M67" s="377">
        <f>+AVERAGE(G67:K67)</f>
        <v>-3.9105715280837527</v>
      </c>
      <c r="N67" s="378">
        <f>+M67/F23</f>
        <v>-2.3480778598459614E-3</v>
      </c>
    </row>
    <row r="68" spans="1:14" ht="15" thickBot="1" x14ac:dyDescent="0.25">
      <c r="D68" s="261"/>
      <c r="E68" s="261"/>
      <c r="F68" s="341"/>
      <c r="G68" s="261"/>
      <c r="H68" s="261"/>
      <c r="I68" s="261"/>
      <c r="J68" s="261"/>
      <c r="K68" s="261"/>
      <c r="L68" s="261"/>
      <c r="M68" s="261"/>
      <c r="N68" s="261"/>
    </row>
    <row r="69" spans="1:14" ht="15.75" thickBot="1" x14ac:dyDescent="0.25">
      <c r="D69" s="351" t="s">
        <v>319</v>
      </c>
      <c r="E69" s="352"/>
      <c r="F69" s="353"/>
      <c r="G69" s="354"/>
      <c r="H69" s="354"/>
      <c r="I69" s="354"/>
      <c r="J69" s="354"/>
      <c r="K69" s="354"/>
      <c r="L69" s="354"/>
      <c r="M69" s="354"/>
      <c r="N69" s="279"/>
    </row>
    <row r="70" spans="1:14" ht="12.75" x14ac:dyDescent="0.2">
      <c r="D70" s="355"/>
      <c r="E70" s="355"/>
      <c r="F70" s="356" t="str">
        <f>F$46</f>
        <v>2022-23</v>
      </c>
      <c r="G70" s="357" t="str">
        <f t="shared" ref="G70:K70" si="11">G$46</f>
        <v>2023-24</v>
      </c>
      <c r="H70" s="357" t="str">
        <f t="shared" si="11"/>
        <v>2024-25</v>
      </c>
      <c r="I70" s="357" t="str">
        <f t="shared" si="11"/>
        <v>2025-26</v>
      </c>
      <c r="J70" s="357" t="str">
        <f t="shared" si="11"/>
        <v>2026-27</v>
      </c>
      <c r="K70" s="357" t="str">
        <f t="shared" si="11"/>
        <v>2027-28</v>
      </c>
      <c r="L70" s="1297" t="str">
        <f>CONCATENATE("Total ",G70, " to ",K70)</f>
        <v>Total 2023-24 to 2027-28</v>
      </c>
      <c r="M70" s="1299" t="s">
        <v>315</v>
      </c>
      <c r="N70" s="1301" t="s">
        <v>316</v>
      </c>
    </row>
    <row r="71" spans="1:14" ht="36" customHeight="1" thickBot="1" x14ac:dyDescent="0.25">
      <c r="D71"/>
      <c r="E71"/>
      <c r="F71" s="1303" t="s">
        <v>305</v>
      </c>
      <c r="G71" s="1304"/>
      <c r="H71" s="1304"/>
      <c r="I71" s="1304"/>
      <c r="J71" s="1304"/>
      <c r="K71" s="1304"/>
      <c r="L71" s="1298"/>
      <c r="M71" s="1300"/>
      <c r="N71" s="1302"/>
    </row>
    <row r="72" spans="1:14" ht="14.25" x14ac:dyDescent="0.2">
      <c r="D72" s="358" t="s">
        <v>317</v>
      </c>
      <c r="E72" s="379"/>
      <c r="F72" s="373">
        <f>F42</f>
        <v>543.2931442469727</v>
      </c>
      <c r="G72" s="374">
        <f>+F72*(1+G$55)</f>
        <v>476.96357758139465</v>
      </c>
      <c r="H72" s="374">
        <f t="shared" ref="H72:K72" si="12">+G72*(1+H$55)</f>
        <v>488.02529330358914</v>
      </c>
      <c r="I72" s="374">
        <f t="shared" si="12"/>
        <v>499.49366258286187</v>
      </c>
      <c r="J72" s="374">
        <f t="shared" si="12"/>
        <v>509.1734966618335</v>
      </c>
      <c r="K72" s="374">
        <f t="shared" si="12"/>
        <v>534.0572370484881</v>
      </c>
      <c r="L72" s="361">
        <f>+SUM(G72:K72)</f>
        <v>2507.7132671781674</v>
      </c>
      <c r="M72" s="361">
        <f>+AVERAGE(G72:K72)</f>
        <v>501.5426534356335</v>
      </c>
      <c r="N72" s="362"/>
    </row>
    <row r="73" spans="1:14" ht="14.25" x14ac:dyDescent="0.2">
      <c r="D73" s="363" t="s">
        <v>318</v>
      </c>
      <c r="E73" s="380"/>
      <c r="F73" s="365"/>
      <c r="G73" s="366">
        <f>+G72-F72</f>
        <v>-66.329566665578056</v>
      </c>
      <c r="H73" s="366">
        <f>+H72-G72</f>
        <v>11.061715722194492</v>
      </c>
      <c r="I73" s="366">
        <f>+I72-H72</f>
        <v>11.468369279272736</v>
      </c>
      <c r="J73" s="366">
        <f>+J72-I72</f>
        <v>9.6798340789716235</v>
      </c>
      <c r="K73" s="366">
        <f>+K72-J72</f>
        <v>24.883740386654608</v>
      </c>
      <c r="L73" s="367">
        <f>+SUM(G73:K73)</f>
        <v>-9.2359071984845968</v>
      </c>
      <c r="M73" s="367">
        <f>+AVERAGE(G73:K73)</f>
        <v>-1.8471814396969193</v>
      </c>
      <c r="N73" s="368">
        <f>+M73/F24</f>
        <v>-2.6000516907374199E-4</v>
      </c>
    </row>
    <row r="74" spans="1:14" ht="14.1" customHeight="1" x14ac:dyDescent="0.2">
      <c r="D74" s="369"/>
      <c r="E74" s="369"/>
      <c r="F74" s="1293" t="s">
        <v>320</v>
      </c>
      <c r="G74" s="1294"/>
      <c r="H74" s="1294"/>
      <c r="I74" s="1294"/>
      <c r="J74" s="1294"/>
      <c r="K74" s="1294"/>
      <c r="L74" s="370"/>
      <c r="M74" s="371"/>
      <c r="N74" s="372"/>
    </row>
    <row r="75" spans="1:14" ht="14.25" x14ac:dyDescent="0.2">
      <c r="D75" s="381" t="s">
        <v>317</v>
      </c>
      <c r="E75" s="382"/>
      <c r="F75" s="373">
        <f>F42</f>
        <v>543.2931442469727</v>
      </c>
      <c r="G75" s="374">
        <f>+F75*(1+G$56)</f>
        <v>460.85670097269866</v>
      </c>
      <c r="H75" s="374">
        <f t="shared" ref="H75:K75" si="13">+G75*(1+H$56)</f>
        <v>460.71820158848453</v>
      </c>
      <c r="I75" s="374">
        <f t="shared" si="13"/>
        <v>460.71820158848453</v>
      </c>
      <c r="J75" s="374">
        <f t="shared" si="13"/>
        <v>458.86351373357326</v>
      </c>
      <c r="K75" s="374">
        <f t="shared" si="13"/>
        <v>470.23818223499177</v>
      </c>
      <c r="L75" s="361">
        <f>+SUM(G75:K75)</f>
        <v>2311.3948001182325</v>
      </c>
      <c r="M75" s="361">
        <f>+AVERAGE(G75:K75)</f>
        <v>462.2789600236465</v>
      </c>
      <c r="N75" s="362"/>
    </row>
    <row r="76" spans="1:14" ht="15" thickBot="1" x14ac:dyDescent="0.25">
      <c r="D76" s="363" t="s">
        <v>318</v>
      </c>
      <c r="E76" s="380"/>
      <c r="F76" s="375"/>
      <c r="G76" s="376">
        <f>+G75-F75</f>
        <v>-82.436443274274041</v>
      </c>
      <c r="H76" s="376">
        <f t="shared" ref="H76:K76" si="14">+H75-G75</f>
        <v>-0.13849938421412844</v>
      </c>
      <c r="I76" s="376">
        <f t="shared" si="14"/>
        <v>0</v>
      </c>
      <c r="J76" s="376">
        <f t="shared" si="14"/>
        <v>-1.8546878549112762</v>
      </c>
      <c r="K76" s="376">
        <f t="shared" si="14"/>
        <v>11.374668501418512</v>
      </c>
      <c r="L76" s="920">
        <f>+SUM(G76:K76)</f>
        <v>-73.054962011980933</v>
      </c>
      <c r="M76" s="377">
        <f>+AVERAGE(G76:K76)</f>
        <v>-14.610992402396187</v>
      </c>
      <c r="N76" s="378">
        <f>+M76/F24</f>
        <v>-2.0566109361425259E-3</v>
      </c>
    </row>
    <row r="77" spans="1:14" ht="11.25" customHeight="1" x14ac:dyDescent="0.2"/>
    <row r="78" spans="1:14" ht="11.25" customHeight="1" x14ac:dyDescent="0.2">
      <c r="D78" s="6" t="s">
        <v>623</v>
      </c>
    </row>
    <row r="79" spans="1:14" ht="11.25" customHeight="1" x14ac:dyDescent="0.2">
      <c r="D79" s="793" t="s">
        <v>182</v>
      </c>
      <c r="F79" s="71">
        <v>145.41015714626468</v>
      </c>
      <c r="G79" s="71">
        <v>123.34638494883352</v>
      </c>
      <c r="H79" s="71">
        <v>123.30931616297362</v>
      </c>
      <c r="I79" s="71">
        <v>123.30931616297362</v>
      </c>
      <c r="J79" s="71">
        <v>122.81291664956964</v>
      </c>
      <c r="K79" s="71">
        <v>125.85729950584593</v>
      </c>
    </row>
    <row r="80" spans="1:14" ht="11.25" customHeight="1" x14ac:dyDescent="0.2">
      <c r="A80" s="42">
        <f>IF(SUM($F80:$K80)&gt;0,1,0)</f>
        <v>0</v>
      </c>
      <c r="D80" s="793" t="s">
        <v>183</v>
      </c>
      <c r="F80" s="739">
        <f>F66-F79</f>
        <v>0</v>
      </c>
      <c r="G80" s="739">
        <f t="shared" ref="G80:J80" si="15">G66-G79</f>
        <v>0</v>
      </c>
      <c r="H80" s="739">
        <f t="shared" si="15"/>
        <v>0</v>
      </c>
      <c r="I80" s="739">
        <f t="shared" si="15"/>
        <v>0</v>
      </c>
      <c r="J80" s="739">
        <f t="shared" si="15"/>
        <v>0</v>
      </c>
      <c r="K80" s="739">
        <f>K66-K79</f>
        <v>0</v>
      </c>
    </row>
    <row r="81" spans="1:11" ht="11.25" customHeight="1" x14ac:dyDescent="0.2"/>
    <row r="82" spans="1:11" ht="11.25" customHeight="1" x14ac:dyDescent="0.2">
      <c r="D82" s="6" t="s">
        <v>624</v>
      </c>
    </row>
    <row r="83" spans="1:11" ht="11.25" customHeight="1" x14ac:dyDescent="0.2">
      <c r="D83" s="793" t="s">
        <v>182</v>
      </c>
      <c r="F83" s="71">
        <v>543.2931442469727</v>
      </c>
      <c r="G83" s="71">
        <v>460.85670097269872</v>
      </c>
      <c r="H83" s="71">
        <v>460.71820158848453</v>
      </c>
      <c r="I83" s="71">
        <v>460.71820158848453</v>
      </c>
      <c r="J83" s="71">
        <v>458.86351373357331</v>
      </c>
      <c r="K83" s="71">
        <v>470.23818223499177</v>
      </c>
    </row>
    <row r="84" spans="1:11" ht="11.25" customHeight="1" x14ac:dyDescent="0.2">
      <c r="A84" s="42">
        <f>IF(SUM($F84:$K84)&gt;0,1,0)</f>
        <v>0</v>
      </c>
      <c r="D84" s="793" t="s">
        <v>183</v>
      </c>
      <c r="F84" s="739">
        <f>F75-F83</f>
        <v>0</v>
      </c>
      <c r="G84" s="739">
        <f t="shared" ref="G84:K84" si="16">G75-G83</f>
        <v>0</v>
      </c>
      <c r="H84" s="739">
        <f t="shared" si="16"/>
        <v>0</v>
      </c>
      <c r="I84" s="739">
        <f t="shared" si="16"/>
        <v>0</v>
      </c>
      <c r="J84" s="739">
        <f t="shared" si="16"/>
        <v>0</v>
      </c>
      <c r="K84" s="739">
        <f t="shared" si="16"/>
        <v>0</v>
      </c>
    </row>
    <row r="85" spans="1:11" ht="11.25" customHeight="1" x14ac:dyDescent="0.2"/>
    <row r="86" spans="1:11" s="47" customFormat="1" ht="15.75" x14ac:dyDescent="0.2">
      <c r="B86" s="47" t="s">
        <v>32</v>
      </c>
    </row>
  </sheetData>
  <mergeCells count="11">
    <mergeCell ref="F74:K74"/>
    <mergeCell ref="E21:E22"/>
    <mergeCell ref="L61:L62"/>
    <mergeCell ref="M61:M62"/>
    <mergeCell ref="N61:N62"/>
    <mergeCell ref="F62:K62"/>
    <mergeCell ref="F65:K65"/>
    <mergeCell ref="L70:L71"/>
    <mergeCell ref="M70:M71"/>
    <mergeCell ref="N70:N71"/>
    <mergeCell ref="F71:K71"/>
  </mergeCells>
  <conditionalFormatting sqref="B2">
    <cfRule type="cellIs" dxfId="18" priority="10" operator="notEqual">
      <formula>"No Errors Found"</formula>
    </cfRule>
  </conditionalFormatting>
  <conditionalFormatting sqref="H52:H53">
    <cfRule type="expression" dxfId="17" priority="5">
      <formula>(dms_FRCPlength_Num)&lt;2</formula>
    </cfRule>
  </conditionalFormatting>
  <conditionalFormatting sqref="K52:K53">
    <cfRule type="expression" dxfId="16" priority="8">
      <formula>(dms_FRCPlength_Num)&lt;5</formula>
    </cfRule>
  </conditionalFormatting>
  <conditionalFormatting sqref="J52:J53">
    <cfRule type="expression" dxfId="15" priority="7">
      <formula>(dms_FRCPlength_Num)&lt;4</formula>
    </cfRule>
  </conditionalFormatting>
  <conditionalFormatting sqref="I52:I53">
    <cfRule type="expression" dxfId="14" priority="6">
      <formula>(dms_FRCPlength_Num)&lt;3</formula>
    </cfRule>
  </conditionalFormatting>
  <conditionalFormatting sqref="N46">
    <cfRule type="expression" dxfId="13" priority="1">
      <formula>(dms_FRCPlength_Num)&lt;3</formula>
    </cfRule>
  </conditionalFormatting>
  <dataValidations disablePrompts="1" count="1">
    <dataValidation type="list" allowBlank="1" showInputMessage="1" showErrorMessage="1" sqref="M20">
      <formula1>"Option 1,Option 2"</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5"/>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R10" sqref="R10"/>
    </sheetView>
  </sheetViews>
  <sheetFormatPr defaultColWidth="9.33203125" defaultRowHeight="11.25" outlineLevelRow="1" x14ac:dyDescent="0.2"/>
  <cols>
    <col min="1" max="3" width="3.6640625" style="46" customWidth="1"/>
    <col min="4" max="4" width="62.83203125" style="46" customWidth="1"/>
    <col min="5" max="7" width="15.6640625" style="46" customWidth="1"/>
    <col min="8" max="27" width="10.6640625" style="46" customWidth="1"/>
    <col min="28" max="16384" width="9.33203125" style="46"/>
  </cols>
  <sheetData>
    <row r="1" spans="1:7" ht="19.5" x14ac:dyDescent="0.2">
      <c r="A1" s="42">
        <f>IF(SUM($A3:$A65)&gt;0,1,0)</f>
        <v>0</v>
      </c>
      <c r="B1" s="3" t="s">
        <v>339</v>
      </c>
    </row>
    <row r="2" spans="1:7" x14ac:dyDescent="0.2">
      <c r="B2" s="9" t="str">
        <f>Title_Msg</f>
        <v>No Errors Found</v>
      </c>
    </row>
    <row r="3" spans="1:7" s="47" customFormat="1" ht="15.75" x14ac:dyDescent="0.2">
      <c r="B3" s="47" t="str">
        <f>WkB_1_2.1.1!$B$3</f>
        <v>Data required to populate TransGrid's 2023-28 regulatory submission</v>
      </c>
    </row>
    <row r="4" spans="1:7" ht="4.5" customHeight="1" x14ac:dyDescent="0.2"/>
    <row r="5" spans="1:7" s="7" customFormat="1" ht="15" x14ac:dyDescent="0.2">
      <c r="C5" s="7" t="str">
        <f>WkB_1_2.1.1!$C$5</f>
        <v>Output - RIN template</v>
      </c>
    </row>
    <row r="6" spans="1:7" ht="11.25" customHeight="1" x14ac:dyDescent="0.2"/>
    <row r="7" spans="1:7" ht="19.5" thickBot="1" x14ac:dyDescent="0.3">
      <c r="D7" s="51" t="str">
        <f>B1</f>
        <v>8.2.7 - Immediate Expensing Of Capex</v>
      </c>
      <c r="E7" s="52"/>
      <c r="F7" s="52"/>
      <c r="G7" s="52"/>
    </row>
    <row r="8" spans="1:7" ht="15.75" thickBot="1" x14ac:dyDescent="0.25">
      <c r="D8" s="127" t="s">
        <v>288</v>
      </c>
      <c r="E8" s="128"/>
      <c r="F8" s="128"/>
      <c r="G8" s="128"/>
    </row>
    <row r="9" spans="1:7" ht="28.15" customHeight="1" thickBot="1" x14ac:dyDescent="0.25">
      <c r="D9"/>
      <c r="E9" s="1082" t="s">
        <v>287</v>
      </c>
      <c r="F9" s="1083"/>
      <c r="G9" s="1084"/>
    </row>
    <row r="10" spans="1:7" ht="18.600000000000001" customHeight="1" thickBot="1" x14ac:dyDescent="0.25">
      <c r="D10"/>
      <c r="E10" s="246" t="str">
        <f>LEFT(Lookup!P$18,4)-1&amp;"-"&amp;RIGHT(Lookup!P$18,2)</f>
        <v>2018-19</v>
      </c>
      <c r="F10" s="55" t="str">
        <f>LEFT(Lookup!Q$18,4)-1&amp;"-"&amp;RIGHT(Lookup!Q$18,2)</f>
        <v>2019-20</v>
      </c>
      <c r="G10" s="57" t="str">
        <f>LEFT(Lookup!R$18,4)-1&amp;"-"&amp;RIGHT(Lookup!R$18,2)</f>
        <v>2020-21</v>
      </c>
    </row>
    <row r="11" spans="1:7" ht="15" x14ac:dyDescent="0.25">
      <c r="D11" s="769" t="s">
        <v>516</v>
      </c>
      <c r="E11" s="955" t="s">
        <v>701</v>
      </c>
      <c r="F11" s="955" t="s">
        <v>701</v>
      </c>
      <c r="G11" s="956" t="s">
        <v>701</v>
      </c>
    </row>
    <row r="12" spans="1:7" ht="15" x14ac:dyDescent="0.25">
      <c r="D12" s="770" t="s">
        <v>515</v>
      </c>
      <c r="E12" s="961" t="s">
        <v>701</v>
      </c>
      <c r="F12" s="961" t="s">
        <v>701</v>
      </c>
      <c r="G12" s="962" t="s">
        <v>701</v>
      </c>
    </row>
    <row r="13" spans="1:7" ht="15" x14ac:dyDescent="0.25">
      <c r="D13" s="771" t="s">
        <v>867</v>
      </c>
      <c r="E13" s="961" t="s">
        <v>701</v>
      </c>
      <c r="F13" s="961" t="s">
        <v>701</v>
      </c>
      <c r="G13" s="962" t="s">
        <v>701</v>
      </c>
    </row>
    <row r="14" spans="1:7" ht="15" x14ac:dyDescent="0.25">
      <c r="D14" s="771" t="s">
        <v>868</v>
      </c>
      <c r="E14" s="961" t="s">
        <v>701</v>
      </c>
      <c r="F14" s="961" t="s">
        <v>701</v>
      </c>
      <c r="G14" s="962" t="s">
        <v>701</v>
      </c>
    </row>
    <row r="15" spans="1:7" ht="15" x14ac:dyDescent="0.25">
      <c r="D15" s="771" t="s">
        <v>869</v>
      </c>
      <c r="E15" s="961" t="s">
        <v>701</v>
      </c>
      <c r="F15" s="961" t="s">
        <v>701</v>
      </c>
      <c r="G15" s="962" t="s">
        <v>701</v>
      </c>
    </row>
    <row r="16" spans="1:7" ht="15" x14ac:dyDescent="0.25">
      <c r="D16" s="771" t="s">
        <v>870</v>
      </c>
      <c r="E16" s="961" t="s">
        <v>701</v>
      </c>
      <c r="F16" s="961" t="s">
        <v>701</v>
      </c>
      <c r="G16" s="962" t="s">
        <v>701</v>
      </c>
    </row>
    <row r="17" spans="4:7" ht="15" x14ac:dyDescent="0.25">
      <c r="D17" s="771" t="s">
        <v>871</v>
      </c>
      <c r="E17" s="961" t="s">
        <v>701</v>
      </c>
      <c r="F17" s="961" t="s">
        <v>701</v>
      </c>
      <c r="G17" s="962" t="s">
        <v>701</v>
      </c>
    </row>
    <row r="18" spans="4:7" ht="15" x14ac:dyDescent="0.25">
      <c r="D18" s="771" t="s">
        <v>872</v>
      </c>
      <c r="E18" s="961" t="s">
        <v>701</v>
      </c>
      <c r="F18" s="961" t="s">
        <v>701</v>
      </c>
      <c r="G18" s="962" t="s">
        <v>701</v>
      </c>
    </row>
    <row r="19" spans="4:7" ht="15" x14ac:dyDescent="0.25">
      <c r="D19" s="771" t="s">
        <v>873</v>
      </c>
      <c r="E19" s="961" t="s">
        <v>701</v>
      </c>
      <c r="F19" s="961" t="s">
        <v>701</v>
      </c>
      <c r="G19" s="962" t="s">
        <v>701</v>
      </c>
    </row>
    <row r="20" spans="4:7" ht="15" x14ac:dyDescent="0.25">
      <c r="D20" s="771" t="s">
        <v>874</v>
      </c>
      <c r="E20" s="961" t="s">
        <v>701</v>
      </c>
      <c r="F20" s="961" t="s">
        <v>701</v>
      </c>
      <c r="G20" s="962" t="s">
        <v>701</v>
      </c>
    </row>
    <row r="21" spans="4:7" ht="15" x14ac:dyDescent="0.25">
      <c r="D21" s="771" t="s">
        <v>875</v>
      </c>
      <c r="E21" s="961" t="s">
        <v>701</v>
      </c>
      <c r="F21" s="961" t="s">
        <v>701</v>
      </c>
      <c r="G21" s="962" t="s">
        <v>701</v>
      </c>
    </row>
    <row r="22" spans="4:7" ht="15" x14ac:dyDescent="0.25">
      <c r="D22" s="771" t="s">
        <v>876</v>
      </c>
      <c r="E22" s="961" t="s">
        <v>701</v>
      </c>
      <c r="F22" s="961" t="s">
        <v>701</v>
      </c>
      <c r="G22" s="962" t="s">
        <v>701</v>
      </c>
    </row>
    <row r="23" spans="4:7" ht="15" x14ac:dyDescent="0.25">
      <c r="D23" s="771" t="s">
        <v>877</v>
      </c>
      <c r="E23" s="961" t="s">
        <v>701</v>
      </c>
      <c r="F23" s="961" t="s">
        <v>701</v>
      </c>
      <c r="G23" s="962" t="s">
        <v>701</v>
      </c>
    </row>
    <row r="24" spans="4:7" ht="15" x14ac:dyDescent="0.25">
      <c r="D24" s="771" t="s">
        <v>878</v>
      </c>
      <c r="E24" s="961" t="s">
        <v>701</v>
      </c>
      <c r="F24" s="961" t="s">
        <v>701</v>
      </c>
      <c r="G24" s="962" t="s">
        <v>701</v>
      </c>
    </row>
    <row r="25" spans="4:7" ht="15" x14ac:dyDescent="0.25">
      <c r="D25" s="771" t="s">
        <v>879</v>
      </c>
      <c r="E25" s="961" t="s">
        <v>701</v>
      </c>
      <c r="F25" s="961" t="s">
        <v>701</v>
      </c>
      <c r="G25" s="962" t="s">
        <v>701</v>
      </c>
    </row>
    <row r="26" spans="4:7" ht="15" x14ac:dyDescent="0.25">
      <c r="D26" s="771" t="s">
        <v>880</v>
      </c>
      <c r="E26" s="961" t="s">
        <v>701</v>
      </c>
      <c r="F26" s="961" t="s">
        <v>701</v>
      </c>
      <c r="G26" s="962" t="s">
        <v>701</v>
      </c>
    </row>
    <row r="27" spans="4:7" ht="15" x14ac:dyDescent="0.25">
      <c r="D27" s="771" t="s">
        <v>881</v>
      </c>
      <c r="E27" s="961" t="s">
        <v>701</v>
      </c>
      <c r="F27" s="961" t="s">
        <v>701</v>
      </c>
      <c r="G27" s="962" t="s">
        <v>701</v>
      </c>
    </row>
    <row r="28" spans="4:7" ht="15" x14ac:dyDescent="0.25">
      <c r="D28" s="771" t="s">
        <v>882</v>
      </c>
      <c r="E28" s="961" t="s">
        <v>701</v>
      </c>
      <c r="F28" s="961" t="s">
        <v>701</v>
      </c>
      <c r="G28" s="962" t="s">
        <v>701</v>
      </c>
    </row>
    <row r="29" spans="4:7" ht="15" x14ac:dyDescent="0.25">
      <c r="D29" s="771" t="s">
        <v>883</v>
      </c>
      <c r="E29" s="961" t="s">
        <v>701</v>
      </c>
      <c r="F29" s="961" t="s">
        <v>701</v>
      </c>
      <c r="G29" s="962" t="s">
        <v>701</v>
      </c>
    </row>
    <row r="30" spans="4:7" ht="15" x14ac:dyDescent="0.25">
      <c r="D30" s="771" t="s">
        <v>884</v>
      </c>
      <c r="E30" s="961" t="s">
        <v>701</v>
      </c>
      <c r="F30" s="961" t="s">
        <v>701</v>
      </c>
      <c r="G30" s="962" t="s">
        <v>701</v>
      </c>
    </row>
    <row r="31" spans="4:7" ht="15" x14ac:dyDescent="0.25">
      <c r="D31" s="771" t="s">
        <v>885</v>
      </c>
      <c r="E31" s="961" t="s">
        <v>701</v>
      </c>
      <c r="F31" s="961" t="s">
        <v>701</v>
      </c>
      <c r="G31" s="962" t="s">
        <v>701</v>
      </c>
    </row>
    <row r="32" spans="4:7" ht="15" x14ac:dyDescent="0.25">
      <c r="D32" s="771" t="s">
        <v>886</v>
      </c>
      <c r="E32" s="961" t="s">
        <v>701</v>
      </c>
      <c r="F32" s="961" t="s">
        <v>701</v>
      </c>
      <c r="G32" s="962" t="s">
        <v>701</v>
      </c>
    </row>
    <row r="33" spans="4:7" ht="15" x14ac:dyDescent="0.25">
      <c r="D33" s="771" t="s">
        <v>887</v>
      </c>
      <c r="E33" s="961" t="s">
        <v>701</v>
      </c>
      <c r="F33" s="961" t="s">
        <v>701</v>
      </c>
      <c r="G33" s="962" t="s">
        <v>701</v>
      </c>
    </row>
    <row r="34" spans="4:7" ht="15" x14ac:dyDescent="0.25">
      <c r="D34" s="771" t="s">
        <v>888</v>
      </c>
      <c r="E34" s="961" t="s">
        <v>701</v>
      </c>
      <c r="F34" s="961" t="s">
        <v>701</v>
      </c>
      <c r="G34" s="962" t="s">
        <v>701</v>
      </c>
    </row>
    <row r="35" spans="4:7" ht="15" x14ac:dyDescent="0.25">
      <c r="D35" s="771" t="s">
        <v>889</v>
      </c>
      <c r="E35" s="961" t="s">
        <v>701</v>
      </c>
      <c r="F35" s="961" t="s">
        <v>701</v>
      </c>
      <c r="G35" s="962" t="s">
        <v>701</v>
      </c>
    </row>
    <row r="36" spans="4:7" ht="15" x14ac:dyDescent="0.25">
      <c r="D36" s="771" t="s">
        <v>890</v>
      </c>
      <c r="E36" s="961" t="s">
        <v>701</v>
      </c>
      <c r="F36" s="961" t="s">
        <v>701</v>
      </c>
      <c r="G36" s="962" t="s">
        <v>701</v>
      </c>
    </row>
    <row r="37" spans="4:7" ht="15" x14ac:dyDescent="0.25">
      <c r="D37" s="771" t="s">
        <v>891</v>
      </c>
      <c r="E37" s="961" t="s">
        <v>701</v>
      </c>
      <c r="F37" s="961" t="s">
        <v>701</v>
      </c>
      <c r="G37" s="962" t="s">
        <v>701</v>
      </c>
    </row>
    <row r="38" spans="4:7" ht="15" x14ac:dyDescent="0.25">
      <c r="D38" s="771" t="s">
        <v>892</v>
      </c>
      <c r="E38" s="961" t="s">
        <v>701</v>
      </c>
      <c r="F38" s="961" t="s">
        <v>701</v>
      </c>
      <c r="G38" s="962" t="s">
        <v>701</v>
      </c>
    </row>
    <row r="39" spans="4:7" ht="15" x14ac:dyDescent="0.25">
      <c r="D39" s="771" t="s">
        <v>893</v>
      </c>
      <c r="E39" s="961" t="s">
        <v>701</v>
      </c>
      <c r="F39" s="961" t="s">
        <v>701</v>
      </c>
      <c r="G39" s="962" t="s">
        <v>701</v>
      </c>
    </row>
    <row r="40" spans="4:7" ht="15" x14ac:dyDescent="0.25">
      <c r="D40" s="771" t="s">
        <v>894</v>
      </c>
      <c r="E40" s="961" t="s">
        <v>701</v>
      </c>
      <c r="F40" s="961" t="s">
        <v>701</v>
      </c>
      <c r="G40" s="962" t="s">
        <v>701</v>
      </c>
    </row>
    <row r="41" spans="4:7" ht="15" x14ac:dyDescent="0.25">
      <c r="D41" s="771" t="s">
        <v>895</v>
      </c>
      <c r="E41" s="961" t="s">
        <v>701</v>
      </c>
      <c r="F41" s="961" t="s">
        <v>701</v>
      </c>
      <c r="G41" s="962" t="s">
        <v>701</v>
      </c>
    </row>
    <row r="42" spans="4:7" ht="15" x14ac:dyDescent="0.25">
      <c r="D42" s="771" t="s">
        <v>896</v>
      </c>
      <c r="E42" s="961" t="s">
        <v>701</v>
      </c>
      <c r="F42" s="961" t="s">
        <v>701</v>
      </c>
      <c r="G42" s="962" t="s">
        <v>701</v>
      </c>
    </row>
    <row r="43" spans="4:7" ht="15" x14ac:dyDescent="0.25">
      <c r="D43" s="771" t="s">
        <v>897</v>
      </c>
      <c r="E43" s="961" t="s">
        <v>701</v>
      </c>
      <c r="F43" s="961" t="s">
        <v>701</v>
      </c>
      <c r="G43" s="962" t="s">
        <v>701</v>
      </c>
    </row>
    <row r="44" spans="4:7" ht="15" x14ac:dyDescent="0.25">
      <c r="D44" s="771" t="s">
        <v>898</v>
      </c>
      <c r="E44" s="961" t="s">
        <v>701</v>
      </c>
      <c r="F44" s="961" t="s">
        <v>701</v>
      </c>
      <c r="G44" s="962" t="s">
        <v>701</v>
      </c>
    </row>
    <row r="45" spans="4:7" ht="15" outlineLevel="1" x14ac:dyDescent="0.25">
      <c r="D45" s="771">
        <v>0</v>
      </c>
      <c r="E45" s="65">
        <v>0</v>
      </c>
      <c r="F45" s="65">
        <v>0</v>
      </c>
      <c r="G45" s="124">
        <v>0</v>
      </c>
    </row>
    <row r="46" spans="4:7" ht="15" outlineLevel="1" x14ac:dyDescent="0.25">
      <c r="D46" s="771">
        <v>0</v>
      </c>
      <c r="E46" s="65">
        <v>0</v>
      </c>
      <c r="F46" s="65">
        <v>0</v>
      </c>
      <c r="G46" s="124">
        <v>0</v>
      </c>
    </row>
    <row r="47" spans="4:7" ht="15" outlineLevel="1" x14ac:dyDescent="0.25">
      <c r="D47" s="771">
        <v>0</v>
      </c>
      <c r="E47" s="65">
        <v>0</v>
      </c>
      <c r="F47" s="65">
        <v>0</v>
      </c>
      <c r="G47" s="124">
        <v>0</v>
      </c>
    </row>
    <row r="48" spans="4:7" ht="15" outlineLevel="1" x14ac:dyDescent="0.25">
      <c r="D48" s="771">
        <v>0</v>
      </c>
      <c r="E48" s="65">
        <v>0</v>
      </c>
      <c r="F48" s="65">
        <v>0</v>
      </c>
      <c r="G48" s="124">
        <v>0</v>
      </c>
    </row>
    <row r="49" spans="1:7" ht="15" outlineLevel="1" x14ac:dyDescent="0.25">
      <c r="D49" s="771">
        <v>0</v>
      </c>
      <c r="E49" s="65">
        <v>0</v>
      </c>
      <c r="F49" s="65">
        <v>0</v>
      </c>
      <c r="G49" s="124">
        <v>0</v>
      </c>
    </row>
    <row r="50" spans="1:7" ht="15" outlineLevel="1" x14ac:dyDescent="0.25">
      <c r="D50" s="771">
        <v>0</v>
      </c>
      <c r="E50" s="65">
        <v>0</v>
      </c>
      <c r="F50" s="65">
        <v>0</v>
      </c>
      <c r="G50" s="124">
        <v>0</v>
      </c>
    </row>
    <row r="51" spans="1:7" ht="15" outlineLevel="1" x14ac:dyDescent="0.25">
      <c r="D51" s="771">
        <v>0</v>
      </c>
      <c r="E51" s="65">
        <v>0</v>
      </c>
      <c r="F51" s="65">
        <v>0</v>
      </c>
      <c r="G51" s="124">
        <v>0</v>
      </c>
    </row>
    <row r="52" spans="1:7" ht="15" outlineLevel="1" x14ac:dyDescent="0.25">
      <c r="D52" s="771">
        <v>0</v>
      </c>
      <c r="E52" s="65">
        <v>0</v>
      </c>
      <c r="F52" s="65">
        <v>0</v>
      </c>
      <c r="G52" s="124">
        <v>0</v>
      </c>
    </row>
    <row r="53" spans="1:7" ht="15" outlineLevel="1" x14ac:dyDescent="0.25">
      <c r="D53" s="771">
        <v>0</v>
      </c>
      <c r="E53" s="65">
        <v>0</v>
      </c>
      <c r="F53" s="65">
        <v>0</v>
      </c>
      <c r="G53" s="124">
        <v>0</v>
      </c>
    </row>
    <row r="54" spans="1:7" ht="15" outlineLevel="1" x14ac:dyDescent="0.25">
      <c r="D54" s="771">
        <v>0</v>
      </c>
      <c r="E54" s="65">
        <v>0</v>
      </c>
      <c r="F54" s="65">
        <v>0</v>
      </c>
      <c r="G54" s="124">
        <v>0</v>
      </c>
    </row>
    <row r="55" spans="1:7" ht="15" outlineLevel="1" x14ac:dyDescent="0.25">
      <c r="D55" s="771">
        <v>0</v>
      </c>
      <c r="E55" s="65">
        <v>0</v>
      </c>
      <c r="F55" s="65">
        <v>0</v>
      </c>
      <c r="G55" s="124">
        <v>0</v>
      </c>
    </row>
    <row r="56" spans="1:7" ht="15" outlineLevel="1" x14ac:dyDescent="0.25">
      <c r="D56" s="771">
        <v>0</v>
      </c>
      <c r="E56" s="65">
        <v>0</v>
      </c>
      <c r="F56" s="65">
        <v>0</v>
      </c>
      <c r="G56" s="124">
        <v>0</v>
      </c>
    </row>
    <row r="57" spans="1:7" ht="15" outlineLevel="1" x14ac:dyDescent="0.25">
      <c r="D57" s="771">
        <v>0</v>
      </c>
      <c r="E57" s="65">
        <v>0</v>
      </c>
      <c r="F57" s="65">
        <v>0</v>
      </c>
      <c r="G57" s="124">
        <v>0</v>
      </c>
    </row>
    <row r="58" spans="1:7" ht="15" outlineLevel="1" x14ac:dyDescent="0.25">
      <c r="D58" s="771">
        <v>0</v>
      </c>
      <c r="E58" s="65">
        <v>0</v>
      </c>
      <c r="F58" s="65">
        <v>0</v>
      </c>
      <c r="G58" s="124">
        <v>0</v>
      </c>
    </row>
    <row r="59" spans="1:7" ht="15.75" outlineLevel="1" thickBot="1" x14ac:dyDescent="0.3">
      <c r="D59" s="772">
        <v>0</v>
      </c>
      <c r="E59" s="125">
        <v>0</v>
      </c>
      <c r="F59" s="125">
        <v>0</v>
      </c>
      <c r="G59" s="126">
        <v>0</v>
      </c>
    </row>
    <row r="60" spans="1:7" ht="13.5" thickBot="1" x14ac:dyDescent="0.25">
      <c r="D60" s="66" t="s">
        <v>179</v>
      </c>
      <c r="E60" s="964" t="s">
        <v>701</v>
      </c>
      <c r="F60" s="964" t="s">
        <v>701</v>
      </c>
      <c r="G60" s="965" t="s">
        <v>701</v>
      </c>
    </row>
    <row r="61" spans="1:7" ht="11.25" customHeight="1" x14ac:dyDescent="0.2"/>
    <row r="62" spans="1:7" ht="11.25" customHeight="1" x14ac:dyDescent="0.2">
      <c r="D62" s="6" t="s">
        <v>182</v>
      </c>
      <c r="E62" s="992" t="s">
        <v>701</v>
      </c>
      <c r="F62" s="992" t="s">
        <v>701</v>
      </c>
      <c r="G62" s="992" t="s">
        <v>701</v>
      </c>
    </row>
    <row r="63" spans="1:7" ht="11.25" customHeight="1" x14ac:dyDescent="0.2">
      <c r="A63" s="42">
        <f>IF(SUM($E63:$G63)&gt;0,1,0)</f>
        <v>0</v>
      </c>
      <c r="D63" s="6" t="s">
        <v>183</v>
      </c>
      <c r="E63" s="70">
        <v>0</v>
      </c>
      <c r="F63" s="70">
        <v>0</v>
      </c>
      <c r="G63" s="70">
        <v>0</v>
      </c>
    </row>
    <row r="64" spans="1:7" ht="11.25" customHeight="1" x14ac:dyDescent="0.2"/>
    <row r="65" spans="2:2" s="47" customFormat="1" ht="15.75" x14ac:dyDescent="0.2">
      <c r="B65" s="47" t="s">
        <v>32</v>
      </c>
    </row>
  </sheetData>
  <mergeCells count="1">
    <mergeCell ref="E9:G9"/>
  </mergeCells>
  <conditionalFormatting sqref="B2">
    <cfRule type="cellIs" dxfId="12" priority="3" operator="notEqual">
      <formula>"No Errors Found"</formula>
    </cfRule>
  </conditionalFormatting>
  <conditionalFormatting sqref="G11:G44">
    <cfRule type="expression" dxfId="11" priority="2">
      <formula>(dms_FRCPlength_Num)&lt;5</formula>
    </cfRule>
  </conditionalFormatting>
  <conditionalFormatting sqref="G45:G59">
    <cfRule type="expression" dxfId="10" priority="1">
      <formula>(dms_FRCPlength_Num)&lt;5</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89"/>
  <sheetViews>
    <sheetView showGridLines="0" zoomScaleNormal="100" workbookViewId="0">
      <pane xSplit="1" ySplit="2" topLeftCell="B3" activePane="bottomRight" state="frozen"/>
      <selection activeCell="D10" sqref="D10"/>
      <selection pane="topRight" activeCell="D10" sqref="D10"/>
      <selection pane="bottomLeft" activeCell="D10" sqref="D10"/>
      <selection pane="bottomRight" activeCell="B3" sqref="B3"/>
    </sheetView>
  </sheetViews>
  <sheetFormatPr defaultColWidth="9.33203125" defaultRowHeight="11.25" x14ac:dyDescent="0.2"/>
  <cols>
    <col min="1" max="3" width="3.6640625" style="46" customWidth="1"/>
    <col min="4" max="4" width="62.83203125" style="46" customWidth="1"/>
    <col min="5" max="11" width="15.6640625" style="46" customWidth="1"/>
    <col min="12" max="27" width="10.6640625" style="46" customWidth="1"/>
    <col min="28" max="16384" width="9.33203125" style="46"/>
  </cols>
  <sheetData>
    <row r="1" spans="1:13" ht="19.5" x14ac:dyDescent="0.2">
      <c r="A1" s="42">
        <f>IF(SUM($A3:$A89)&gt;0,1,0)</f>
        <v>0</v>
      </c>
      <c r="B1" s="3" t="s">
        <v>609</v>
      </c>
    </row>
    <row r="2" spans="1:13" x14ac:dyDescent="0.2">
      <c r="B2" s="9" t="str">
        <f>Title_Msg</f>
        <v>No Errors Found</v>
      </c>
    </row>
    <row r="3" spans="1:13" s="47" customFormat="1" ht="15.75" x14ac:dyDescent="0.2">
      <c r="B3" s="47" t="s">
        <v>594</v>
      </c>
    </row>
    <row r="4" spans="1:13" ht="4.5" customHeight="1" x14ac:dyDescent="0.2"/>
    <row r="5" spans="1:13" s="7" customFormat="1" ht="15" x14ac:dyDescent="0.2">
      <c r="C5" s="7" t="s">
        <v>579</v>
      </c>
    </row>
    <row r="6" spans="1:13" ht="11.25" customHeight="1" x14ac:dyDescent="0.2"/>
    <row r="7" spans="1:13" ht="19.5" thickBot="1" x14ac:dyDescent="0.3">
      <c r="D7" s="51" t="s">
        <v>580</v>
      </c>
      <c r="E7" s="52"/>
      <c r="F7" s="52"/>
      <c r="G7" s="52"/>
      <c r="H7" s="52"/>
      <c r="I7" s="52"/>
      <c r="J7" s="52"/>
      <c r="K7" s="52"/>
    </row>
    <row r="8" spans="1:13" ht="15.75" thickBot="1" x14ac:dyDescent="0.25">
      <c r="D8" s="127"/>
      <c r="E8" s="128"/>
      <c r="F8" s="128"/>
      <c r="G8" s="128"/>
      <c r="H8" s="128"/>
      <c r="I8" s="128"/>
      <c r="J8" s="128"/>
      <c r="K8" s="128"/>
    </row>
    <row r="9" spans="1:13" ht="28.15" customHeight="1" thickBot="1" x14ac:dyDescent="0.25">
      <c r="D9"/>
      <c r="E9" s="1082" t="s">
        <v>581</v>
      </c>
      <c r="F9" s="1083"/>
      <c r="G9" s="1083"/>
      <c r="H9" s="1083"/>
      <c r="I9" s="1083"/>
      <c r="J9" s="1083"/>
      <c r="K9" s="1084"/>
    </row>
    <row r="10" spans="1:13" ht="18.600000000000001" customHeight="1" thickBot="1" x14ac:dyDescent="0.25">
      <c r="D10"/>
      <c r="E10" s="53" t="str">
        <f>WkB_1_2.1.1!$E$9</f>
        <v>2021-22</v>
      </c>
      <c r="F10" s="54" t="str">
        <f>WkB_1_2.1.1!$F$9</f>
        <v>2022-23</v>
      </c>
      <c r="G10" s="55" t="str">
        <f>WkB_1_2.1.1!$G$9</f>
        <v>2023-24</v>
      </c>
      <c r="H10" s="56" t="str">
        <f>WkB_1_2.1.1!$H$9</f>
        <v>2024-25</v>
      </c>
      <c r="I10" s="56" t="str">
        <f>WkB_1_2.1.1!$I$9</f>
        <v>2025-26</v>
      </c>
      <c r="J10" s="56" t="str">
        <f>WkB_1_2.1.1!$J$9</f>
        <v>2026-27</v>
      </c>
      <c r="K10" s="57" t="str">
        <f>WkB_1_2.1.1!$K$9</f>
        <v>2027-28</v>
      </c>
    </row>
    <row r="11" spans="1:13" ht="15" x14ac:dyDescent="0.25">
      <c r="D11" s="769" t="s">
        <v>901</v>
      </c>
      <c r="E11" s="399"/>
      <c r="F11" s="61">
        <v>71150.233544162271</v>
      </c>
      <c r="G11" s="61">
        <v>70775.81493432229</v>
      </c>
      <c r="H11" s="61">
        <v>70797.091295342674</v>
      </c>
      <c r="I11" s="61">
        <v>70797.091295342674</v>
      </c>
      <c r="J11" s="61">
        <v>71083.247203272957</v>
      </c>
      <c r="K11" s="123">
        <v>71590.380952642328</v>
      </c>
      <c r="M11" s="873" t="s">
        <v>583</v>
      </c>
    </row>
    <row r="12" spans="1:13" ht="15" x14ac:dyDescent="0.25">
      <c r="D12" s="117" t="s">
        <v>902</v>
      </c>
      <c r="E12" s="402"/>
      <c r="F12" s="65">
        <v>18943.781569260176</v>
      </c>
      <c r="G12" s="65">
        <v>19029.69441084412</v>
      </c>
      <c r="H12" s="65">
        <v>19158.273427133608</v>
      </c>
      <c r="I12" s="65">
        <v>19357.542244354911</v>
      </c>
      <c r="J12" s="65">
        <v>19556.811061576213</v>
      </c>
      <c r="K12" s="124">
        <v>19798.253173447523</v>
      </c>
      <c r="M12" s="873" t="s">
        <v>585</v>
      </c>
    </row>
    <row r="13" spans="1:13" ht="15" x14ac:dyDescent="0.25">
      <c r="D13" s="118" t="s">
        <v>903</v>
      </c>
      <c r="E13" s="402"/>
      <c r="F13" s="65">
        <v>4107768.4422755172</v>
      </c>
      <c r="G13" s="65">
        <v>4162543.3947905069</v>
      </c>
      <c r="H13" s="65">
        <v>4217318.3473054962</v>
      </c>
      <c r="I13" s="65">
        <v>4272093.2998204855</v>
      </c>
      <c r="J13" s="65">
        <v>4326868.2523354748</v>
      </c>
      <c r="K13" s="124">
        <v>4381643.2048504651</v>
      </c>
      <c r="M13" s="873"/>
    </row>
    <row r="14" spans="1:13" ht="15.75" thickBot="1" x14ac:dyDescent="0.3">
      <c r="D14" s="868" t="s">
        <v>904</v>
      </c>
      <c r="E14" s="869"/>
      <c r="F14" s="125">
        <v>13059</v>
      </c>
      <c r="G14" s="125">
        <v>13353</v>
      </c>
      <c r="H14" s="125">
        <v>14427</v>
      </c>
      <c r="I14" s="125">
        <v>14427</v>
      </c>
      <c r="J14" s="125">
        <v>14427</v>
      </c>
      <c r="K14" s="126">
        <v>14427</v>
      </c>
      <c r="M14" s="873" t="s">
        <v>584</v>
      </c>
    </row>
    <row r="16" spans="1:13" s="7" customFormat="1" ht="15" x14ac:dyDescent="0.2">
      <c r="C16" s="7" t="s">
        <v>582</v>
      </c>
    </row>
    <row r="17" spans="1:11" ht="11.25" customHeight="1" x14ac:dyDescent="0.2"/>
    <row r="18" spans="1:11" ht="19.5" thickBot="1" x14ac:dyDescent="0.3">
      <c r="D18" s="51" t="s">
        <v>580</v>
      </c>
      <c r="E18" s="52"/>
      <c r="F18" s="52"/>
      <c r="G18" s="52"/>
      <c r="H18" s="52"/>
      <c r="I18" s="52"/>
      <c r="J18" s="52"/>
      <c r="K18" s="52"/>
    </row>
    <row r="19" spans="1:11" ht="15.75" thickBot="1" x14ac:dyDescent="0.25">
      <c r="D19" s="127"/>
      <c r="E19" s="128"/>
      <c r="F19" s="128"/>
      <c r="G19" s="128"/>
      <c r="H19" s="128"/>
      <c r="I19" s="128"/>
      <c r="J19" s="128"/>
      <c r="K19" s="128"/>
    </row>
    <row r="20" spans="1:11" ht="28.15" customHeight="1" thickBot="1" x14ac:dyDescent="0.25">
      <c r="D20"/>
      <c r="E20" s="1082" t="s">
        <v>581</v>
      </c>
      <c r="F20" s="1083"/>
      <c r="G20" s="1083"/>
      <c r="H20" s="1083"/>
      <c r="I20" s="1083"/>
      <c r="J20" s="1083"/>
      <c r="K20" s="1084"/>
    </row>
    <row r="21" spans="1:11" ht="18.600000000000001" customHeight="1" thickBot="1" x14ac:dyDescent="0.25">
      <c r="D21"/>
      <c r="E21" s="53" t="str">
        <f>WkB_1_2.1.1!$E$9</f>
        <v>2021-22</v>
      </c>
      <c r="F21" s="54" t="str">
        <f>WkB_1_2.1.1!$F$9</f>
        <v>2022-23</v>
      </c>
      <c r="G21" s="55" t="str">
        <f>WkB_1_2.1.1!$G$9</f>
        <v>2023-24</v>
      </c>
      <c r="H21" s="56" t="str">
        <f>WkB_1_2.1.1!$H$9</f>
        <v>2024-25</v>
      </c>
      <c r="I21" s="56" t="str">
        <f>WkB_1_2.1.1!$I$9</f>
        <v>2025-26</v>
      </c>
      <c r="J21" s="56" t="str">
        <f>WkB_1_2.1.1!$J$9</f>
        <v>2026-27</v>
      </c>
      <c r="K21" s="57" t="str">
        <f>WkB_1_2.1.1!$K$9</f>
        <v>2027-28</v>
      </c>
    </row>
    <row r="22" spans="1:11" ht="15" x14ac:dyDescent="0.25">
      <c r="D22" s="769" t="str">
        <f>D11</f>
        <v>Energy throughput (GWh)</v>
      </c>
      <c r="E22" s="399"/>
      <c r="F22" s="61">
        <v>71150.233544162271</v>
      </c>
      <c r="G22" s="61">
        <v>70775.81493432229</v>
      </c>
      <c r="H22" s="61">
        <v>70797.091295342674</v>
      </c>
      <c r="I22" s="61">
        <v>70797.091295342674</v>
      </c>
      <c r="J22" s="61">
        <v>71083.247203272957</v>
      </c>
      <c r="K22" s="123">
        <v>71590.380952642328</v>
      </c>
    </row>
    <row r="23" spans="1:11" ht="15" x14ac:dyDescent="0.25">
      <c r="D23" s="870" t="str">
        <f t="shared" ref="D23:D25" si="0">D12</f>
        <v>Ratcheted Maximum Demand (MW)</v>
      </c>
      <c r="E23" s="402"/>
      <c r="F23" s="65">
        <v>18943.781569260176</v>
      </c>
      <c r="G23" s="65">
        <v>19029.69441084412</v>
      </c>
      <c r="H23" s="65">
        <v>19158.273427133608</v>
      </c>
      <c r="I23" s="65">
        <v>19357.542244354911</v>
      </c>
      <c r="J23" s="65">
        <v>19556.811061576213</v>
      </c>
      <c r="K23" s="124">
        <v>19798.253173447523</v>
      </c>
    </row>
    <row r="24" spans="1:11" ht="15" x14ac:dyDescent="0.25">
      <c r="D24" s="871" t="str">
        <f t="shared" si="0"/>
        <v>Customer numbers (#)</v>
      </c>
      <c r="E24" s="402"/>
      <c r="F24" s="65">
        <v>0</v>
      </c>
      <c r="G24" s="65">
        <v>0</v>
      </c>
      <c r="H24" s="65">
        <v>0</v>
      </c>
      <c r="I24" s="65">
        <v>0</v>
      </c>
      <c r="J24" s="65">
        <v>0</v>
      </c>
      <c r="K24" s="124">
        <v>0</v>
      </c>
    </row>
    <row r="25" spans="1:11" ht="15.75" thickBot="1" x14ac:dyDescent="0.3">
      <c r="D25" s="872" t="str">
        <f t="shared" si="0"/>
        <v>Circuit Length (km)</v>
      </c>
      <c r="E25" s="869"/>
      <c r="F25" s="125">
        <v>13058.453</v>
      </c>
      <c r="G25" s="125">
        <v>13352.348999999997</v>
      </c>
      <c r="H25" s="125">
        <v>14426.348999999995</v>
      </c>
      <c r="I25" s="125">
        <v>14426.348999999995</v>
      </c>
      <c r="J25" s="125">
        <v>14426.348999999995</v>
      </c>
      <c r="K25" s="126">
        <v>14426.348999999995</v>
      </c>
    </row>
    <row r="27" spans="1:11" s="7" customFormat="1" ht="15" x14ac:dyDescent="0.2">
      <c r="C27" s="7" t="s">
        <v>593</v>
      </c>
    </row>
    <row r="29" spans="1:11" ht="12.75" x14ac:dyDescent="0.2">
      <c r="A29" s="42">
        <f>IF(SUM($F29:$K29)&lt;&gt;0,1,0)</f>
        <v>0</v>
      </c>
      <c r="D29" s="6" t="str">
        <f>D11</f>
        <v>Energy throughput (GWh)</v>
      </c>
      <c r="F29" s="73">
        <f>ROUND(F11-F22,2)</f>
        <v>0</v>
      </c>
      <c r="G29" s="73">
        <f t="shared" ref="G29:K29" si="1">ROUND(G11-G22,2)</f>
        <v>0</v>
      </c>
      <c r="H29" s="73">
        <f t="shared" si="1"/>
        <v>0</v>
      </c>
      <c r="I29" s="73">
        <f t="shared" si="1"/>
        <v>0</v>
      </c>
      <c r="J29" s="73">
        <f t="shared" si="1"/>
        <v>0</v>
      </c>
      <c r="K29" s="73">
        <f t="shared" si="1"/>
        <v>0</v>
      </c>
    </row>
    <row r="30" spans="1:11" ht="12.75" x14ac:dyDescent="0.2">
      <c r="A30" s="42">
        <f t="shared" ref="A30:A31" si="2">IF(SUM($F30:$K30)&lt;&gt;0,1,0)</f>
        <v>0</v>
      </c>
      <c r="D30" s="6" t="str">
        <f t="shared" ref="D30" si="3">D12</f>
        <v>Ratcheted Maximum Demand (MW)</v>
      </c>
      <c r="F30" s="73">
        <f t="shared" ref="F30:K30" si="4">ROUND(F12-F23,2)</f>
        <v>0</v>
      </c>
      <c r="G30" s="73">
        <f t="shared" si="4"/>
        <v>0</v>
      </c>
      <c r="H30" s="73">
        <f t="shared" si="4"/>
        <v>0</v>
      </c>
      <c r="I30" s="73">
        <f t="shared" si="4"/>
        <v>0</v>
      </c>
      <c r="J30" s="73">
        <f t="shared" si="4"/>
        <v>0</v>
      </c>
      <c r="K30" s="73">
        <f t="shared" si="4"/>
        <v>0</v>
      </c>
    </row>
    <row r="31" spans="1:11" ht="12.75" x14ac:dyDescent="0.2">
      <c r="A31" s="42">
        <f t="shared" si="2"/>
        <v>0</v>
      </c>
      <c r="D31" s="6" t="str">
        <f>D14</f>
        <v>Circuit Length (km)</v>
      </c>
      <c r="F31" s="73">
        <f>ROUND(F14-F25,-1)</f>
        <v>0</v>
      </c>
      <c r="G31" s="73">
        <f t="shared" ref="G31:K31" si="5">ROUND(G14-G25,-1)</f>
        <v>0</v>
      </c>
      <c r="H31" s="73">
        <f t="shared" si="5"/>
        <v>0</v>
      </c>
      <c r="I31" s="73">
        <f t="shared" si="5"/>
        <v>0</v>
      </c>
      <c r="J31" s="73">
        <f t="shared" si="5"/>
        <v>0</v>
      </c>
      <c r="K31" s="73">
        <f t="shared" si="5"/>
        <v>0</v>
      </c>
    </row>
    <row r="33" spans="1:11" s="47" customFormat="1" ht="15.75" x14ac:dyDescent="0.2">
      <c r="B33" s="47" t="s">
        <v>595</v>
      </c>
    </row>
    <row r="34" spans="1:11" x14ac:dyDescent="0.2">
      <c r="B34" s="901" t="s">
        <v>596</v>
      </c>
    </row>
    <row r="35" spans="1:11" ht="12.75" x14ac:dyDescent="0.2">
      <c r="B35" s="901"/>
      <c r="D35" s="902" t="s">
        <v>600</v>
      </c>
    </row>
    <row r="36" spans="1:11" ht="12.75" x14ac:dyDescent="0.2">
      <c r="D36" s="6" t="s">
        <v>598</v>
      </c>
      <c r="E36" s="73">
        <v>1505</v>
      </c>
      <c r="F36" s="73">
        <v>2539.9</v>
      </c>
      <c r="G36" s="73">
        <v>1735.5</v>
      </c>
      <c r="H36" s="73">
        <v>2184.4499999999998</v>
      </c>
      <c r="I36" s="73">
        <v>1995.05</v>
      </c>
      <c r="J36" s="73">
        <v>1855.42</v>
      </c>
      <c r="K36" s="73">
        <v>2229.6999999999998</v>
      </c>
    </row>
    <row r="37" spans="1:11" ht="12.75" x14ac:dyDescent="0.2">
      <c r="D37" s="6" t="s">
        <v>599</v>
      </c>
      <c r="E37" s="73">
        <v>1505</v>
      </c>
      <c r="F37" s="73">
        <v>2539.9</v>
      </c>
      <c r="G37" s="73">
        <v>1735.5</v>
      </c>
      <c r="H37" s="73">
        <v>2184.4499999999998</v>
      </c>
      <c r="I37" s="73">
        <v>1995.05</v>
      </c>
      <c r="J37" s="73">
        <v>1855.42</v>
      </c>
      <c r="K37" s="73">
        <v>2229.6999999999998</v>
      </c>
    </row>
    <row r="38" spans="1:11" ht="12.75" x14ac:dyDescent="0.2">
      <c r="A38" s="42">
        <f>IF(SUM($E38:$K38)&lt;&gt;0,1,0)</f>
        <v>0</v>
      </c>
      <c r="D38" s="6" t="s">
        <v>502</v>
      </c>
      <c r="E38" s="70">
        <f>IF(ROUND(E36-E37,1)=0,0,1)</f>
        <v>0</v>
      </c>
      <c r="F38" s="70">
        <f t="shared" ref="F38" si="6">IF(ROUND(F36-F37,1)=0,0,1)</f>
        <v>0</v>
      </c>
      <c r="G38" s="70">
        <f t="shared" ref="G38" si="7">IF(ROUND(G36-G37,1)=0,0,1)</f>
        <v>0</v>
      </c>
      <c r="H38" s="70">
        <f t="shared" ref="H38" si="8">IF(ROUND(H36-H37,1)=0,0,1)</f>
        <v>0</v>
      </c>
      <c r="I38" s="70">
        <f t="shared" ref="I38" si="9">IF(ROUND(I36-I37,1)=0,0,1)</f>
        <v>0</v>
      </c>
      <c r="J38" s="70">
        <f t="shared" ref="J38" si="10">IF(ROUND(J36-J37,1)=0,0,1)</f>
        <v>0</v>
      </c>
      <c r="K38" s="70">
        <f t="shared" ref="K38" si="11">IF(ROUND(K36-K37,1)=0,0,1)</f>
        <v>0</v>
      </c>
    </row>
    <row r="39" spans="1:11" x14ac:dyDescent="0.2">
      <c r="B39" s="901"/>
    </row>
    <row r="40" spans="1:11" ht="12.75" x14ac:dyDescent="0.2">
      <c r="B40" s="901"/>
      <c r="D40" s="902" t="s">
        <v>597</v>
      </c>
    </row>
    <row r="41" spans="1:11" ht="12.75" x14ac:dyDescent="0.2">
      <c r="D41" s="6" t="s">
        <v>598</v>
      </c>
      <c r="E41" s="73">
        <v>90699.908469205446</v>
      </c>
      <c r="F41" s="73">
        <v>90815.545627721862</v>
      </c>
      <c r="G41" s="73">
        <v>91376.932269307741</v>
      </c>
      <c r="H41" s="73">
        <v>96225.449993640184</v>
      </c>
      <c r="I41" s="73">
        <v>96255.449993640184</v>
      </c>
      <c r="J41" s="73">
        <v>96255.449993640184</v>
      </c>
      <c r="K41" s="73">
        <v>97380.449993640184</v>
      </c>
    </row>
    <row r="42" spans="1:11" ht="12.75" x14ac:dyDescent="0.2">
      <c r="D42" s="6" t="s">
        <v>599</v>
      </c>
      <c r="E42" s="73">
        <v>90699.908469205446</v>
      </c>
      <c r="F42" s="73">
        <v>90815.545627721862</v>
      </c>
      <c r="G42" s="73">
        <v>91376.932269307741</v>
      </c>
      <c r="H42" s="73">
        <v>96225.449993640184</v>
      </c>
      <c r="I42" s="73">
        <v>96255.449993640184</v>
      </c>
      <c r="J42" s="73">
        <v>96255.449993640184</v>
      </c>
      <c r="K42" s="73">
        <v>97380.449993640184</v>
      </c>
    </row>
    <row r="43" spans="1:11" ht="12.75" x14ac:dyDescent="0.2">
      <c r="A43" s="42">
        <f>IF(SUM($E43:$K43)&lt;&gt;0,1,0)</f>
        <v>0</v>
      </c>
      <c r="D43" s="6" t="s">
        <v>502</v>
      </c>
      <c r="E43" s="70">
        <f>IF(ROUND(E41-E42,1)=0,0,1)</f>
        <v>0</v>
      </c>
      <c r="F43" s="70">
        <f t="shared" ref="F43:K43" si="12">IF(ROUND(F41-F42,1)=0,0,1)</f>
        <v>0</v>
      </c>
      <c r="G43" s="70">
        <f t="shared" si="12"/>
        <v>0</v>
      </c>
      <c r="H43" s="70">
        <f t="shared" si="12"/>
        <v>0</v>
      </c>
      <c r="I43" s="70">
        <f t="shared" si="12"/>
        <v>0</v>
      </c>
      <c r="J43" s="70">
        <f t="shared" si="12"/>
        <v>0</v>
      </c>
      <c r="K43" s="70">
        <f t="shared" si="12"/>
        <v>0</v>
      </c>
    </row>
    <row r="45" spans="1:11" ht="12.75" x14ac:dyDescent="0.2">
      <c r="D45" s="902" t="s">
        <v>601</v>
      </c>
    </row>
    <row r="46" spans="1:11" ht="12.75" x14ac:dyDescent="0.2">
      <c r="D46" s="6" t="s">
        <v>598</v>
      </c>
      <c r="E46" s="73">
        <v>22159.989999999998</v>
      </c>
      <c r="F46" s="73">
        <v>0</v>
      </c>
      <c r="G46" s="73">
        <v>0</v>
      </c>
      <c r="H46" s="73">
        <v>0</v>
      </c>
      <c r="I46" s="73">
        <v>0</v>
      </c>
      <c r="J46" s="73">
        <v>0</v>
      </c>
      <c r="K46" s="73">
        <v>0</v>
      </c>
    </row>
    <row r="47" spans="1:11" ht="12.75" x14ac:dyDescent="0.2">
      <c r="D47" s="6" t="s">
        <v>599</v>
      </c>
      <c r="E47" s="73">
        <v>22159.989999999998</v>
      </c>
      <c r="F47" s="73">
        <v>0</v>
      </c>
      <c r="G47" s="73">
        <v>0</v>
      </c>
      <c r="H47" s="73">
        <v>0</v>
      </c>
      <c r="I47" s="73">
        <v>0</v>
      </c>
      <c r="J47" s="73">
        <v>0</v>
      </c>
      <c r="K47" s="73">
        <v>0</v>
      </c>
    </row>
    <row r="48" spans="1:11" ht="12.75" x14ac:dyDescent="0.2">
      <c r="A48" s="42">
        <f>IF(SUM($E48:$K48)&lt;&gt;0,1,0)</f>
        <v>0</v>
      </c>
      <c r="D48" s="6" t="s">
        <v>502</v>
      </c>
      <c r="E48" s="70">
        <f>IF(ROUND(E46-E47,1)=0,0,1)</f>
        <v>0</v>
      </c>
      <c r="F48" s="70">
        <f t="shared" ref="F48" si="13">IF(ROUND(F46-F47,1)=0,0,1)</f>
        <v>0</v>
      </c>
      <c r="G48" s="70">
        <f t="shared" ref="G48" si="14">IF(ROUND(G46-G47,1)=0,0,1)</f>
        <v>0</v>
      </c>
      <c r="H48" s="70">
        <f t="shared" ref="H48" si="15">IF(ROUND(H46-H47,1)=0,0,1)</f>
        <v>0</v>
      </c>
      <c r="I48" s="70">
        <f t="shared" ref="I48" si="16">IF(ROUND(I46-I47,1)=0,0,1)</f>
        <v>0</v>
      </c>
      <c r="J48" s="70">
        <f t="shared" ref="J48" si="17">IF(ROUND(J46-J47,1)=0,0,1)</f>
        <v>0</v>
      </c>
      <c r="K48" s="70">
        <f t="shared" ref="K48" si="18">IF(ROUND(K46-K47,1)=0,0,1)</f>
        <v>0</v>
      </c>
    </row>
    <row r="50" spans="1:14" ht="12.75" x14ac:dyDescent="0.2">
      <c r="D50" s="902" t="s">
        <v>602</v>
      </c>
    </row>
    <row r="51" spans="1:14" ht="12.75" x14ac:dyDescent="0.2">
      <c r="D51" s="6" t="s">
        <v>598</v>
      </c>
      <c r="E51" s="73">
        <v>200.11244380561905</v>
      </c>
      <c r="F51" s="73">
        <v>54.427513592563272</v>
      </c>
      <c r="G51" s="73">
        <v>85.930970890398868</v>
      </c>
      <c r="H51" s="73">
        <v>88.390409760431695</v>
      </c>
      <c r="I51" s="73">
        <v>64.895249694664301</v>
      </c>
      <c r="J51" s="73">
        <v>0</v>
      </c>
      <c r="K51" s="73">
        <v>98.751317548735429</v>
      </c>
      <c r="L51" s="73">
        <v>199.99563000000001</v>
      </c>
      <c r="M51" s="73">
        <v>99.55131754873544</v>
      </c>
      <c r="N51" s="73">
        <v>44.520769999999999</v>
      </c>
    </row>
    <row r="52" spans="1:14" ht="12.75" x14ac:dyDescent="0.2">
      <c r="D52" s="6" t="s">
        <v>599</v>
      </c>
      <c r="E52" s="73">
        <v>200.11244380561905</v>
      </c>
      <c r="F52" s="73">
        <v>54.427513592563272</v>
      </c>
      <c r="G52" s="73">
        <v>85.930970890398868</v>
      </c>
      <c r="H52" s="73">
        <v>88.390409760431695</v>
      </c>
      <c r="I52" s="73">
        <v>64.895249694664301</v>
      </c>
      <c r="J52" s="73">
        <v>0</v>
      </c>
      <c r="K52" s="73">
        <v>98.751317548735429</v>
      </c>
      <c r="L52" s="73">
        <v>199.99563000000001</v>
      </c>
      <c r="M52" s="73">
        <v>99.55131754873544</v>
      </c>
      <c r="N52" s="73">
        <v>44.520769999999999</v>
      </c>
    </row>
    <row r="53" spans="1:14" ht="12.75" x14ac:dyDescent="0.2">
      <c r="A53" s="42">
        <f>IF(SUM($E53:$N53)&lt;&gt;0,1,0)</f>
        <v>0</v>
      </c>
      <c r="D53" s="6" t="s">
        <v>502</v>
      </c>
      <c r="E53" s="70">
        <f>IF(ROUND(E51-E52,1)=0,0,1)</f>
        <v>0</v>
      </c>
      <c r="F53" s="70">
        <f t="shared" ref="F53" si="19">IF(ROUND(F51-F52,1)=0,0,1)</f>
        <v>0</v>
      </c>
      <c r="G53" s="70">
        <f t="shared" ref="G53" si="20">IF(ROUND(G51-G52,1)=0,0,1)</f>
        <v>0</v>
      </c>
      <c r="H53" s="70">
        <f t="shared" ref="H53" si="21">IF(ROUND(H51-H52,1)=0,0,1)</f>
        <v>0</v>
      </c>
      <c r="I53" s="70">
        <f t="shared" ref="I53" si="22">IF(ROUND(I51-I52,1)=0,0,1)</f>
        <v>0</v>
      </c>
      <c r="J53" s="70">
        <f t="shared" ref="J53" si="23">IF(ROUND(J51-J52,1)=0,0,1)</f>
        <v>0</v>
      </c>
      <c r="K53" s="70">
        <f t="shared" ref="K53" si="24">IF(ROUND(K51-K52,1)=0,0,1)</f>
        <v>0</v>
      </c>
      <c r="L53" s="70">
        <f t="shared" ref="L53" si="25">IF(ROUND(L51-L52,1)=0,0,1)</f>
        <v>0</v>
      </c>
      <c r="M53" s="70">
        <f t="shared" ref="M53" si="26">IF(ROUND(M51-M52,1)=0,0,1)</f>
        <v>0</v>
      </c>
      <c r="N53" s="70">
        <f t="shared" ref="N53" si="27">IF(ROUND(N51-N52,1)=0,0,1)</f>
        <v>0</v>
      </c>
    </row>
    <row r="55" spans="1:14" ht="12.75" x14ac:dyDescent="0.2">
      <c r="D55" s="902" t="s">
        <v>603</v>
      </c>
    </row>
    <row r="56" spans="1:14" ht="12.75" x14ac:dyDescent="0.2">
      <c r="D56" s="6" t="s">
        <v>598</v>
      </c>
      <c r="E56" s="73">
        <v>102902</v>
      </c>
      <c r="F56" s="73">
        <v>61990</v>
      </c>
      <c r="G56" s="73">
        <v>16324</v>
      </c>
      <c r="H56" s="73">
        <v>12354</v>
      </c>
      <c r="I56" s="73">
        <v>5165.8333333333339</v>
      </c>
    </row>
    <row r="57" spans="1:14" ht="12.75" x14ac:dyDescent="0.2">
      <c r="D57" s="6" t="s">
        <v>599</v>
      </c>
      <c r="E57" s="73">
        <v>102902</v>
      </c>
      <c r="F57" s="73">
        <v>61990</v>
      </c>
      <c r="G57" s="73">
        <v>16324</v>
      </c>
      <c r="H57" s="73">
        <v>12354</v>
      </c>
      <c r="I57" s="73">
        <v>5165.8333333333339</v>
      </c>
    </row>
    <row r="58" spans="1:14" ht="12.75" x14ac:dyDescent="0.2">
      <c r="A58" s="42">
        <f>IF(SUM($E58:$K58)&lt;&gt;0,1,0)</f>
        <v>0</v>
      </c>
      <c r="D58" s="6" t="s">
        <v>502</v>
      </c>
      <c r="E58" s="70">
        <f>IF(ROUND(E56-E57,1)=0,0,1)</f>
        <v>0</v>
      </c>
      <c r="F58" s="70">
        <f t="shared" ref="F58" si="28">IF(ROUND(F56-F57,1)=0,0,1)</f>
        <v>0</v>
      </c>
      <c r="G58" s="70">
        <f t="shared" ref="G58" si="29">IF(ROUND(G56-G57,1)=0,0,1)</f>
        <v>0</v>
      </c>
      <c r="H58" s="70">
        <f t="shared" ref="H58" si="30">IF(ROUND(H56-H57,1)=0,0,1)</f>
        <v>0</v>
      </c>
      <c r="I58" s="70">
        <f t="shared" ref="I58" si="31">IF(ROUND(I56-I57,1)=0,0,1)</f>
        <v>0</v>
      </c>
    </row>
    <row r="60" spans="1:14" s="47" customFormat="1" ht="15.75" x14ac:dyDescent="0.2">
      <c r="B60" s="47" t="s">
        <v>604</v>
      </c>
    </row>
    <row r="62" spans="1:14" ht="12.75" x14ac:dyDescent="0.2">
      <c r="B62" s="901"/>
      <c r="D62" s="902" t="s">
        <v>605</v>
      </c>
    </row>
    <row r="63" spans="1:14" ht="12.75" x14ac:dyDescent="0.2">
      <c r="D63" s="6" t="s">
        <v>598</v>
      </c>
      <c r="E63" s="73">
        <v>268734.67124836351</v>
      </c>
      <c r="F63" s="73">
        <v>269504.46397491434</v>
      </c>
      <c r="G63" s="73">
        <v>269497.23446923005</v>
      </c>
      <c r="H63" s="73">
        <v>270647.85174394719</v>
      </c>
      <c r="I63" s="73">
        <v>272122.82816931355</v>
      </c>
      <c r="J63" s="73">
        <v>274257.35389882838</v>
      </c>
      <c r="K63" s="73">
        <v>277062.13068013906</v>
      </c>
    </row>
    <row r="64" spans="1:14" ht="12.75" x14ac:dyDescent="0.2">
      <c r="D64" s="6" t="s">
        <v>599</v>
      </c>
      <c r="E64" s="73">
        <v>268734.67124836351</v>
      </c>
      <c r="F64" s="73">
        <v>269504.46397491434</v>
      </c>
      <c r="G64" s="73">
        <v>269497.23446923005</v>
      </c>
      <c r="H64" s="73">
        <v>270647.85174394719</v>
      </c>
      <c r="I64" s="73">
        <v>272122.82816931355</v>
      </c>
      <c r="J64" s="73">
        <v>274257.35389882838</v>
      </c>
      <c r="K64" s="73">
        <v>277062.13068013906</v>
      </c>
    </row>
    <row r="65" spans="1:11" ht="12.75" x14ac:dyDescent="0.2">
      <c r="A65" s="42">
        <f>IF(SUM($E65:$K65)&lt;&gt;0,1,0)</f>
        <v>0</v>
      </c>
      <c r="D65" s="6" t="s">
        <v>502</v>
      </c>
      <c r="E65" s="70">
        <f>IF(ROUND(E63-E64,1)=0,0,1)</f>
        <v>0</v>
      </c>
      <c r="F65" s="70">
        <f t="shared" ref="F65" si="32">IF(ROUND(F63-F64,1)=0,0,1)</f>
        <v>0</v>
      </c>
      <c r="G65" s="70">
        <f t="shared" ref="G65" si="33">IF(ROUND(G63-G64,1)=0,0,1)</f>
        <v>0</v>
      </c>
      <c r="H65" s="70">
        <f t="shared" ref="H65" si="34">IF(ROUND(H63-H64,1)=0,0,1)</f>
        <v>0</v>
      </c>
      <c r="I65" s="70">
        <f t="shared" ref="I65" si="35">IF(ROUND(I63-I64,1)=0,0,1)</f>
        <v>0</v>
      </c>
      <c r="J65" s="70">
        <f t="shared" ref="J65" si="36">IF(ROUND(J63-J64,1)=0,0,1)</f>
        <v>0</v>
      </c>
      <c r="K65" s="70">
        <f t="shared" ref="K65" si="37">IF(ROUND(K63-K64,1)=0,0,1)</f>
        <v>0</v>
      </c>
    </row>
    <row r="67" spans="1:11" ht="12.75" x14ac:dyDescent="0.2">
      <c r="B67" s="901"/>
      <c r="D67" s="902" t="s">
        <v>606</v>
      </c>
    </row>
    <row r="68" spans="1:11" ht="12.75" x14ac:dyDescent="0.2">
      <c r="D68" s="6" t="s">
        <v>598</v>
      </c>
      <c r="E68" s="73">
        <v>49254.721000000005</v>
      </c>
      <c r="F68" s="73">
        <v>49274.74</v>
      </c>
      <c r="G68" s="73">
        <v>49634.758999999998</v>
      </c>
      <c r="H68" s="73">
        <v>51066.777999999998</v>
      </c>
      <c r="I68" s="73">
        <v>51066.796999999999</v>
      </c>
      <c r="J68" s="73">
        <v>51066.815999999999</v>
      </c>
      <c r="K68" s="73">
        <v>51066.834999999999</v>
      </c>
    </row>
    <row r="69" spans="1:11" ht="12.75" x14ac:dyDescent="0.2">
      <c r="D69" s="6" t="s">
        <v>599</v>
      </c>
      <c r="E69" s="73">
        <v>49254.721000000005</v>
      </c>
      <c r="F69" s="73">
        <v>49274.74</v>
      </c>
      <c r="G69" s="73">
        <v>49634.758999999998</v>
      </c>
      <c r="H69" s="73">
        <v>51066.777999999998</v>
      </c>
      <c r="I69" s="73">
        <v>51066.796999999999</v>
      </c>
      <c r="J69" s="73">
        <v>51066.815999999999</v>
      </c>
      <c r="K69" s="73">
        <v>51066.834999999999</v>
      </c>
    </row>
    <row r="70" spans="1:11" ht="12.75" x14ac:dyDescent="0.2">
      <c r="A70" s="42">
        <f>IF(SUM($E70:$K70)&lt;&gt;0,1,0)</f>
        <v>0</v>
      </c>
      <c r="D70" s="6" t="s">
        <v>502</v>
      </c>
      <c r="E70" s="70">
        <f>IF(ROUND(E68-E69,1)=0,0,1)</f>
        <v>0</v>
      </c>
      <c r="F70" s="70">
        <f t="shared" ref="F70" si="38">IF(ROUND(F68-F69,1)=0,0,1)</f>
        <v>0</v>
      </c>
      <c r="G70" s="70">
        <f t="shared" ref="G70" si="39">IF(ROUND(G68-G69,1)=0,0,1)</f>
        <v>0</v>
      </c>
      <c r="H70" s="70">
        <f t="shared" ref="H70" si="40">IF(ROUND(H68-H69,1)=0,0,1)</f>
        <v>0</v>
      </c>
      <c r="I70" s="70">
        <f t="shared" ref="I70" si="41">IF(ROUND(I68-I69,1)=0,0,1)</f>
        <v>0</v>
      </c>
      <c r="J70" s="70">
        <f t="shared" ref="J70" si="42">IF(ROUND(J68-J69,1)=0,0,1)</f>
        <v>0</v>
      </c>
      <c r="K70" s="70">
        <f t="shared" ref="K70" si="43">IF(ROUND(K68-K69,1)=0,0,1)</f>
        <v>0</v>
      </c>
    </row>
    <row r="71" spans="1:11" ht="12.75" x14ac:dyDescent="0.2">
      <c r="A71" s="42"/>
      <c r="D71" s="6"/>
      <c r="E71" s="70"/>
      <c r="F71" s="70"/>
      <c r="G71" s="70"/>
      <c r="H71" s="70"/>
      <c r="I71" s="70"/>
      <c r="J71" s="70"/>
      <c r="K71" s="70"/>
    </row>
    <row r="72" spans="1:11" ht="12.75" x14ac:dyDescent="0.2">
      <c r="A72" s="42"/>
      <c r="D72" s="902" t="s">
        <v>607</v>
      </c>
      <c r="E72" s="70"/>
      <c r="F72" s="70"/>
      <c r="G72" s="70"/>
      <c r="H72" s="70"/>
      <c r="I72" s="70"/>
      <c r="J72" s="70"/>
      <c r="K72" s="70"/>
    </row>
    <row r="73" spans="1:11" ht="12.75" x14ac:dyDescent="0.2">
      <c r="D73" s="6" t="s">
        <v>598</v>
      </c>
      <c r="E73" s="73">
        <v>127074.80055973325</v>
      </c>
      <c r="F73" s="73">
        <v>128357.66753591613</v>
      </c>
      <c r="G73" s="73">
        <v>129585.43693946178</v>
      </c>
      <c r="H73" s="73">
        <v>130291.28487978318</v>
      </c>
      <c r="I73" s="73">
        <v>131295.80228579478</v>
      </c>
      <c r="J73" s="73">
        <v>132046.37329423887</v>
      </c>
      <c r="K73" s="73">
        <v>135101.86122614687</v>
      </c>
    </row>
    <row r="74" spans="1:11" ht="12.75" x14ac:dyDescent="0.2">
      <c r="D74" s="6" t="s">
        <v>599</v>
      </c>
      <c r="E74" s="73">
        <v>127074.80055973325</v>
      </c>
      <c r="F74" s="73">
        <v>128357.66753591613</v>
      </c>
      <c r="G74" s="73">
        <v>129585.43693946178</v>
      </c>
      <c r="H74" s="73">
        <v>130291.28487978318</v>
      </c>
      <c r="I74" s="73">
        <v>131295.80228579478</v>
      </c>
      <c r="J74" s="73">
        <v>132046.37329423887</v>
      </c>
      <c r="K74" s="73">
        <v>135101.86122614687</v>
      </c>
    </row>
    <row r="75" spans="1:11" ht="12.75" x14ac:dyDescent="0.2">
      <c r="A75" s="42">
        <f>IF(SUM($E75:$K75)&lt;&gt;0,1,0)</f>
        <v>0</v>
      </c>
      <c r="D75" s="6" t="s">
        <v>502</v>
      </c>
      <c r="E75" s="70">
        <f>IF(ROUND(E73-E74,1)=0,0,1)</f>
        <v>0</v>
      </c>
      <c r="F75" s="70">
        <f t="shared" ref="F75" si="44">IF(ROUND(F73-F74,1)=0,0,1)</f>
        <v>0</v>
      </c>
      <c r="G75" s="70">
        <f t="shared" ref="G75" si="45">IF(ROUND(G73-G74,1)=0,0,1)</f>
        <v>0</v>
      </c>
      <c r="H75" s="70">
        <f t="shared" ref="H75" si="46">IF(ROUND(H73-H74,1)=0,0,1)</f>
        <v>0</v>
      </c>
      <c r="I75" s="70">
        <f t="shared" ref="I75" si="47">IF(ROUND(I73-I74,1)=0,0,1)</f>
        <v>0</v>
      </c>
      <c r="J75" s="70">
        <f t="shared" ref="J75" si="48">IF(ROUND(J73-J74,1)=0,0,1)</f>
        <v>0</v>
      </c>
      <c r="K75" s="70">
        <f t="shared" ref="K75" si="49">IF(ROUND(K73-K74,1)=0,0,1)</f>
        <v>0</v>
      </c>
    </row>
    <row r="77" spans="1:11" s="47" customFormat="1" ht="15.75" x14ac:dyDescent="0.2">
      <c r="B77" s="47" t="s">
        <v>608</v>
      </c>
    </row>
    <row r="79" spans="1:11" ht="12.75" x14ac:dyDescent="0.2">
      <c r="B79" s="901"/>
      <c r="D79" s="902" t="s">
        <v>467</v>
      </c>
    </row>
    <row r="80" spans="1:11" ht="12.75" x14ac:dyDescent="0.2">
      <c r="D80" s="6" t="s">
        <v>598</v>
      </c>
      <c r="E80" s="73">
        <v>5272.58</v>
      </c>
      <c r="F80" s="73">
        <v>5149.0300000000007</v>
      </c>
      <c r="G80" s="73">
        <v>4788.97</v>
      </c>
      <c r="H80" s="73">
        <v>4661.8899999999994</v>
      </c>
      <c r="I80" s="73">
        <v>4647.7700000000004</v>
      </c>
      <c r="J80" s="73">
        <v>4633.6499999999996</v>
      </c>
      <c r="K80" s="73">
        <v>4619.5300000000007</v>
      </c>
    </row>
    <row r="81" spans="1:11" ht="12.75" x14ac:dyDescent="0.2">
      <c r="D81" s="6" t="s">
        <v>599</v>
      </c>
      <c r="E81" s="73">
        <v>5272.58</v>
      </c>
      <c r="F81" s="73">
        <v>5149.0300000000007</v>
      </c>
      <c r="G81" s="73">
        <v>4788.97</v>
      </c>
      <c r="H81" s="73">
        <v>4661.8899999999994</v>
      </c>
      <c r="I81" s="73">
        <v>4647.7700000000004</v>
      </c>
      <c r="J81" s="73">
        <v>4633.6499999999996</v>
      </c>
      <c r="K81" s="73">
        <v>4619.5300000000007</v>
      </c>
    </row>
    <row r="82" spans="1:11" ht="12.75" x14ac:dyDescent="0.2">
      <c r="A82" s="42">
        <f>IF(SUM($E82:$K82)&lt;&gt;0,1,0)</f>
        <v>0</v>
      </c>
      <c r="D82" s="6" t="s">
        <v>502</v>
      </c>
      <c r="E82" s="70">
        <f>IF(ROUND(E80-E81,1)=0,0,1)</f>
        <v>0</v>
      </c>
      <c r="F82" s="70">
        <f t="shared" ref="F82" si="50">IF(ROUND(F80-F81,1)=0,0,1)</f>
        <v>0</v>
      </c>
      <c r="G82" s="70">
        <f t="shared" ref="G82" si="51">IF(ROUND(G80-G81,1)=0,0,1)</f>
        <v>0</v>
      </c>
      <c r="H82" s="70">
        <f t="shared" ref="H82" si="52">IF(ROUND(H80-H81,1)=0,0,1)</f>
        <v>0</v>
      </c>
      <c r="I82" s="70">
        <f t="shared" ref="I82" si="53">IF(ROUND(I80-I81,1)=0,0,1)</f>
        <v>0</v>
      </c>
      <c r="J82" s="70">
        <f t="shared" ref="J82" si="54">IF(ROUND(J80-J81,1)=0,0,1)</f>
        <v>0</v>
      </c>
      <c r="K82" s="70">
        <f t="shared" ref="K82" si="55">IF(ROUND(K80-K81,1)=0,0,1)</f>
        <v>0</v>
      </c>
    </row>
    <row r="84" spans="1:11" ht="12.75" x14ac:dyDescent="0.2">
      <c r="B84" s="901"/>
      <c r="D84" s="902" t="s">
        <v>245</v>
      </c>
    </row>
    <row r="85" spans="1:11" ht="12.75" x14ac:dyDescent="0.2">
      <c r="D85" s="6" t="s">
        <v>598</v>
      </c>
      <c r="E85" s="73">
        <v>47365</v>
      </c>
      <c r="F85" s="73">
        <v>51610.457644288268</v>
      </c>
      <c r="G85" s="73">
        <v>52954.69408539548</v>
      </c>
      <c r="H85" s="73">
        <v>54261.43643753037</v>
      </c>
      <c r="I85" s="73">
        <v>55578.24734846862</v>
      </c>
      <c r="J85" s="73">
        <v>56962.703532180327</v>
      </c>
      <c r="K85" s="73">
        <v>58352.396120484831</v>
      </c>
    </row>
    <row r="86" spans="1:11" ht="12.75" x14ac:dyDescent="0.2">
      <c r="D86" s="6" t="s">
        <v>599</v>
      </c>
      <c r="E86" s="73">
        <v>47365</v>
      </c>
      <c r="F86" s="73">
        <v>51610.457644288268</v>
      </c>
      <c r="G86" s="73">
        <v>52954.69408539548</v>
      </c>
      <c r="H86" s="73">
        <v>54261.43643753037</v>
      </c>
      <c r="I86" s="73">
        <v>55578.24734846862</v>
      </c>
      <c r="J86" s="73">
        <v>56962.703532180327</v>
      </c>
      <c r="K86" s="73">
        <v>58352.396120484831</v>
      </c>
    </row>
    <row r="87" spans="1:11" ht="12.75" x14ac:dyDescent="0.2">
      <c r="A87" s="42">
        <f>IF(SUM($E87:$K87)&lt;&gt;0,1,0)</f>
        <v>0</v>
      </c>
      <c r="D87" s="6" t="s">
        <v>502</v>
      </c>
      <c r="E87" s="70">
        <f>IF(ROUND(E85-E86,1)=0,0,1)</f>
        <v>0</v>
      </c>
      <c r="F87" s="70">
        <f t="shared" ref="F87" si="56">IF(ROUND(F85-F86,1)=0,0,1)</f>
        <v>0</v>
      </c>
      <c r="G87" s="70">
        <f t="shared" ref="G87" si="57">IF(ROUND(G85-G86,1)=0,0,1)</f>
        <v>0</v>
      </c>
      <c r="H87" s="70">
        <f t="shared" ref="H87" si="58">IF(ROUND(H85-H86,1)=0,0,1)</f>
        <v>0</v>
      </c>
      <c r="I87" s="70">
        <f t="shared" ref="I87" si="59">IF(ROUND(I85-I86,1)=0,0,1)</f>
        <v>0</v>
      </c>
      <c r="J87" s="70">
        <f t="shared" ref="J87" si="60">IF(ROUND(J85-J86,1)=0,0,1)</f>
        <v>0</v>
      </c>
      <c r="K87" s="70">
        <f t="shared" ref="K87" si="61">IF(ROUND(K85-K86,1)=0,0,1)</f>
        <v>0</v>
      </c>
    </row>
    <row r="89" spans="1:11" s="47" customFormat="1" ht="15.75" x14ac:dyDescent="0.2">
      <c r="B89" s="47" t="s">
        <v>32</v>
      </c>
    </row>
  </sheetData>
  <mergeCells count="2">
    <mergeCell ref="E9:K9"/>
    <mergeCell ref="E20:K20"/>
  </mergeCells>
  <conditionalFormatting sqref="B2">
    <cfRule type="cellIs" dxfId="9" priority="4" operator="notEqual">
      <formula>"No Errors Found"</formula>
    </cfRule>
  </conditionalFormatting>
  <conditionalFormatting sqref="K11:K14">
    <cfRule type="expression" dxfId="8" priority="2">
      <formula>(dms_FRCPlength_Num)&lt;5</formula>
    </cfRule>
  </conditionalFormatting>
  <conditionalFormatting sqref="K22:K25">
    <cfRule type="expression" dxfId="7" priority="1">
      <formula>(dms_FRCPlength_Num)&lt;5</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B132"/>
  <sheetViews>
    <sheetView showGridLines="0" zoomScaleNormal="100" workbookViewId="0">
      <pane xSplit="1" ySplit="4" topLeftCell="B5" activePane="bottomRight" state="frozen"/>
      <selection activeCell="K39" sqref="K39"/>
      <selection pane="topRight" activeCell="K39" sqref="K39"/>
      <selection pane="bottomLeft" activeCell="K39" sqref="K39"/>
      <selection pane="bottomRight" activeCell="B5" sqref="B5"/>
    </sheetView>
  </sheetViews>
  <sheetFormatPr defaultColWidth="9.33203125" defaultRowHeight="11.25" outlineLevelRow="1" x14ac:dyDescent="0.2"/>
  <cols>
    <col min="1" max="3" width="2.83203125" customWidth="1"/>
    <col min="4" max="4" width="34" customWidth="1"/>
    <col min="5" max="6" width="30.83203125" customWidth="1"/>
    <col min="7" max="9" width="10.83203125" customWidth="1"/>
    <col min="10" max="25" width="12.83203125" customWidth="1"/>
    <col min="26" max="32" width="10.83203125" customWidth="1"/>
  </cols>
  <sheetData>
    <row r="1" spans="2:25" ht="19.5" x14ac:dyDescent="0.2">
      <c r="B1" s="3" t="s">
        <v>45</v>
      </c>
    </row>
    <row r="2" spans="2:25" x14ac:dyDescent="0.2">
      <c r="B2" s="9" t="str">
        <f>Title_Msg</f>
        <v>No Errors Found</v>
      </c>
    </row>
    <row r="3" spans="2:25" x14ac:dyDescent="0.2">
      <c r="B3" s="34" t="str">
        <f>TOC!B1</f>
        <v>Table of Contents</v>
      </c>
      <c r="C3" s="34"/>
      <c r="D3" s="34"/>
      <c r="E3" s="34"/>
    </row>
    <row r="4" spans="2:25" ht="12.75" x14ac:dyDescent="0.2">
      <c r="B4" s="33" t="str">
        <f>Model_Name</f>
        <v>RIN Population Model - TransGrid (TGD)</v>
      </c>
    </row>
    <row r="6" spans="2:25" s="2" customFormat="1" ht="15.75" x14ac:dyDescent="0.2">
      <c r="B6" s="2" t="s">
        <v>30</v>
      </c>
    </row>
    <row r="7" spans="2:25" ht="6.75" customHeight="1" x14ac:dyDescent="0.2"/>
    <row r="8" spans="2:25" s="7" customFormat="1" ht="15" x14ac:dyDescent="0.2">
      <c r="C8" s="7" t="s">
        <v>55</v>
      </c>
    </row>
    <row r="9" spans="2:25" x14ac:dyDescent="0.2">
      <c r="D9" s="1"/>
    </row>
    <row r="10" spans="2:25" ht="12.75" x14ac:dyDescent="0.2">
      <c r="D10" s="5" t="s">
        <v>54</v>
      </c>
      <c r="E10" s="39">
        <v>41456</v>
      </c>
    </row>
    <row r="11" spans="2:25" ht="12.75" x14ac:dyDescent="0.2">
      <c r="D11" s="5" t="s">
        <v>57</v>
      </c>
      <c r="E11" s="8">
        <v>2021</v>
      </c>
      <c r="M11" s="14"/>
      <c r="N11" s="15"/>
      <c r="O11" s="15"/>
      <c r="P11" s="15"/>
    </row>
    <row r="12" spans="2:25" x14ac:dyDescent="0.2">
      <c r="M12" s="14"/>
      <c r="N12" s="15"/>
      <c r="O12" s="15"/>
      <c r="P12" s="15"/>
    </row>
    <row r="13" spans="2:25" s="7" customFormat="1" ht="15" x14ac:dyDescent="0.2">
      <c r="C13" s="7" t="s">
        <v>56</v>
      </c>
    </row>
    <row r="14" spans="2:25" x14ac:dyDescent="0.2">
      <c r="M14" s="14"/>
      <c r="N14" s="15"/>
      <c r="O14" s="15"/>
      <c r="P14" s="15"/>
    </row>
    <row r="15" spans="2:25" ht="12.75" hidden="1" outlineLevel="1" x14ac:dyDescent="0.2">
      <c r="B15" s="5" t="s">
        <v>52</v>
      </c>
      <c r="J15" s="44">
        <f>EOMONTH(J16,-Mths_In_Yr)+1</f>
        <v>41091</v>
      </c>
      <c r="K15" s="40">
        <f>IF(K17=1,Model_Start_Date,I16+1)</f>
        <v>41456</v>
      </c>
      <c r="L15" s="40">
        <f t="shared" ref="L15:T15" si="0">IF(L17=1,Model_Start_Date,K16+1)</f>
        <v>41821</v>
      </c>
      <c r="M15" s="40">
        <f t="shared" si="0"/>
        <v>42186</v>
      </c>
      <c r="N15" s="40">
        <f t="shared" si="0"/>
        <v>42552</v>
      </c>
      <c r="O15" s="40">
        <f t="shared" si="0"/>
        <v>42917</v>
      </c>
      <c r="P15" s="40">
        <f t="shared" si="0"/>
        <v>43282</v>
      </c>
      <c r="Q15" s="40">
        <f t="shared" si="0"/>
        <v>43647</v>
      </c>
      <c r="R15" s="40">
        <f t="shared" si="0"/>
        <v>44013</v>
      </c>
      <c r="S15" s="40">
        <f t="shared" si="0"/>
        <v>44378</v>
      </c>
      <c r="T15" s="40">
        <f t="shared" si="0"/>
        <v>44743</v>
      </c>
      <c r="U15" s="40">
        <f t="shared" ref="U15" si="1">IF(U17=1,Model_Start_Date,T16+1)</f>
        <v>45108</v>
      </c>
      <c r="V15" s="40">
        <f t="shared" ref="V15" si="2">IF(V17=1,Model_Start_Date,U16+1)</f>
        <v>45474</v>
      </c>
      <c r="W15" s="40">
        <f t="shared" ref="W15" si="3">IF(W17=1,Model_Start_Date,V16+1)</f>
        <v>45839</v>
      </c>
      <c r="X15" s="40">
        <f t="shared" ref="X15" si="4">IF(X17=1,Model_Start_Date,W16+1)</f>
        <v>46204</v>
      </c>
      <c r="Y15" s="40">
        <f t="shared" ref="Y15" si="5">IF(Y17=1,Model_Start_Date,X16+1)</f>
        <v>46569</v>
      </c>
    </row>
    <row r="16" spans="2:25" ht="12.75" hidden="1" outlineLevel="1" x14ac:dyDescent="0.2">
      <c r="B16" s="5" t="s">
        <v>53</v>
      </c>
      <c r="J16" s="45">
        <f>K15-1</f>
        <v>41455</v>
      </c>
      <c r="K16" s="40">
        <f t="shared" ref="K16:T16" si="6">EOMONTH(K15,Mths_In_Yr-1)</f>
        <v>41820</v>
      </c>
      <c r="L16" s="40">
        <f t="shared" si="6"/>
        <v>42185</v>
      </c>
      <c r="M16" s="40">
        <f t="shared" si="6"/>
        <v>42551</v>
      </c>
      <c r="N16" s="40">
        <f t="shared" si="6"/>
        <v>42916</v>
      </c>
      <c r="O16" s="40">
        <f t="shared" si="6"/>
        <v>43281</v>
      </c>
      <c r="P16" s="40">
        <f t="shared" si="6"/>
        <v>43646</v>
      </c>
      <c r="Q16" s="40">
        <f t="shared" si="6"/>
        <v>44012</v>
      </c>
      <c r="R16" s="40">
        <f t="shared" si="6"/>
        <v>44377</v>
      </c>
      <c r="S16" s="40">
        <f t="shared" si="6"/>
        <v>44742</v>
      </c>
      <c r="T16" s="40">
        <f t="shared" si="6"/>
        <v>45107</v>
      </c>
      <c r="U16" s="40">
        <f t="shared" ref="U16:Y16" si="7">EOMONTH(U15,Mths_In_Yr-1)</f>
        <v>45473</v>
      </c>
      <c r="V16" s="40">
        <f t="shared" si="7"/>
        <v>45838</v>
      </c>
      <c r="W16" s="40">
        <f t="shared" si="7"/>
        <v>46203</v>
      </c>
      <c r="X16" s="40">
        <f t="shared" si="7"/>
        <v>46568</v>
      </c>
      <c r="Y16" s="40">
        <f t="shared" si="7"/>
        <v>46934</v>
      </c>
    </row>
    <row r="17" spans="2:28" ht="12.75" hidden="1" outlineLevel="1" x14ac:dyDescent="0.2">
      <c r="B17" s="5" t="s">
        <v>51</v>
      </c>
      <c r="J17" s="17">
        <v>0</v>
      </c>
      <c r="K17" s="17">
        <f>N(J17)+1</f>
        <v>1</v>
      </c>
      <c r="L17" s="17">
        <f t="shared" ref="L17:T17" si="8">N(K17)+1</f>
        <v>2</v>
      </c>
      <c r="M17" s="17">
        <f t="shared" si="8"/>
        <v>3</v>
      </c>
      <c r="N17" s="17">
        <f t="shared" si="8"/>
        <v>4</v>
      </c>
      <c r="O17" s="17">
        <f t="shared" si="8"/>
        <v>5</v>
      </c>
      <c r="P17" s="17">
        <f t="shared" si="8"/>
        <v>6</v>
      </c>
      <c r="Q17" s="17">
        <f t="shared" si="8"/>
        <v>7</v>
      </c>
      <c r="R17" s="17">
        <f t="shared" si="8"/>
        <v>8</v>
      </c>
      <c r="S17" s="17">
        <f t="shared" si="8"/>
        <v>9</v>
      </c>
      <c r="T17" s="17">
        <f t="shared" si="8"/>
        <v>10</v>
      </c>
      <c r="U17" s="17">
        <f t="shared" ref="U17" si="9">N(T17)+1</f>
        <v>11</v>
      </c>
      <c r="V17" s="17">
        <f t="shared" ref="V17" si="10">N(U17)+1</f>
        <v>12</v>
      </c>
      <c r="W17" s="17">
        <f t="shared" ref="W17" si="11">N(V17)+1</f>
        <v>13</v>
      </c>
      <c r="X17" s="17">
        <f t="shared" ref="X17" si="12">N(W17)+1</f>
        <v>14</v>
      </c>
      <c r="Y17" s="17">
        <f t="shared" ref="Y17" si="13">N(X17)+1</f>
        <v>15</v>
      </c>
    </row>
    <row r="18" spans="2:28" ht="12.75" hidden="1" outlineLevel="1" x14ac:dyDescent="0.2">
      <c r="B18" s="5" t="s">
        <v>58</v>
      </c>
      <c r="J18" s="6">
        <f>YEAR(J16)</f>
        <v>2013</v>
      </c>
      <c r="K18" s="6">
        <f>YEAR(K16)</f>
        <v>2014</v>
      </c>
      <c r="L18" s="6">
        <f t="shared" ref="L18:T18" si="14">YEAR(L16)</f>
        <v>2015</v>
      </c>
      <c r="M18" s="6">
        <f t="shared" si="14"/>
        <v>2016</v>
      </c>
      <c r="N18" s="6">
        <f t="shared" si="14"/>
        <v>2017</v>
      </c>
      <c r="O18" s="6">
        <f t="shared" si="14"/>
        <v>2018</v>
      </c>
      <c r="P18" s="6">
        <f t="shared" si="14"/>
        <v>2019</v>
      </c>
      <c r="Q18" s="6">
        <f t="shared" si="14"/>
        <v>2020</v>
      </c>
      <c r="R18" s="6">
        <f t="shared" si="14"/>
        <v>2021</v>
      </c>
      <c r="S18" s="6">
        <f t="shared" si="14"/>
        <v>2022</v>
      </c>
      <c r="T18" s="6">
        <f t="shared" si="14"/>
        <v>2023</v>
      </c>
      <c r="U18" s="6">
        <f t="shared" ref="U18:Y18" si="15">YEAR(U16)</f>
        <v>2024</v>
      </c>
      <c r="V18" s="6">
        <f t="shared" si="15"/>
        <v>2025</v>
      </c>
      <c r="W18" s="6">
        <f t="shared" si="15"/>
        <v>2026</v>
      </c>
      <c r="X18" s="6">
        <f t="shared" si="15"/>
        <v>2027</v>
      </c>
      <c r="Y18" s="6">
        <f t="shared" si="15"/>
        <v>2028</v>
      </c>
    </row>
    <row r="19" spans="2:28" ht="12.75" hidden="1" outlineLevel="1" x14ac:dyDescent="0.2">
      <c r="B19" s="5" t="s">
        <v>59</v>
      </c>
      <c r="J19" s="10" t="s">
        <v>60</v>
      </c>
      <c r="K19" s="10" t="s">
        <v>60</v>
      </c>
      <c r="L19" s="10" t="s">
        <v>60</v>
      </c>
      <c r="M19" s="10" t="s">
        <v>60</v>
      </c>
      <c r="N19" s="10" t="s">
        <v>60</v>
      </c>
      <c r="O19" s="10" t="s">
        <v>60</v>
      </c>
      <c r="P19" s="10" t="s">
        <v>60</v>
      </c>
      <c r="Q19" s="10" t="s">
        <v>60</v>
      </c>
      <c r="R19" s="10" t="s">
        <v>89</v>
      </c>
      <c r="S19" s="10" t="s">
        <v>89</v>
      </c>
      <c r="T19" s="10" t="s">
        <v>89</v>
      </c>
      <c r="U19" s="10" t="s">
        <v>61</v>
      </c>
      <c r="V19" s="10" t="s">
        <v>61</v>
      </c>
      <c r="W19" s="10" t="s">
        <v>61</v>
      </c>
      <c r="X19" s="10" t="s">
        <v>61</v>
      </c>
      <c r="Y19" s="10" t="s">
        <v>61</v>
      </c>
    </row>
    <row r="20" spans="2:28" ht="12.75" collapsed="1" x14ac:dyDescent="0.2">
      <c r="B20" s="4" t="s">
        <v>62</v>
      </c>
      <c r="E20" s="11" t="s">
        <v>63</v>
      </c>
      <c r="F20" s="11" t="s">
        <v>64</v>
      </c>
      <c r="G20" s="11" t="s">
        <v>65</v>
      </c>
      <c r="H20" s="11" t="s">
        <v>66</v>
      </c>
      <c r="J20" s="41" t="str">
        <f>"FY"&amp;RIGHT(J18,2)</f>
        <v>FY13</v>
      </c>
      <c r="K20" s="41" t="str">
        <f t="shared" ref="K20:Y20" si="16">"FY"&amp;RIGHT(K18,2)</f>
        <v>FY14</v>
      </c>
      <c r="L20" s="41" t="str">
        <f t="shared" si="16"/>
        <v>FY15</v>
      </c>
      <c r="M20" s="41" t="str">
        <f t="shared" si="16"/>
        <v>FY16</v>
      </c>
      <c r="N20" s="41" t="str">
        <f t="shared" si="16"/>
        <v>FY17</v>
      </c>
      <c r="O20" s="41" t="str">
        <f t="shared" si="16"/>
        <v>FY18</v>
      </c>
      <c r="P20" s="41" t="str">
        <f t="shared" si="16"/>
        <v>FY19</v>
      </c>
      <c r="Q20" s="41" t="str">
        <f t="shared" si="16"/>
        <v>FY20</v>
      </c>
      <c r="R20" s="41" t="str">
        <f t="shared" si="16"/>
        <v>FY21</v>
      </c>
      <c r="S20" s="41" t="str">
        <f t="shared" si="16"/>
        <v>FY22</v>
      </c>
      <c r="T20" s="41" t="str">
        <f t="shared" si="16"/>
        <v>FY23</v>
      </c>
      <c r="U20" s="41" t="str">
        <f t="shared" si="16"/>
        <v>FY24</v>
      </c>
      <c r="V20" s="41" t="str">
        <f t="shared" si="16"/>
        <v>FY25</v>
      </c>
      <c r="W20" s="41" t="str">
        <f t="shared" si="16"/>
        <v>FY26</v>
      </c>
      <c r="X20" s="41" t="str">
        <f t="shared" si="16"/>
        <v>FY27</v>
      </c>
      <c r="Y20" s="41" t="str">
        <f t="shared" si="16"/>
        <v>FY28</v>
      </c>
      <c r="AA20" s="41" t="str">
        <f>K20&amp;"-"&amp;O20</f>
        <v>FY14-FY18</v>
      </c>
      <c r="AB20" s="41" t="str">
        <f>P20&amp;"-"&amp;T20</f>
        <v>FY19-FY23</v>
      </c>
    </row>
    <row r="21" spans="2:28" x14ac:dyDescent="0.2">
      <c r="M21" s="14"/>
      <c r="N21" s="15"/>
      <c r="O21" s="15"/>
      <c r="P21" s="15"/>
    </row>
    <row r="22" spans="2:28" s="2" customFormat="1" ht="15.75" x14ac:dyDescent="0.2">
      <c r="B22" s="2" t="s">
        <v>45</v>
      </c>
    </row>
    <row r="23" spans="2:28" x14ac:dyDescent="0.2">
      <c r="M23" s="14"/>
      <c r="N23" s="15"/>
      <c r="O23" s="15"/>
      <c r="P23" s="15"/>
    </row>
    <row r="24" spans="2:28" ht="12.75" x14ac:dyDescent="0.2">
      <c r="C24" s="4" t="s">
        <v>0</v>
      </c>
      <c r="E24" s="11" t="s">
        <v>1</v>
      </c>
    </row>
    <row r="25" spans="2:28" x14ac:dyDescent="0.2">
      <c r="E25" s="12"/>
    </row>
    <row r="26" spans="2:28" ht="12.75" x14ac:dyDescent="0.2">
      <c r="D26" s="8">
        <v>1</v>
      </c>
      <c r="E26" s="13" t="s">
        <v>2</v>
      </c>
    </row>
    <row r="27" spans="2:28" ht="12.75" x14ac:dyDescent="0.2">
      <c r="D27" s="8">
        <v>3</v>
      </c>
      <c r="E27" s="13" t="s">
        <v>3</v>
      </c>
    </row>
    <row r="28" spans="2:28" ht="12.75" x14ac:dyDescent="0.2">
      <c r="D28" s="8">
        <v>4</v>
      </c>
      <c r="E28" s="13" t="s">
        <v>33</v>
      </c>
    </row>
    <row r="29" spans="2:28" ht="12.75" x14ac:dyDescent="0.2">
      <c r="D29" s="8">
        <v>12</v>
      </c>
      <c r="E29" s="13" t="s">
        <v>4</v>
      </c>
    </row>
    <row r="30" spans="2:28" ht="12.75" x14ac:dyDescent="0.2">
      <c r="D30" s="8">
        <v>7</v>
      </c>
      <c r="E30" s="13" t="s">
        <v>13</v>
      </c>
    </row>
    <row r="31" spans="2:28" ht="12.75" x14ac:dyDescent="0.2">
      <c r="D31" s="8">
        <v>365</v>
      </c>
      <c r="E31" s="13" t="s">
        <v>46</v>
      </c>
    </row>
    <row r="32" spans="2:28" ht="12.75" x14ac:dyDescent="0.2">
      <c r="D32" s="8">
        <v>0.5</v>
      </c>
      <c r="E32" s="13" t="s">
        <v>8</v>
      </c>
    </row>
    <row r="33" spans="3:5" ht="12.75" x14ac:dyDescent="0.2">
      <c r="D33" s="8">
        <v>1000000</v>
      </c>
      <c r="E33" s="13" t="s">
        <v>88</v>
      </c>
    </row>
    <row r="34" spans="3:5" ht="12.75" x14ac:dyDescent="0.2">
      <c r="D34" s="8" t="s">
        <v>6</v>
      </c>
      <c r="E34" s="13" t="s">
        <v>6</v>
      </c>
    </row>
    <row r="35" spans="3:5" ht="12.75" x14ac:dyDescent="0.2">
      <c r="D35" s="8" t="s">
        <v>34</v>
      </c>
      <c r="E35" s="13" t="s">
        <v>35</v>
      </c>
    </row>
    <row r="36" spans="3:5" ht="12.75" x14ac:dyDescent="0.2">
      <c r="D36" s="8" t="s">
        <v>7</v>
      </c>
      <c r="E36" s="13" t="s">
        <v>7</v>
      </c>
    </row>
    <row r="37" spans="3:5" x14ac:dyDescent="0.2">
      <c r="E37" s="12"/>
    </row>
    <row r="38" spans="3:5" ht="12.75" x14ac:dyDescent="0.2">
      <c r="C38" s="4" t="s">
        <v>0</v>
      </c>
      <c r="E38" s="11" t="s">
        <v>1</v>
      </c>
    </row>
    <row r="39" spans="3:5" ht="12.75" x14ac:dyDescent="0.2">
      <c r="E39" s="13" t="s">
        <v>11</v>
      </c>
    </row>
    <row r="40" spans="3:5" ht="12.75" x14ac:dyDescent="0.2">
      <c r="D40" s="8" t="s">
        <v>9</v>
      </c>
      <c r="E40" s="13" t="s">
        <v>9</v>
      </c>
    </row>
    <row r="41" spans="3:5" ht="12.75" x14ac:dyDescent="0.2">
      <c r="D41" s="8" t="s">
        <v>10</v>
      </c>
      <c r="E41" s="13" t="s">
        <v>10</v>
      </c>
    </row>
    <row r="42" spans="3:5" x14ac:dyDescent="0.2">
      <c r="E42" s="12"/>
    </row>
    <row r="43" spans="3:5" ht="12.75" x14ac:dyDescent="0.2">
      <c r="C43" s="4" t="s">
        <v>69</v>
      </c>
      <c r="E43" s="11" t="s">
        <v>1</v>
      </c>
    </row>
    <row r="44" spans="3:5" ht="12.75" x14ac:dyDescent="0.2">
      <c r="E44" s="13" t="s">
        <v>77</v>
      </c>
    </row>
    <row r="45" spans="3:5" ht="12.75" x14ac:dyDescent="0.2">
      <c r="D45" s="8" t="s">
        <v>70</v>
      </c>
      <c r="E45" s="13" t="s">
        <v>70</v>
      </c>
    </row>
    <row r="46" spans="3:5" ht="12.75" x14ac:dyDescent="0.2">
      <c r="D46" s="8" t="s">
        <v>71</v>
      </c>
      <c r="E46" s="13" t="s">
        <v>71</v>
      </c>
    </row>
    <row r="47" spans="3:5" ht="12.75" x14ac:dyDescent="0.2">
      <c r="D47" s="8" t="s">
        <v>73</v>
      </c>
      <c r="E47" s="13" t="s">
        <v>75</v>
      </c>
    </row>
    <row r="48" spans="3:5" ht="12.75" x14ac:dyDescent="0.2">
      <c r="D48" s="8" t="s">
        <v>74</v>
      </c>
      <c r="E48" s="13" t="s">
        <v>76</v>
      </c>
    </row>
    <row r="49" spans="3:6" ht="12.75" x14ac:dyDescent="0.2">
      <c r="D49" s="8" t="s">
        <v>72</v>
      </c>
      <c r="E49" s="13" t="s">
        <v>72</v>
      </c>
    </row>
    <row r="50" spans="3:6" ht="12.75" x14ac:dyDescent="0.2">
      <c r="D50" s="8" t="s">
        <v>81</v>
      </c>
      <c r="E50" s="13" t="s">
        <v>81</v>
      </c>
    </row>
    <row r="51" spans="3:6" ht="12.75" x14ac:dyDescent="0.2">
      <c r="D51" s="8" t="s">
        <v>79</v>
      </c>
      <c r="E51" s="13" t="s">
        <v>79</v>
      </c>
    </row>
    <row r="52" spans="3:6" ht="12.75" x14ac:dyDescent="0.2">
      <c r="D52" s="8" t="s">
        <v>80</v>
      </c>
      <c r="E52" s="13" t="s">
        <v>80</v>
      </c>
    </row>
    <row r="53" spans="3:6" ht="12.75" x14ac:dyDescent="0.2">
      <c r="D53" s="8" t="s">
        <v>82</v>
      </c>
      <c r="E53" s="13" t="s">
        <v>83</v>
      </c>
    </row>
    <row r="54" spans="3:6" ht="12.75" x14ac:dyDescent="0.2">
      <c r="D54" s="8" t="str">
        <f>NA</f>
        <v>N/A</v>
      </c>
      <c r="E54" s="13" t="s">
        <v>78</v>
      </c>
    </row>
    <row r="55" spans="3:6" x14ac:dyDescent="0.2">
      <c r="E55" s="12"/>
    </row>
    <row r="56" spans="3:6" ht="12.75" x14ac:dyDescent="0.2">
      <c r="C56" s="4" t="s">
        <v>65</v>
      </c>
      <c r="E56" s="11" t="s">
        <v>1</v>
      </c>
    </row>
    <row r="57" spans="3:6" ht="12.75" x14ac:dyDescent="0.2">
      <c r="E57" s="13" t="s">
        <v>68</v>
      </c>
    </row>
    <row r="58" spans="3:6" ht="12.75" x14ac:dyDescent="0.2">
      <c r="D58" s="8" t="s">
        <v>99</v>
      </c>
      <c r="E58" s="13" t="s">
        <v>105</v>
      </c>
    </row>
    <row r="59" spans="3:6" ht="12.75" x14ac:dyDescent="0.2">
      <c r="D59" s="8" t="s">
        <v>100</v>
      </c>
      <c r="E59" s="13" t="s">
        <v>106</v>
      </c>
    </row>
    <row r="60" spans="3:6" ht="12.75" x14ac:dyDescent="0.2">
      <c r="D60" s="8" t="str">
        <f>NA</f>
        <v>N/A</v>
      </c>
      <c r="E60" s="13" t="s">
        <v>78</v>
      </c>
    </row>
    <row r="61" spans="3:6" ht="12.75" x14ac:dyDescent="0.2">
      <c r="D61" s="8" t="s">
        <v>67</v>
      </c>
      <c r="E61" s="13" t="s">
        <v>67</v>
      </c>
    </row>
    <row r="62" spans="3:6" x14ac:dyDescent="0.2">
      <c r="E62" s="12"/>
    </row>
    <row r="63" spans="3:6" ht="12.75" x14ac:dyDescent="0.2">
      <c r="C63" s="4" t="s">
        <v>66</v>
      </c>
      <c r="E63" s="11"/>
      <c r="F63" s="11" t="s">
        <v>1</v>
      </c>
    </row>
    <row r="64" spans="3:6" ht="12.75" x14ac:dyDescent="0.2">
      <c r="D64" s="13" t="s">
        <v>97</v>
      </c>
      <c r="E64" s="13" t="s">
        <v>96</v>
      </c>
    </row>
    <row r="65" spans="3:6" ht="12.75" x14ac:dyDescent="0.2">
      <c r="D65" s="8" t="s">
        <v>92</v>
      </c>
      <c r="E65" s="8">
        <v>0</v>
      </c>
      <c r="F65" s="13" t="s">
        <v>93</v>
      </c>
    </row>
    <row r="66" spans="3:6" ht="12.75" x14ac:dyDescent="0.2">
      <c r="D66" s="8" t="s">
        <v>91</v>
      </c>
      <c r="E66" s="8">
        <v>0.5</v>
      </c>
      <c r="F66" s="13" t="s">
        <v>94</v>
      </c>
    </row>
    <row r="67" spans="3:6" ht="12.75" x14ac:dyDescent="0.2">
      <c r="D67" s="8" t="s">
        <v>90</v>
      </c>
      <c r="E67" s="8">
        <v>1</v>
      </c>
      <c r="F67" s="13" t="s">
        <v>95</v>
      </c>
    </row>
    <row r="68" spans="3:6" ht="12.75" x14ac:dyDescent="0.2">
      <c r="D68" s="8" t="str">
        <f>NA</f>
        <v>N/A</v>
      </c>
      <c r="E68" s="8" t="str">
        <f>NA</f>
        <v>N/A</v>
      </c>
      <c r="F68" s="13"/>
    </row>
    <row r="69" spans="3:6" x14ac:dyDescent="0.2">
      <c r="E69" s="12"/>
    </row>
    <row r="70" spans="3:6" s="7" customFormat="1" ht="15" x14ac:dyDescent="0.2">
      <c r="C70" s="7" t="s">
        <v>47</v>
      </c>
    </row>
    <row r="72" spans="3:6" ht="12.75" x14ac:dyDescent="0.2">
      <c r="C72" s="4" t="s">
        <v>110</v>
      </c>
      <c r="E72" s="11" t="s">
        <v>1</v>
      </c>
    </row>
    <row r="73" spans="3:6" ht="12.75" x14ac:dyDescent="0.2">
      <c r="E73" s="13" t="s">
        <v>111</v>
      </c>
    </row>
    <row r="74" spans="3:6" ht="12.75" x14ac:dyDescent="0.2">
      <c r="D74" s="8" t="s">
        <v>108</v>
      </c>
      <c r="E74" s="13"/>
    </row>
    <row r="75" spans="3:6" ht="12.75" x14ac:dyDescent="0.2">
      <c r="D75" s="8" t="s">
        <v>109</v>
      </c>
      <c r="E75" s="13"/>
    </row>
    <row r="76" spans="3:6" ht="12.75" x14ac:dyDescent="0.2">
      <c r="D76" s="8" t="s">
        <v>85</v>
      </c>
      <c r="E76" s="13"/>
    </row>
    <row r="78" spans="3:6" ht="12.75" x14ac:dyDescent="0.2">
      <c r="C78" s="4" t="s">
        <v>112</v>
      </c>
      <c r="E78" s="11" t="s">
        <v>1</v>
      </c>
    </row>
    <row r="79" spans="3:6" ht="12.75" x14ac:dyDescent="0.2">
      <c r="E79" s="13" t="s">
        <v>113</v>
      </c>
    </row>
    <row r="80" spans="3:6" ht="12.75" x14ac:dyDescent="0.2">
      <c r="D80" s="8" t="s">
        <v>101</v>
      </c>
      <c r="E80" s="13"/>
    </row>
    <row r="81" spans="3:5" ht="12.75" x14ac:dyDescent="0.2">
      <c r="D81" s="8" t="s">
        <v>102</v>
      </c>
      <c r="E81" s="13"/>
    </row>
    <row r="82" spans="3:5" ht="12.75" x14ac:dyDescent="0.2">
      <c r="D82" s="8" t="s">
        <v>98</v>
      </c>
      <c r="E82" s="13"/>
    </row>
    <row r="83" spans="3:5" ht="12.75" x14ac:dyDescent="0.2">
      <c r="D83" s="8" t="s">
        <v>103</v>
      </c>
    </row>
    <row r="84" spans="3:5" ht="12.75" x14ac:dyDescent="0.2">
      <c r="D84" s="8" t="s">
        <v>119</v>
      </c>
    </row>
    <row r="85" spans="3:5" ht="12.75" x14ac:dyDescent="0.2">
      <c r="D85" s="8" t="s">
        <v>120</v>
      </c>
    </row>
    <row r="86" spans="3:5" ht="12.75" x14ac:dyDescent="0.2">
      <c r="D86" s="8" t="s">
        <v>87</v>
      </c>
    </row>
    <row r="87" spans="3:5" ht="12.75" x14ac:dyDescent="0.2">
      <c r="D87" s="8" t="s">
        <v>114</v>
      </c>
    </row>
    <row r="88" spans="3:5" ht="12.75" x14ac:dyDescent="0.2">
      <c r="D88" s="8" t="s">
        <v>115</v>
      </c>
    </row>
    <row r="89" spans="3:5" ht="12.75" x14ac:dyDescent="0.2">
      <c r="D89" s="8" t="s">
        <v>116</v>
      </c>
    </row>
    <row r="90" spans="3:5" ht="12.75" x14ac:dyDescent="0.2">
      <c r="D90" s="8" t="s">
        <v>117</v>
      </c>
    </row>
    <row r="91" spans="3:5" ht="12.75" x14ac:dyDescent="0.2">
      <c r="D91" s="8" t="s">
        <v>118</v>
      </c>
    </row>
    <row r="92" spans="3:5" ht="12.75" x14ac:dyDescent="0.2">
      <c r="D92" s="8" t="s">
        <v>121</v>
      </c>
    </row>
    <row r="93" spans="3:5" ht="12.75" x14ac:dyDescent="0.2">
      <c r="D93" s="8" t="s">
        <v>122</v>
      </c>
    </row>
    <row r="94" spans="3:5" ht="12.75" x14ac:dyDescent="0.2">
      <c r="D94" s="8" t="s">
        <v>85</v>
      </c>
    </row>
    <row r="95" spans="3:5" ht="12.75" x14ac:dyDescent="0.2">
      <c r="D95" s="50"/>
    </row>
    <row r="96" spans="3:5" ht="12.75" x14ac:dyDescent="0.2">
      <c r="C96" s="4" t="s">
        <v>125</v>
      </c>
      <c r="E96" s="11" t="s">
        <v>1</v>
      </c>
    </row>
    <row r="97" spans="3:5" ht="12.75" x14ac:dyDescent="0.2">
      <c r="D97" s="13" t="s">
        <v>133</v>
      </c>
      <c r="E97" s="13" t="s">
        <v>126</v>
      </c>
    </row>
    <row r="98" spans="3:5" ht="12.75" x14ac:dyDescent="0.2">
      <c r="D98" s="8" t="s">
        <v>142</v>
      </c>
      <c r="E98" s="8" t="s">
        <v>129</v>
      </c>
    </row>
    <row r="99" spans="3:5" ht="12.75" x14ac:dyDescent="0.2">
      <c r="D99" s="48" t="s">
        <v>139</v>
      </c>
      <c r="E99" s="48" t="s">
        <v>130</v>
      </c>
    </row>
    <row r="100" spans="3:5" ht="12.75" x14ac:dyDescent="0.2">
      <c r="D100" s="48" t="s">
        <v>140</v>
      </c>
      <c r="E100" s="48" t="s">
        <v>131</v>
      </c>
    </row>
    <row r="101" spans="3:5" ht="12.75" x14ac:dyDescent="0.2">
      <c r="D101" s="48" t="s">
        <v>141</v>
      </c>
      <c r="E101" s="48" t="s">
        <v>132</v>
      </c>
    </row>
    <row r="102" spans="3:5" ht="12.75" x14ac:dyDescent="0.2">
      <c r="D102" s="48" t="s">
        <v>123</v>
      </c>
      <c r="E102" s="48" t="s">
        <v>137</v>
      </c>
    </row>
    <row r="103" spans="3:5" ht="12.75" x14ac:dyDescent="0.2">
      <c r="D103" s="48" t="s">
        <v>124</v>
      </c>
      <c r="E103" s="48" t="s">
        <v>138</v>
      </c>
    </row>
    <row r="104" spans="3:5" ht="12.75" x14ac:dyDescent="0.2">
      <c r="D104" s="48" t="s">
        <v>145</v>
      </c>
      <c r="E104" s="48" t="s">
        <v>146</v>
      </c>
    </row>
    <row r="105" spans="3:5" ht="12.75" x14ac:dyDescent="0.2">
      <c r="D105" s="8" t="s">
        <v>143</v>
      </c>
      <c r="E105" s="8" t="s">
        <v>127</v>
      </c>
    </row>
    <row r="106" spans="3:5" ht="12.75" x14ac:dyDescent="0.2">
      <c r="D106" s="8" t="s">
        <v>144</v>
      </c>
      <c r="E106" s="8" t="s">
        <v>128</v>
      </c>
    </row>
    <row r="107" spans="3:5" ht="12.75" x14ac:dyDescent="0.2">
      <c r="D107" s="8" t="s">
        <v>136</v>
      </c>
      <c r="E107" s="8" t="str">
        <f>E105</f>
        <v>Eli Grace-Webb</v>
      </c>
    </row>
    <row r="108" spans="3:5" ht="12.75" x14ac:dyDescent="0.2">
      <c r="D108" s="8" t="s">
        <v>85</v>
      </c>
      <c r="E108" s="8" t="s">
        <v>85</v>
      </c>
    </row>
    <row r="110" spans="3:5" ht="12.75" x14ac:dyDescent="0.2">
      <c r="C110" s="4" t="s">
        <v>147</v>
      </c>
      <c r="E110" s="11" t="s">
        <v>1</v>
      </c>
    </row>
    <row r="111" spans="3:5" ht="12.75" x14ac:dyDescent="0.2">
      <c r="E111" s="13" t="s">
        <v>148</v>
      </c>
    </row>
    <row r="112" spans="3:5" ht="12.75" x14ac:dyDescent="0.2">
      <c r="D112" s="8" t="s">
        <v>149</v>
      </c>
    </row>
    <row r="113" spans="3:5" ht="12.75" x14ac:dyDescent="0.2">
      <c r="D113" s="8" t="s">
        <v>150</v>
      </c>
    </row>
    <row r="114" spans="3:5" ht="12.75" x14ac:dyDescent="0.2">
      <c r="D114" s="8" t="s">
        <v>151</v>
      </c>
    </row>
    <row r="115" spans="3:5" ht="12.75" x14ac:dyDescent="0.2">
      <c r="D115" s="8" t="s">
        <v>152</v>
      </c>
    </row>
    <row r="116" spans="3:5" ht="12.75" x14ac:dyDescent="0.2">
      <c r="D116" s="8" t="s">
        <v>153</v>
      </c>
    </row>
    <row r="117" spans="3:5" ht="12.75" x14ac:dyDescent="0.2">
      <c r="D117" s="8" t="s">
        <v>154</v>
      </c>
    </row>
    <row r="118" spans="3:5" ht="12.75" x14ac:dyDescent="0.2">
      <c r="D118" s="8" t="s">
        <v>157</v>
      </c>
    </row>
    <row r="119" spans="3:5" ht="12.75" x14ac:dyDescent="0.2">
      <c r="D119" s="8" t="s">
        <v>155</v>
      </c>
    </row>
    <row r="120" spans="3:5" ht="12.75" x14ac:dyDescent="0.2">
      <c r="D120" s="8" t="str">
        <f>NA</f>
        <v>N/A</v>
      </c>
    </row>
    <row r="122" spans="3:5" ht="12.75" x14ac:dyDescent="0.2">
      <c r="C122" s="4" t="s">
        <v>134</v>
      </c>
      <c r="E122" s="11" t="s">
        <v>1</v>
      </c>
    </row>
    <row r="123" spans="3:5" ht="12.75" x14ac:dyDescent="0.2">
      <c r="E123" s="13" t="s">
        <v>135</v>
      </c>
    </row>
    <row r="124" spans="3:5" ht="12.75" x14ac:dyDescent="0.2">
      <c r="D124" s="8" t="s">
        <v>160</v>
      </c>
    </row>
    <row r="125" spans="3:5" ht="12.75" x14ac:dyDescent="0.2">
      <c r="D125" s="8" t="s">
        <v>162</v>
      </c>
    </row>
    <row r="126" spans="3:5" ht="12.75" x14ac:dyDescent="0.2">
      <c r="D126" s="8" t="s">
        <v>163</v>
      </c>
    </row>
    <row r="127" spans="3:5" ht="12.75" x14ac:dyDescent="0.2">
      <c r="D127" s="8" t="s">
        <v>164</v>
      </c>
    </row>
    <row r="128" spans="3:5" ht="12.75" x14ac:dyDescent="0.2">
      <c r="D128" s="8" t="s">
        <v>165</v>
      </c>
    </row>
    <row r="129" spans="2:4" ht="12.75" x14ac:dyDescent="0.2">
      <c r="D129" s="8" t="s">
        <v>161</v>
      </c>
    </row>
    <row r="130" spans="2:4" ht="12.75" x14ac:dyDescent="0.2">
      <c r="D130" s="8" t="s">
        <v>85</v>
      </c>
    </row>
    <row r="132" spans="2:4" s="2" customFormat="1" ht="15.75" x14ac:dyDescent="0.2">
      <c r="B132" s="2" t="s">
        <v>32</v>
      </c>
    </row>
  </sheetData>
  <conditionalFormatting sqref="B2">
    <cfRule type="cellIs" dxfId="6"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K51"/>
  <sheetViews>
    <sheetView showGridLines="0" zoomScaleNormal="100" workbookViewId="0">
      <pane xSplit="1" ySplit="4" topLeftCell="B5" activePane="bottomRight" state="frozen"/>
      <selection pane="topRight"/>
      <selection pane="bottomLeft"/>
      <selection pane="bottomRight" activeCell="B5" sqref="B5"/>
    </sheetView>
  </sheetViews>
  <sheetFormatPr defaultRowHeight="11.25" x14ac:dyDescent="0.2"/>
  <cols>
    <col min="1" max="3" width="2.83203125" customWidth="1"/>
    <col min="4" max="4" width="100.1640625" customWidth="1"/>
    <col min="5" max="7" width="3.83203125" customWidth="1"/>
  </cols>
  <sheetData>
    <row r="1" spans="2:8" ht="19.5" x14ac:dyDescent="0.2">
      <c r="B1" s="3" t="s">
        <v>15</v>
      </c>
    </row>
    <row r="2" spans="2:8" x14ac:dyDescent="0.2">
      <c r="B2" s="9" t="str">
        <f>Title_Msg</f>
        <v>No Errors Found</v>
      </c>
    </row>
    <row r="3" spans="2:8" x14ac:dyDescent="0.2">
      <c r="B3" s="34" t="str">
        <f>TOC!B1</f>
        <v>Table of Contents</v>
      </c>
      <c r="C3" s="34"/>
      <c r="D3" s="34"/>
      <c r="E3" s="34"/>
    </row>
    <row r="4" spans="2:8" ht="12.75" x14ac:dyDescent="0.2">
      <c r="B4" s="33" t="str">
        <f>Model_Name</f>
        <v>RIN Population Model - TransGrid (TGD)</v>
      </c>
    </row>
    <row r="5" spans="2:8" x14ac:dyDescent="0.2">
      <c r="B5" s="9"/>
    </row>
    <row r="6" spans="2:8" s="2" customFormat="1" ht="15.75" x14ac:dyDescent="0.2">
      <c r="B6" s="2" t="s">
        <v>17</v>
      </c>
    </row>
    <row r="7" spans="2:8" ht="4.1500000000000004" customHeight="1" x14ac:dyDescent="0.2">
      <c r="B7" s="16"/>
    </row>
    <row r="8" spans="2:8" ht="12.75" x14ac:dyDescent="0.2">
      <c r="D8" s="5" t="s">
        <v>16</v>
      </c>
      <c r="H8" s="6" t="str">
        <f>IF(H49=0,"No Errors Found","Errors Found")</f>
        <v>No Errors Found</v>
      </c>
    </row>
    <row r="9" spans="2:8" ht="12.75" x14ac:dyDescent="0.2">
      <c r="D9" s="5" t="s">
        <v>18</v>
      </c>
      <c r="H9" s="5"/>
    </row>
    <row r="10" spans="2:8" ht="12.75" x14ac:dyDescent="0.2">
      <c r="D10" s="5" t="s">
        <v>19</v>
      </c>
      <c r="H10" s="19" t="str">
        <f>H8&amp;IF(H9="","",", " &amp;H9)</f>
        <v>No Errors Found</v>
      </c>
    </row>
    <row r="11" spans="2:8" ht="4.1500000000000004" customHeight="1" x14ac:dyDescent="0.2">
      <c r="B11" s="16"/>
    </row>
    <row r="12" spans="2:8" s="2" customFormat="1" ht="15.75" x14ac:dyDescent="0.2">
      <c r="B12" s="2" t="s">
        <v>31</v>
      </c>
    </row>
    <row r="13" spans="2:8" ht="4.1500000000000004" customHeight="1" x14ac:dyDescent="0.2">
      <c r="B13" s="16"/>
    </row>
    <row r="14" spans="2:8" s="7" customFormat="1" ht="15" x14ac:dyDescent="0.2">
      <c r="C14" s="7" t="s">
        <v>12</v>
      </c>
    </row>
    <row r="15" spans="2:8" ht="4.1500000000000004" customHeight="1" x14ac:dyDescent="0.2">
      <c r="B15" s="16"/>
    </row>
    <row r="16" spans="2:8" ht="12.75" x14ac:dyDescent="0.2">
      <c r="C16" s="4" t="s">
        <v>86</v>
      </c>
    </row>
    <row r="17" spans="2:8" ht="4.1500000000000004" customHeight="1" x14ac:dyDescent="0.2">
      <c r="B17" s="16"/>
    </row>
    <row r="18" spans="2:8" ht="12.75" x14ac:dyDescent="0.2">
      <c r="D18" s="5" t="str">
        <f>Input_CPI!$B$1</f>
        <v>Input - Inflation</v>
      </c>
      <c r="H18" s="42">
        <f>Input_CPI!$A$1</f>
        <v>0</v>
      </c>
    </row>
    <row r="19" spans="2:8" ht="12.75" x14ac:dyDescent="0.2">
      <c r="D19" s="388" t="str">
        <f>WkB_1_2.1.1!$B$1</f>
        <v>2.1.1 - Prescribed Transmission Services Capex (As Incurred)</v>
      </c>
      <c r="H19" s="42">
        <f>WkB_1_2.1.1!$A$1</f>
        <v>0</v>
      </c>
    </row>
    <row r="20" spans="2:8" ht="12.75" x14ac:dyDescent="0.2">
      <c r="D20" s="388" t="str">
        <f>WkB_1_2.1.8!$B$1</f>
        <v>2.1.8 - Prescribed Transmission Services Capitalised Overheads</v>
      </c>
      <c r="H20" s="42">
        <f>WkB_1_2.1.8!$A$1</f>
        <v>0</v>
      </c>
    </row>
    <row r="21" spans="2:8" ht="12.75" x14ac:dyDescent="0.2">
      <c r="D21" s="388" t="str">
        <f>WkB_1_2.2.1!$B$1</f>
        <v>2.2.1 - Replacement Expenditure, Volumes And Asset Failures By Asset Category (As commissioned)</v>
      </c>
      <c r="H21" s="42">
        <f>WkB_1_2.2.1!$A$1</f>
        <v>0</v>
      </c>
    </row>
    <row r="22" spans="2:8" ht="12.75" x14ac:dyDescent="0.2">
      <c r="D22" s="388" t="str">
        <f>'WkB_1_2.2.1(a)'!$B$1</f>
        <v>2.2.1 (a) - Replacement Expenditure, Volumes And Asset Failures By Asset Category (as incurred)</v>
      </c>
      <c r="H22" s="42">
        <f>'WkB_1_2.2.1(a)'!$A$1</f>
        <v>0</v>
      </c>
    </row>
    <row r="23" spans="2:8" ht="12.75" x14ac:dyDescent="0.2">
      <c r="D23" s="388" t="str">
        <f>WkB_1_2.3a!$B$1</f>
        <v>2.3 Augex Projects (Project close or As Commissioned)</v>
      </c>
      <c r="H23" s="42">
        <f>WkB_1_2.3a!$A$1</f>
        <v>0</v>
      </c>
    </row>
    <row r="24" spans="2:8" ht="12.75" x14ac:dyDescent="0.2">
      <c r="D24" s="388" t="str">
        <f>WkB_1_2.3.2!$B$1</f>
        <v>2.3.2 - Augex Asset Data - Lines (Project close or As Commissioned)</v>
      </c>
      <c r="H24" s="42">
        <f>WkB_1_2.3.2!$A$1</f>
        <v>0</v>
      </c>
    </row>
    <row r="25" spans="2:8" ht="12.75" x14ac:dyDescent="0.2">
      <c r="D25" s="388" t="str">
        <f>WkB_1_2.3.4!$B$1</f>
        <v>2.3.4 - Augex - Total Expenditure (as incurred)</v>
      </c>
      <c r="H25" s="42">
        <f>WkB_1_2.3.4!$A$1</f>
        <v>0</v>
      </c>
    </row>
    <row r="26" spans="2:8" ht="12.75" x14ac:dyDescent="0.2">
      <c r="D26" s="388" t="str">
        <f>WkB_1_2.5.1!$B$1</f>
        <v>2.5.1 - Expenditure on Connection Projects</v>
      </c>
      <c r="H26" s="42">
        <f>WkB_1_2.5.1!$A$1</f>
        <v>0</v>
      </c>
    </row>
    <row r="27" spans="2:8" ht="12.75" x14ac:dyDescent="0.2">
      <c r="D27" s="388" t="str">
        <f>WkB_1_2.6.1!$B$1</f>
        <v>2.6.1 - Non-Network Expenditure</v>
      </c>
      <c r="H27" s="42">
        <f>WkB_1_2.6.1!$A$1</f>
        <v>0</v>
      </c>
    </row>
    <row r="28" spans="2:8" ht="12.75" x14ac:dyDescent="0.2">
      <c r="D28" s="388" t="str">
        <f>WkB_1_2.6.4!$B$1</f>
        <v>2.6.4 -  Information &amp; Communications Technology - Capex By Purpose</v>
      </c>
      <c r="H28" s="42">
        <f>WkB_1_2.6.4!$A$1</f>
        <v>0</v>
      </c>
    </row>
    <row r="29" spans="2:8" ht="12.75" x14ac:dyDescent="0.2">
      <c r="D29" s="388" t="str">
        <f>WkB_1_2.10!$B$1</f>
        <v>2.10 Overheads</v>
      </c>
      <c r="H29" s="42">
        <f>WkB_1_2.10!$A$1</f>
        <v>0</v>
      </c>
    </row>
    <row r="30" spans="2:8" ht="12.75" x14ac:dyDescent="0.2">
      <c r="D30" s="388" t="str">
        <f>WkB_1_2.14!$B$1</f>
        <v>2.14.2 - Forecast Capex And Opex Price Changes</v>
      </c>
      <c r="H30" s="42">
        <f>WkB_1_2.14!$A$1</f>
        <v>0</v>
      </c>
    </row>
    <row r="31" spans="2:8" ht="12.75" x14ac:dyDescent="0.2">
      <c r="D31" s="388" t="str">
        <f>WkB_1_2.16!$B$1</f>
        <v>2.16.1 - Prescribed Transmission Services - Opex By Driver</v>
      </c>
      <c r="H31" s="42">
        <f>WkB_1_2.16!$A$1</f>
        <v>0</v>
      </c>
    </row>
    <row r="32" spans="2:8" ht="12.75" x14ac:dyDescent="0.2">
      <c r="D32" s="388" t="str">
        <f>WkB_1_2.17.1!$B$1</f>
        <v xml:space="preserve">2.17.1 - Step Changes For Prescribed Transmission Services - Forecast Opex </v>
      </c>
      <c r="H32" s="42">
        <f>WkB_1_2.17.1!$A$1</f>
        <v>0</v>
      </c>
    </row>
    <row r="33" spans="2:11" ht="12.75" x14ac:dyDescent="0.2">
      <c r="D33" s="388" t="str">
        <f>WkB_1_2.17.2!$B$1</f>
        <v>2.17.2 - Step Changes For Prescribed Transmission Services - Forecast Capex</v>
      </c>
      <c r="H33" s="42">
        <f>WkB_1_2.17.2!$A$1</f>
        <v>0</v>
      </c>
    </row>
    <row r="34" spans="2:11" ht="12.75" x14ac:dyDescent="0.2">
      <c r="D34" s="388" t="str">
        <f>WkB_1_2.17.5!$B$1</f>
        <v>2.17.5 - Category Specific Opex For Prescribed Transmission Services</v>
      </c>
      <c r="H34" s="42">
        <f>WkB_1_2.17.5!$A$1</f>
        <v>0</v>
      </c>
    </row>
    <row r="35" spans="2:11" ht="12.75" x14ac:dyDescent="0.2">
      <c r="D35" s="388" t="str">
        <f>WkB_1_3.1.1!$B$1</f>
        <v>3.1.1 - Revenue Grouping By Chargeable Quantity</v>
      </c>
      <c r="H35" s="42">
        <f>WkB_1_3.1.1!$A$1</f>
        <v>0</v>
      </c>
    </row>
    <row r="36" spans="2:11" ht="12.75" x14ac:dyDescent="0.2">
      <c r="D36" s="388" t="str">
        <f>WkB_1_3.1.2!$B$1</f>
        <v>3.1.2 - Revenue Grouping By Type Of Connected Equipment</v>
      </c>
      <c r="H36" s="42">
        <f>WkB_1_3.1.2!$A$1</f>
        <v>0</v>
      </c>
    </row>
    <row r="37" spans="2:11" ht="12.75" x14ac:dyDescent="0.2">
      <c r="D37" s="388" t="str">
        <f>WkB_1_3.1.3!$B$1</f>
        <v>3.1.3 - Revenue (Penalties) Allowed (Deducted) Through Incentive Schemes</v>
      </c>
      <c r="H37" s="42">
        <f>WkB_1_3.1.3!$A$1</f>
        <v>0</v>
      </c>
    </row>
    <row r="38" spans="2:11" ht="12.75" x14ac:dyDescent="0.2">
      <c r="D38" s="388" t="str">
        <f>WkB_1_3.2!$B$1</f>
        <v>3.2 Operating Expenditure</v>
      </c>
      <c r="H38" s="42">
        <f>WkB_1_3.2!$A$1</f>
        <v>0</v>
      </c>
    </row>
    <row r="39" spans="2:11" ht="12.75" x14ac:dyDescent="0.2">
      <c r="D39" s="388" t="str">
        <f>WkB_1_3.3!$B$1</f>
        <v>3.3 Assets</v>
      </c>
      <c r="H39" s="42">
        <f>WkB_1_3.3!$A$1</f>
        <v>0</v>
      </c>
    </row>
    <row r="40" spans="2:11" ht="12.75" x14ac:dyDescent="0.2">
      <c r="D40" s="388" t="str">
        <f>WkB_1_7.2!$B$1</f>
        <v>7.2.1 - Proposed Contingent Projects For The Forthcoming Regulatory Control Period</v>
      </c>
      <c r="H40" s="42">
        <f>WkB_1_7.2!$A$1</f>
        <v>0</v>
      </c>
    </row>
    <row r="41" spans="2:11" ht="12.75" x14ac:dyDescent="0.2">
      <c r="D41" s="388" t="str">
        <f>WkB_1_7.4!$B$1</f>
        <v>7.4 Shared Assets</v>
      </c>
      <c r="H41" s="42">
        <f>WkB_1_7.4!$A$1</f>
        <v>0</v>
      </c>
    </row>
    <row r="42" spans="2:11" ht="12.75" x14ac:dyDescent="0.2">
      <c r="D42" s="388" t="str">
        <f>WkB_1_7.9!$B$1</f>
        <v>7.9.2 - Proposed priority projects for the network capability incentive parameter</v>
      </c>
      <c r="H42" s="42">
        <f>WkB_1_7.9!$A$1</f>
        <v>0</v>
      </c>
    </row>
    <row r="43" spans="2:11" ht="12.75" x14ac:dyDescent="0.2">
      <c r="D43" s="388" t="str">
        <f>WkB_1_8.2.7!$B$1</f>
        <v>8.2.7 - Immediate Expensing Of Capex</v>
      </c>
      <c r="H43" s="42">
        <f>WkB_1_8.2.7!$A$1</f>
        <v>0</v>
      </c>
    </row>
    <row r="44" spans="2:11" ht="12.75" x14ac:dyDescent="0.2">
      <c r="D44" s="388" t="str">
        <f>WkB_7_7.6!$B$1</f>
        <v>7.6 Indicative Impact On Transmission Charges &amp; Electricity Bills</v>
      </c>
      <c r="H44" s="42">
        <f>WkB_7_7.6!$A$1</f>
        <v>0</v>
      </c>
    </row>
    <row r="45" spans="2:11" ht="12.75" x14ac:dyDescent="0.2">
      <c r="D45" s="388" t="str">
        <f>WkB_8_8.2.7!$B$1</f>
        <v>8.2.7 - Immediate Expensing Of Capex</v>
      </c>
      <c r="H45" s="42">
        <f>WkB_8_8.2.7!$A$1</f>
        <v>0</v>
      </c>
      <c r="K45" s="34"/>
    </row>
    <row r="46" spans="2:11" ht="12.75" x14ac:dyDescent="0.2">
      <c r="D46" s="388" t="str">
        <f>WkB_1_Reconciliation!$B$1</f>
        <v>Reconciliations</v>
      </c>
      <c r="H46" s="42">
        <f>WkB_1_Reconciliation!$A$1</f>
        <v>0</v>
      </c>
      <c r="K46" s="34"/>
    </row>
    <row r="47" spans="2:11" ht="12.75" x14ac:dyDescent="0.2">
      <c r="D47" s="388" t="str">
        <f>Lookup!$B$1</f>
        <v>Model Lookups</v>
      </c>
      <c r="H47" s="385">
        <f>Lookup!$A$1</f>
        <v>0</v>
      </c>
    </row>
    <row r="48" spans="2:11" ht="4.1500000000000004" customHeight="1" x14ac:dyDescent="0.2">
      <c r="B48" s="16"/>
    </row>
    <row r="49" spans="2:8" ht="12.75" x14ac:dyDescent="0.2">
      <c r="C49" s="4" t="s">
        <v>48</v>
      </c>
      <c r="H49" s="18">
        <f>IF(SUM(H18:H47)=0,0,1)</f>
        <v>0</v>
      </c>
    </row>
    <row r="50" spans="2:8" ht="4.1500000000000004" customHeight="1" x14ac:dyDescent="0.2">
      <c r="B50" s="16"/>
    </row>
    <row r="51" spans="2:8" s="2" customFormat="1" ht="15.75" x14ac:dyDescent="0.2">
      <c r="B51" s="2" t="s">
        <v>32</v>
      </c>
    </row>
  </sheetData>
  <conditionalFormatting sqref="B7 B2 B5">
    <cfRule type="cellIs" dxfId="5" priority="21" operator="notEqual">
      <formula>"No Errors Found"</formula>
    </cfRule>
  </conditionalFormatting>
  <conditionalFormatting sqref="B11">
    <cfRule type="cellIs" dxfId="4" priority="18" operator="notEqual">
      <formula>"No Errors Found"</formula>
    </cfRule>
  </conditionalFormatting>
  <conditionalFormatting sqref="B13">
    <cfRule type="cellIs" dxfId="3" priority="17" operator="notEqual">
      <formula>"No Errors Found"</formula>
    </cfRule>
  </conditionalFormatting>
  <conditionalFormatting sqref="B15 B17">
    <cfRule type="cellIs" dxfId="2" priority="16" operator="notEqual">
      <formula>"No Errors Found"</formula>
    </cfRule>
  </conditionalFormatting>
  <conditionalFormatting sqref="B48">
    <cfRule type="cellIs" dxfId="1" priority="15" operator="notEqual">
      <formula>"No Errors Found"</formula>
    </cfRule>
  </conditionalFormatting>
  <conditionalFormatting sqref="B50">
    <cfRule type="cellIs" dxfId="0" priority="14" operator="notEqual">
      <formula>"No Errors Found"</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EA8250C83EF049A6081B6ABE2EC208" ma:contentTypeVersion="9" ma:contentTypeDescription="Create a new document." ma:contentTypeScope="" ma:versionID="5899300b55b32bfc167ba1cf97f31b4a">
  <xsd:schema xmlns:xsd="http://www.w3.org/2001/XMLSchema" xmlns:xs="http://www.w3.org/2001/XMLSchema" xmlns:p="http://schemas.microsoft.com/office/2006/metadata/properties" xmlns:ns2="219a03a1-7fe7-42f3-bdad-55ca8d66a738" xmlns:ns3="4eb6023d-658b-4527-be73-24b0518f0bf9" xmlns:ns4="97db55b7-6849-467b-a514-00ca68ee4ee0" targetNamespace="http://schemas.microsoft.com/office/2006/metadata/properties" ma:root="true" ma:fieldsID="968fcfc8334bfb21df38a6431dff2315" ns2:_="" ns3:_="" ns4:_="">
    <xsd:import namespace="219a03a1-7fe7-42f3-bdad-55ca8d66a738"/>
    <xsd:import namespace="4eb6023d-658b-4527-be73-24b0518f0bf9"/>
    <xsd:import namespace="97db55b7-6849-467b-a514-00ca68ee4e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b55b7-6849-467b-a514-00ca68ee4ee0"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2.xml><?xml version="1.0" encoding="utf-8"?>
<ds:datastoreItem xmlns:ds="http://schemas.openxmlformats.org/officeDocument/2006/customXml" ds:itemID="{1997CDD1-FCE8-40FA-A22B-39998E6D97A8}">
  <ds:schemaRefs>
    <ds:schemaRef ds:uri="http://purl.org/dc/elements/1.1/"/>
    <ds:schemaRef ds:uri="http://schemas.microsoft.com/office/2006/metadata/properties"/>
    <ds:schemaRef ds:uri="97db55b7-6849-467b-a514-00ca68ee4ee0"/>
    <ds:schemaRef ds:uri="4eb6023d-658b-4527-be73-24b0518f0bf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19a03a1-7fe7-42f3-bdad-55ca8d66a738"/>
    <ds:schemaRef ds:uri="http://www.w3.org/XML/1998/namespace"/>
  </ds:schemaRefs>
</ds:datastoreItem>
</file>

<file path=customXml/itemProps3.xml><?xml version="1.0" encoding="utf-8"?>
<ds:datastoreItem xmlns:ds="http://schemas.openxmlformats.org/officeDocument/2006/customXml" ds:itemID="{B0D91995-D4C5-4F39-8C5B-C86628170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97db55b7-6849-467b-a514-00ca68ee4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54B9E4-6A2C-4CDE-8F80-D9A9D1E4C73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44</vt:i4>
      </vt:variant>
    </vt:vector>
  </HeadingPairs>
  <TitlesOfParts>
    <vt:vector size="77" baseType="lpstr">
      <vt:lpstr>Cover</vt:lpstr>
      <vt:lpstr>TOC</vt:lpstr>
      <vt:lpstr>Input_CPI</vt:lpstr>
      <vt:lpstr>WkB_1_2.1.1</vt:lpstr>
      <vt:lpstr>WkB_1_2.1.8</vt:lpstr>
      <vt:lpstr>WkB_1_2.2.1</vt:lpstr>
      <vt:lpstr>WkB_1_2.2.1(a)</vt:lpstr>
      <vt:lpstr>WkB_1_2.3a</vt:lpstr>
      <vt:lpstr>WkB_1_2.3.2</vt:lpstr>
      <vt:lpstr>WkB_1_2.3.4</vt:lpstr>
      <vt:lpstr>WkB_1_2.5.1</vt:lpstr>
      <vt:lpstr>WkB_1_2.6.1</vt:lpstr>
      <vt:lpstr>WkB_1_2.6.4</vt:lpstr>
      <vt:lpstr>WkB_1_2.10</vt:lpstr>
      <vt:lpstr>WkB_1_2.14</vt:lpstr>
      <vt:lpstr>WkB_1_2.16</vt:lpstr>
      <vt:lpstr>WkB_1_2.17.1</vt:lpstr>
      <vt:lpstr>WkB_1_2.17.2</vt:lpstr>
      <vt:lpstr>WkB_1_2.17.5</vt:lpstr>
      <vt:lpstr>WkB_1_3.1.1</vt:lpstr>
      <vt:lpstr>WkB_1_3.1.2</vt:lpstr>
      <vt:lpstr>WkB_1_3.1.3</vt:lpstr>
      <vt:lpstr>WkB_1_3.2</vt:lpstr>
      <vt:lpstr>WkB_1_3.3</vt:lpstr>
      <vt:lpstr>WkB_1_7.2</vt:lpstr>
      <vt:lpstr>WkB_1_7.4</vt:lpstr>
      <vt:lpstr>WkB_1_7.9</vt:lpstr>
      <vt:lpstr>WkB_1_8.2.7</vt:lpstr>
      <vt:lpstr>WkB_7_7.6</vt:lpstr>
      <vt:lpstr>WkB_8_8.2.7</vt:lpstr>
      <vt:lpstr>WkB_1_Reconciliation</vt:lpstr>
      <vt:lpstr>Lookup</vt:lpstr>
      <vt:lpstr>Checks</vt:lpstr>
      <vt:lpstr>Base_Year</vt:lpstr>
      <vt:lpstr>Cash_Timing</vt:lpstr>
      <vt:lpstr>Days_In_Wk</vt:lpstr>
      <vt:lpstr>Days_In_Yr</vt:lpstr>
      <vt:lpstr>Dollars</vt:lpstr>
      <vt:lpstr>End_Period</vt:lpstr>
      <vt:lpstr>Error</vt:lpstr>
      <vt:lpstr>Factor</vt:lpstr>
      <vt:lpstr>GWh</vt:lpstr>
      <vt:lpstr>Half</vt:lpstr>
      <vt:lpstr>Index_Period</vt:lpstr>
      <vt:lpstr>Kilometres</vt:lpstr>
      <vt:lpstr>LU_Basis</vt:lpstr>
      <vt:lpstr>LU_Data_Status</vt:lpstr>
      <vt:lpstr>LU_Project_Teams</vt:lpstr>
      <vt:lpstr>LU_Proposal_Strategy</vt:lpstr>
      <vt:lpstr>LU_Submission_area</vt:lpstr>
      <vt:lpstr>LU_Team_Data_Owners</vt:lpstr>
      <vt:lpstr>LU_Units</vt:lpstr>
      <vt:lpstr>LU_Workbook_name</vt:lpstr>
      <vt:lpstr>Mid_Period</vt:lpstr>
      <vt:lpstr>Million</vt:lpstr>
      <vt:lpstr>Millions</vt:lpstr>
      <vt:lpstr>Model_Name</vt:lpstr>
      <vt:lpstr>Model_Start_Date</vt:lpstr>
      <vt:lpstr>Mths_In_Mth</vt:lpstr>
      <vt:lpstr>Mths_In_Qtr</vt:lpstr>
      <vt:lpstr>Mths_In_Yr</vt:lpstr>
      <vt:lpstr>MWh</vt:lpstr>
      <vt:lpstr>NA</vt:lpstr>
      <vt:lpstr>No</vt:lpstr>
      <vt:lpstr>Nominal</vt:lpstr>
      <vt:lpstr>Number</vt:lpstr>
      <vt:lpstr>Ok</vt:lpstr>
      <vt:lpstr>Percent</vt:lpstr>
      <vt:lpstr>Qtrs_In_Yr</vt:lpstr>
      <vt:lpstr>Real2018</vt:lpstr>
      <vt:lpstr>Real2023</vt:lpstr>
      <vt:lpstr>Start_Period</vt:lpstr>
      <vt:lpstr>Thousands</vt:lpstr>
      <vt:lpstr>Timing_Adj</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Henry Wu</dc:creator>
  <cp:lastModifiedBy>Sarah Lim</cp:lastModifiedBy>
  <cp:lastPrinted>2017-09-21T03:25:38Z</cp:lastPrinted>
  <dcterms:created xsi:type="dcterms:W3CDTF">2012-02-19T06:14:59Z</dcterms:created>
  <dcterms:modified xsi:type="dcterms:W3CDTF">2022-02-10T05:14:09Z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0x01010006EA8250C83EF049A6081B6ABE2EC208</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AuthorIds_UIVersion_1024">
    <vt:lpwstr>13</vt:lpwstr>
  </property>
  <property fmtid="{D5CDD505-2E9C-101B-9397-08002B2CF9AE}" pid="8" name="AuthorIds_UIVersion_2048">
    <vt:lpwstr>13</vt:lpwstr>
  </property>
</Properties>
</file>